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7575" windowWidth="28830" windowHeight="7620"/>
  </bookViews>
  <sheets>
    <sheet name="Skonsolidowany P&amp;L" sheetId="16" r:id="rId1"/>
    <sheet name="Segmenty" sheetId="13" r:id="rId2"/>
    <sheet name="Skonsolidowany bilans" sheetId="4" r:id="rId3"/>
    <sheet name="Skonsolidowany CF" sheetId="6" r:id="rId4"/>
    <sheet name="KPI_segment B2B&amp;B2C" sheetId="14" r:id="rId5"/>
    <sheet name="KPI - segment TV" sheetId="15" r:id="rId6"/>
  </sheets>
  <definedNames>
    <definedName name="_Toc377043859" localSheetId="5">'KPI - segment TV'!$C$58</definedName>
    <definedName name="_Toc377043860" localSheetId="5">'KPI - segment TV'!$D$58</definedName>
    <definedName name="_Toc377043862" localSheetId="5">'KPI - segment TV'!#REF!</definedName>
    <definedName name="_Toc377043863" localSheetId="5">'KPI - segment TV'!#REF!</definedName>
    <definedName name="_xlnm.Print_Area" localSheetId="5">'KPI - segment TV'!$A$1:$E$107</definedName>
    <definedName name="_xlnm.Print_Area" localSheetId="4">'KPI_segment B2B&amp;B2C'!$A$1:$S$38</definedName>
    <definedName name="_xlnm.Print_Area" localSheetId="2">'Skonsolidowany bilans'!$A$1:$Q$73</definedName>
    <definedName name="_xlnm.Print_Area" localSheetId="3">'Skonsolidowany CF'!$A$1:$Q$69</definedName>
    <definedName name="_xlnm.Print_Area" localSheetId="0">'Skonsolidowany P&amp;L'!$A$3:$S$39</definedName>
    <definedName name="OLE_LINK3" localSheetId="3">'Skonsolidowany CF'!$A$21</definedName>
  </definedNames>
  <calcPr calcId="145621"/>
</workbook>
</file>

<file path=xl/calcChain.xml><?xml version="1.0" encoding="utf-8"?>
<calcChain xmlns="http://schemas.openxmlformats.org/spreadsheetml/2006/main">
  <c r="AL60" i="6" l="1"/>
  <c r="AK60" i="6"/>
  <c r="AJ60" i="6"/>
  <c r="AI60" i="6"/>
  <c r="AL47" i="6"/>
  <c r="AK47" i="6"/>
  <c r="AJ47" i="6"/>
  <c r="AI47" i="6"/>
  <c r="AL5" i="6"/>
  <c r="AL28" i="6" s="1"/>
  <c r="AL31" i="6" s="1"/>
  <c r="AK5" i="6"/>
  <c r="AK28" i="6" s="1"/>
  <c r="AK31" i="6" s="1"/>
  <c r="AJ5" i="6"/>
  <c r="AJ28" i="6" s="1"/>
  <c r="AJ31" i="6" s="1"/>
  <c r="AI5" i="6"/>
  <c r="AI28" i="6" s="1"/>
  <c r="AI31" i="6" s="1"/>
  <c r="AI61" i="6" l="1"/>
  <c r="AI64" i="6" s="1"/>
  <c r="AJ62" i="6" s="1"/>
  <c r="AJ64" i="6" s="1"/>
  <c r="AK62" i="6" s="1"/>
  <c r="AK64" i="6" s="1"/>
  <c r="AL62" i="6" s="1"/>
  <c r="AL64" i="6" s="1"/>
  <c r="AW9" i="16"/>
  <c r="AD20" i="4" l="1"/>
  <c r="AB20" i="4"/>
  <c r="Y20" i="4"/>
  <c r="Z20" i="4"/>
  <c r="AQ19" i="16" l="1"/>
  <c r="AQ9" i="16" l="1"/>
  <c r="AO24" i="16"/>
  <c r="AP25" i="16"/>
  <c r="AL7" i="14"/>
  <c r="AL5" i="14" s="1"/>
  <c r="AM7" i="14"/>
  <c r="AN7" i="14"/>
  <c r="AO7" i="14"/>
  <c r="AK7" i="14"/>
  <c r="AL29" i="14"/>
  <c r="AM29" i="14"/>
  <c r="AN29" i="14"/>
  <c r="AO29" i="14"/>
  <c r="AL24" i="14"/>
  <c r="AM24" i="14"/>
  <c r="AN24" i="14"/>
  <c r="AO24" i="14"/>
  <c r="AL17" i="14"/>
  <c r="AM17" i="14"/>
  <c r="AN17" i="14"/>
  <c r="AO17" i="14"/>
  <c r="AM5" i="14"/>
  <c r="AN5" i="14"/>
  <c r="AK24" i="14"/>
  <c r="Q13" i="13"/>
  <c r="V13" i="13"/>
  <c r="R5" i="13"/>
  <c r="AD55" i="4"/>
  <c r="AD44" i="4"/>
  <c r="AC44" i="4"/>
  <c r="AD33" i="4"/>
  <c r="AB33" i="4"/>
  <c r="AC33" i="4"/>
  <c r="AC20" i="4"/>
  <c r="AD47" i="6" l="1"/>
  <c r="AF60" i="6"/>
  <c r="AD5" i="6"/>
  <c r="AE47" i="6"/>
  <c r="AF47" i="6"/>
  <c r="AG47" i="6"/>
  <c r="AD60" i="6"/>
  <c r="AE60" i="6"/>
  <c r="AG60" i="6"/>
  <c r="AE5" i="6"/>
  <c r="AE28" i="6" s="1"/>
  <c r="AE31" i="6" s="1"/>
  <c r="AF5" i="6"/>
  <c r="AF28" i="6" s="1"/>
  <c r="AF31" i="6" s="1"/>
  <c r="AG5" i="6"/>
  <c r="AG28" i="6" s="1"/>
  <c r="AG31" i="6" s="1"/>
  <c r="AC5" i="6"/>
  <c r="AD28" i="6" l="1"/>
  <c r="AO5" i="14"/>
  <c r="AD31" i="6" l="1"/>
  <c r="AK17" i="14"/>
  <c r="AJ17" i="14"/>
  <c r="AJ7" i="14"/>
  <c r="C4" i="15"/>
  <c r="AK5" i="14"/>
  <c r="AD61" i="6" l="1"/>
  <c r="AK29" i="14"/>
  <c r="AD64" i="6" l="1"/>
  <c r="E49" i="15"/>
  <c r="E45" i="15"/>
  <c r="E46" i="15"/>
  <c r="E47" i="15"/>
  <c r="E48" i="15"/>
  <c r="E50" i="15"/>
  <c r="E51" i="15"/>
  <c r="E44" i="15"/>
  <c r="E5" i="15"/>
  <c r="E6" i="15"/>
  <c r="E7" i="15"/>
  <c r="E8" i="15"/>
  <c r="E9" i="15"/>
  <c r="E10" i="15"/>
  <c r="E11" i="15"/>
  <c r="E12" i="15"/>
  <c r="E13" i="15"/>
  <c r="E14" i="15"/>
  <c r="E15" i="15"/>
  <c r="E16" i="15"/>
  <c r="E17" i="15"/>
  <c r="E18" i="15"/>
  <c r="E19" i="15"/>
  <c r="E20" i="15"/>
  <c r="E21" i="15"/>
  <c r="E22" i="15"/>
  <c r="E23" i="15"/>
  <c r="E24" i="15"/>
  <c r="E25" i="15"/>
  <c r="E26" i="15"/>
  <c r="E27" i="15"/>
  <c r="E28" i="15"/>
  <c r="E29" i="15"/>
  <c r="E30" i="15"/>
  <c r="E31" i="15"/>
  <c r="E32" i="15"/>
  <c r="E33" i="15"/>
  <c r="E34" i="15"/>
  <c r="E35" i="15"/>
  <c r="E36" i="15"/>
  <c r="E37" i="15"/>
  <c r="E38" i="15"/>
  <c r="E39" i="15"/>
  <c r="E40" i="15"/>
  <c r="D4" i="15"/>
  <c r="AE62" i="6" l="1"/>
  <c r="AE64" i="6" s="1"/>
  <c r="AF62" i="6" s="1"/>
  <c r="AF64" i="6" s="1"/>
  <c r="AG62" i="6" s="1"/>
  <c r="AG64" i="6" s="1"/>
  <c r="E4" i="15"/>
  <c r="AG66" i="4" l="1"/>
  <c r="AF66" i="4"/>
  <c r="AE66" i="4"/>
  <c r="AD66" i="4"/>
  <c r="AG55" i="4"/>
  <c r="AF55" i="4"/>
  <c r="AE55" i="4"/>
  <c r="AG44" i="4"/>
  <c r="AG46" i="4" s="1"/>
  <c r="AF44" i="4"/>
  <c r="AF46" i="4" s="1"/>
  <c r="AE44" i="4"/>
  <c r="AE46" i="4" s="1"/>
  <c r="AD46" i="4"/>
  <c r="AG33" i="4"/>
  <c r="AF33" i="4"/>
  <c r="AE33" i="4"/>
  <c r="AG20" i="4"/>
  <c r="AF20" i="4"/>
  <c r="AE20" i="4"/>
  <c r="BA28" i="16"/>
  <c r="BA27" i="16"/>
  <c r="BA25" i="16"/>
  <c r="BA23" i="16"/>
  <c r="BA22" i="16"/>
  <c r="BA21" i="16"/>
  <c r="BA20" i="16"/>
  <c r="BA18" i="16"/>
  <c r="BA17" i="16"/>
  <c r="BA16" i="16"/>
  <c r="BA15" i="16"/>
  <c r="BA14" i="16"/>
  <c r="BA13" i="16"/>
  <c r="BA12" i="16"/>
  <c r="BA11" i="16"/>
  <c r="BA10" i="16"/>
  <c r="BA8" i="16"/>
  <c r="BA7" i="16"/>
  <c r="BA6" i="16"/>
  <c r="BA5" i="16"/>
  <c r="AW4" i="16"/>
  <c r="AW19" i="16" s="1"/>
  <c r="AW24" i="16" s="1"/>
  <c r="AU28" i="16"/>
  <c r="AU27" i="16"/>
  <c r="AU25" i="16"/>
  <c r="AU23" i="16"/>
  <c r="AU22" i="16"/>
  <c r="AU21" i="16"/>
  <c r="AU20" i="16"/>
  <c r="AU18" i="16"/>
  <c r="AU17" i="16"/>
  <c r="AU16" i="16"/>
  <c r="AU15" i="16"/>
  <c r="AU14" i="16"/>
  <c r="AU13" i="16"/>
  <c r="AU12" i="16"/>
  <c r="AU11" i="16"/>
  <c r="AU10" i="16"/>
  <c r="AQ24" i="16"/>
  <c r="AU8" i="16"/>
  <c r="AU7" i="16"/>
  <c r="AU6" i="16"/>
  <c r="AU5" i="16"/>
  <c r="AQ4" i="16"/>
  <c r="AQ26" i="16" l="1"/>
  <c r="BA9" i="16"/>
  <c r="AW26" i="16"/>
  <c r="AW29" i="16" s="1"/>
  <c r="BA4" i="16"/>
  <c r="AD67" i="4"/>
  <c r="AD68" i="4" s="1"/>
  <c r="AE67" i="4"/>
  <c r="AE68" i="4" s="1"/>
  <c r="AF67" i="4"/>
  <c r="AF68" i="4" s="1"/>
  <c r="AG67" i="4"/>
  <c r="AG68" i="4" s="1"/>
  <c r="AD34" i="4"/>
  <c r="AE34" i="4"/>
  <c r="AF34" i="4"/>
  <c r="AG34" i="4"/>
  <c r="AU4" i="16"/>
  <c r="AU9" i="16"/>
  <c r="Q14" i="13"/>
  <c r="Q11" i="13"/>
  <c r="Q10" i="13"/>
  <c r="Q9" i="13"/>
  <c r="Q8" i="13"/>
  <c r="Q7" i="13"/>
  <c r="Q6" i="13"/>
  <c r="Q5" i="13"/>
  <c r="L14" i="13"/>
  <c r="L13" i="13"/>
  <c r="L11" i="13"/>
  <c r="L10" i="13"/>
  <c r="L9" i="13"/>
  <c r="L8" i="13"/>
  <c r="L7" i="13"/>
  <c r="L6" i="13"/>
  <c r="L5" i="13"/>
  <c r="G14" i="13"/>
  <c r="G13" i="13"/>
  <c r="G11" i="13"/>
  <c r="G10" i="13"/>
  <c r="G9" i="13"/>
  <c r="G8" i="13"/>
  <c r="G7" i="13"/>
  <c r="G6" i="13"/>
  <c r="G5" i="13"/>
  <c r="BA19" i="16" l="1"/>
  <c r="AW30" i="16"/>
  <c r="AW31" i="16" s="1"/>
  <c r="AU19" i="16"/>
  <c r="AU24" i="16" s="1"/>
  <c r="AU26" i="16" s="1"/>
  <c r="AU29" i="16" s="1"/>
  <c r="AQ30" i="16"/>
  <c r="AC66" i="4"/>
  <c r="BA24" i="16" l="1"/>
  <c r="BA26" i="16" s="1"/>
  <c r="BA29" i="16" s="1"/>
  <c r="BA30" i="16"/>
  <c r="BA31" i="16" s="1"/>
  <c r="AU30" i="16"/>
  <c r="AU31" i="16" s="1"/>
  <c r="AQ31" i="16"/>
  <c r="AC40" i="6"/>
  <c r="AB40" i="6" l="1"/>
  <c r="AB31" i="6" l="1"/>
  <c r="AB47" i="6"/>
  <c r="AB60" i="6"/>
  <c r="E86" i="15"/>
  <c r="E87" i="15"/>
  <c r="E88" i="15"/>
  <c r="E89" i="15"/>
  <c r="AH17" i="14"/>
  <c r="AH24" i="14"/>
  <c r="AH5" i="14" s="1"/>
  <c r="AH29" i="14"/>
  <c r="AB66" i="4"/>
  <c r="AN9" i="16"/>
  <c r="AM24" i="16"/>
  <c r="AN4" i="16"/>
  <c r="AH9" i="16"/>
  <c r="AH19" i="16" s="1"/>
  <c r="AH30" i="16" s="1"/>
  <c r="AH31" i="16" s="1"/>
  <c r="AH4" i="16"/>
  <c r="AN19" i="16" l="1"/>
  <c r="AH24" i="16"/>
  <c r="AH26" i="16" s="1"/>
  <c r="AH29" i="16" s="1"/>
  <c r="AB61" i="6"/>
  <c r="AN30" i="16" l="1"/>
  <c r="AN24" i="16"/>
  <c r="AG8" i="16"/>
  <c r="AN26" i="16" l="1"/>
  <c r="AN31" i="16"/>
  <c r="AJ22" i="16"/>
  <c r="E100" i="15" l="1"/>
  <c r="E83" i="15"/>
  <c r="E85" i="15"/>
  <c r="E84" i="15"/>
  <c r="E81" i="15"/>
  <c r="E82" i="15"/>
  <c r="E97" i="15"/>
  <c r="E98" i="15"/>
  <c r="E66" i="15"/>
  <c r="E80" i="15"/>
  <c r="AA40" i="6" l="1"/>
  <c r="AA66" i="4"/>
  <c r="AA33" i="4"/>
  <c r="AA20" i="4"/>
  <c r="AP22" i="16" l="1"/>
  <c r="E96" i="15" l="1"/>
  <c r="E99" i="15"/>
  <c r="Z33" i="4" l="1"/>
  <c r="E95" i="15" l="1"/>
  <c r="E94" i="15"/>
  <c r="E93" i="15"/>
  <c r="AJ29" i="14"/>
  <c r="AI29" i="14"/>
  <c r="AG29" i="14"/>
  <c r="AF29" i="14"/>
  <c r="AJ24" i="14"/>
  <c r="AJ5" i="14" s="1"/>
  <c r="AI24" i="14"/>
  <c r="AG24" i="14"/>
  <c r="AF24" i="14"/>
  <c r="AI17" i="14"/>
  <c r="AG17" i="14"/>
  <c r="AF17" i="14"/>
  <c r="AI7" i="14"/>
  <c r="AF7" i="14"/>
  <c r="AF5" i="14" s="1"/>
  <c r="AC60" i="6"/>
  <c r="AA60" i="6"/>
  <c r="Z60" i="6"/>
  <c r="AC47" i="6"/>
  <c r="AA47" i="6"/>
  <c r="Z47" i="6"/>
  <c r="AA5" i="6"/>
  <c r="Z5" i="6"/>
  <c r="Z28" i="6" s="1"/>
  <c r="Z31" i="6" s="1"/>
  <c r="Z66" i="4"/>
  <c r="AC55" i="4"/>
  <c r="AB55" i="4"/>
  <c r="AA55" i="4"/>
  <c r="Z55" i="4"/>
  <c r="AC46" i="4"/>
  <c r="AB44" i="4"/>
  <c r="AA44" i="4"/>
  <c r="AA46" i="4" s="1"/>
  <c r="Z44" i="4"/>
  <c r="Z46" i="4" s="1"/>
  <c r="AA34" i="4"/>
  <c r="AB46" i="4" l="1"/>
  <c r="AB34" i="4"/>
  <c r="AI5" i="14"/>
  <c r="AG5" i="14"/>
  <c r="Z61" i="6"/>
  <c r="Z34" i="4"/>
  <c r="AC67" i="4"/>
  <c r="AC68" i="4" s="1"/>
  <c r="AC34" i="4"/>
  <c r="Z67" i="4"/>
  <c r="Z68" i="4" s="1"/>
  <c r="AA67" i="4"/>
  <c r="AA68" i="4" s="1"/>
  <c r="AB67" i="4"/>
  <c r="AB68" i="4" l="1"/>
  <c r="AJ28" i="16"/>
  <c r="AJ27" i="16"/>
  <c r="AJ23" i="16"/>
  <c r="AJ21" i="16"/>
  <c r="AJ20" i="16"/>
  <c r="AJ18" i="16"/>
  <c r="AJ17" i="16"/>
  <c r="AJ16" i="16"/>
  <c r="AJ15" i="16"/>
  <c r="AJ14" i="16"/>
  <c r="AJ13" i="16"/>
  <c r="AJ12" i="16"/>
  <c r="AJ11" i="16"/>
  <c r="AJ10" i="16"/>
  <c r="AI9" i="16"/>
  <c r="AG9" i="16"/>
  <c r="AF9" i="16"/>
  <c r="AJ8" i="16"/>
  <c r="AJ7" i="16"/>
  <c r="AJ6" i="16"/>
  <c r="AJ5" i="16"/>
  <c r="AI4" i="16"/>
  <c r="AG4" i="16"/>
  <c r="AF4" i="16"/>
  <c r="AF19" i="16" s="1"/>
  <c r="AP28" i="16"/>
  <c r="AP27" i="16"/>
  <c r="AP23" i="16"/>
  <c r="AP21" i="16"/>
  <c r="AP20" i="16"/>
  <c r="AP18" i="16"/>
  <c r="AP17" i="16"/>
  <c r="AP16" i="16"/>
  <c r="AP15" i="16"/>
  <c r="AP14" i="16"/>
  <c r="AP13" i="16"/>
  <c r="AP12" i="16"/>
  <c r="AP11" i="16"/>
  <c r="AP10" i="16"/>
  <c r="AO9" i="16"/>
  <c r="AM9" i="16"/>
  <c r="AL9" i="16"/>
  <c r="AP8" i="16"/>
  <c r="AP7" i="16"/>
  <c r="AP6" i="16"/>
  <c r="AP5" i="16"/>
  <c r="AO4" i="16"/>
  <c r="AM4" i="16"/>
  <c r="AL4" i="16"/>
  <c r="AO19" i="16" l="1"/>
  <c r="AO30" i="16" s="1"/>
  <c r="AO31" i="16" s="1"/>
  <c r="AI19" i="16"/>
  <c r="AI24" i="16" s="1"/>
  <c r="AM19" i="16"/>
  <c r="AM30" i="16" s="1"/>
  <c r="AP9" i="16"/>
  <c r="AG19" i="16"/>
  <c r="AG30" i="16" s="1"/>
  <c r="AG31" i="16" s="1"/>
  <c r="AJ9" i="16"/>
  <c r="AJ4" i="16"/>
  <c r="AF30" i="16"/>
  <c r="AF24" i="16"/>
  <c r="AP4" i="16"/>
  <c r="AL19" i="16"/>
  <c r="AF31" i="16" l="1"/>
  <c r="AF26" i="16"/>
  <c r="AF29" i="16" s="1"/>
  <c r="AO26" i="16"/>
  <c r="AI30" i="16"/>
  <c r="AI31" i="16" s="1"/>
  <c r="AM31" i="16"/>
  <c r="AM26" i="16"/>
  <c r="AM29" i="16" s="1"/>
  <c r="AP19" i="16"/>
  <c r="AP24" i="16" s="1"/>
  <c r="AP26" i="16" s="1"/>
  <c r="AG24" i="16"/>
  <c r="AG26" i="16" s="1"/>
  <c r="AG29" i="16" s="1"/>
  <c r="AJ19" i="16"/>
  <c r="AJ30" i="16" s="1"/>
  <c r="AJ31" i="16" s="1"/>
  <c r="AL30" i="16"/>
  <c r="AL24" i="16"/>
  <c r="AL26" i="16" l="1"/>
  <c r="AL31" i="16"/>
  <c r="AP29" i="16"/>
  <c r="AA28" i="6"/>
  <c r="AA31" i="6" s="1"/>
  <c r="AA61" i="6" s="1"/>
  <c r="AP30" i="16"/>
  <c r="AJ24" i="16"/>
  <c r="AE23" i="16"/>
  <c r="AL29" i="16" l="1"/>
  <c r="AP31" i="16"/>
  <c r="AE22" i="16"/>
  <c r="Z22" i="16"/>
  <c r="P22" i="16"/>
  <c r="K22" i="16"/>
  <c r="F22" i="16"/>
  <c r="E71" i="15" l="1"/>
  <c r="E74" i="15"/>
  <c r="E65" i="15"/>
  <c r="E59" i="15"/>
  <c r="E60" i="15"/>
  <c r="AC9" i="16" l="1"/>
  <c r="AE26" i="14" l="1"/>
  <c r="AE27" i="14"/>
  <c r="AE25" i="14"/>
  <c r="AE29" i="14"/>
  <c r="AD29" i="14"/>
  <c r="AD24" i="14"/>
  <c r="AE17" i="14"/>
  <c r="AD17" i="14"/>
  <c r="AD7" i="14"/>
  <c r="AE8" i="14"/>
  <c r="AE9" i="14"/>
  <c r="AE10" i="14"/>
  <c r="AE11" i="14"/>
  <c r="AE12" i="14"/>
  <c r="Y5" i="6"/>
  <c r="Y28" i="6" s="1"/>
  <c r="Y31" i="6" s="1"/>
  <c r="Y60" i="6"/>
  <c r="Y47" i="6"/>
  <c r="Y33" i="4"/>
  <c r="Y66" i="4"/>
  <c r="Y55" i="4"/>
  <c r="Y44" i="4"/>
  <c r="Y46" i="4" s="1"/>
  <c r="AE28" i="16"/>
  <c r="AE27" i="16"/>
  <c r="AE25" i="16"/>
  <c r="AE21" i="16"/>
  <c r="AE20" i="16"/>
  <c r="AE18" i="16"/>
  <c r="AE17" i="16"/>
  <c r="AE16" i="16"/>
  <c r="AE15" i="16"/>
  <c r="AE14" i="16"/>
  <c r="AE13" i="16"/>
  <c r="AE12" i="16"/>
  <c r="AE11" i="16"/>
  <c r="AE10" i="16"/>
  <c r="AE6" i="16"/>
  <c r="AE7" i="16"/>
  <c r="AE8" i="16"/>
  <c r="AE5" i="16"/>
  <c r="AD4" i="16"/>
  <c r="AD9" i="16"/>
  <c r="AE24" i="14" l="1"/>
  <c r="AD5" i="14"/>
  <c r="AE7" i="14"/>
  <c r="Y61" i="6"/>
  <c r="Y67" i="4"/>
  <c r="Y68" i="4" s="1"/>
  <c r="Y34" i="4"/>
  <c r="AE9" i="16"/>
  <c r="AD19" i="16"/>
  <c r="AD24" i="16" s="1"/>
  <c r="AE4" i="16"/>
  <c r="AC29" i="14"/>
  <c r="AC24" i="14"/>
  <c r="AC17" i="14"/>
  <c r="AC7" i="14"/>
  <c r="X60" i="6"/>
  <c r="X47" i="6"/>
  <c r="X5" i="6"/>
  <c r="X28" i="6" s="1"/>
  <c r="X31" i="6" s="1"/>
  <c r="X66" i="4"/>
  <c r="X55" i="4"/>
  <c r="X44" i="4"/>
  <c r="X46" i="4" s="1"/>
  <c r="X33" i="4"/>
  <c r="X20" i="4"/>
  <c r="AC4" i="16"/>
  <c r="X34" i="4" l="1"/>
  <c r="AE5" i="14"/>
  <c r="AC5" i="14"/>
  <c r="AD30" i="16"/>
  <c r="AD31" i="16" s="1"/>
  <c r="AD26" i="16"/>
  <c r="AD29" i="16" s="1"/>
  <c r="X61" i="6"/>
  <c r="X67" i="4"/>
  <c r="X68" i="4" s="1"/>
  <c r="AE19" i="16"/>
  <c r="AE24" i="16" s="1"/>
  <c r="AC19" i="16"/>
  <c r="AC24" i="16" s="1"/>
  <c r="AE26" i="16" l="1"/>
  <c r="AC26" i="16"/>
  <c r="AC29" i="16" s="1"/>
  <c r="AC30" i="16"/>
  <c r="AC31" i="16" s="1"/>
  <c r="AE30" i="16"/>
  <c r="AE31" i="16" s="1"/>
  <c r="AE29" i="16" l="1"/>
  <c r="E79" i="15"/>
  <c r="E76" i="15"/>
  <c r="E78" i="15"/>
  <c r="E77" i="15"/>
  <c r="E75" i="15"/>
  <c r="E72" i="15"/>
  <c r="E73" i="15"/>
  <c r="E70" i="15"/>
  <c r="E69" i="15"/>
  <c r="E68" i="15"/>
  <c r="E67" i="15"/>
  <c r="E64" i="15"/>
  <c r="E63" i="15"/>
  <c r="E62" i="15"/>
  <c r="E61" i="15"/>
  <c r="E58" i="15"/>
  <c r="E57" i="15"/>
  <c r="AB29" i="14"/>
  <c r="AB24" i="14"/>
  <c r="AB17" i="14"/>
  <c r="AB7" i="14"/>
  <c r="W60" i="6"/>
  <c r="W47" i="6"/>
  <c r="W5" i="6"/>
  <c r="W66" i="4"/>
  <c r="W55" i="4"/>
  <c r="W44" i="4"/>
  <c r="W46" i="4" s="1"/>
  <c r="W33" i="4"/>
  <c r="W20" i="4"/>
  <c r="AB9" i="16"/>
  <c r="AB4" i="16"/>
  <c r="AB19" i="16" s="1"/>
  <c r="AB24" i="16" s="1"/>
  <c r="W34" i="4" l="1"/>
  <c r="AB30" i="16"/>
  <c r="AB31" i="16" s="1"/>
  <c r="AB26" i="16"/>
  <c r="AB29" i="16" s="1"/>
  <c r="W67" i="4"/>
  <c r="W68" i="4" s="1"/>
  <c r="AB5" i="14"/>
  <c r="V58" i="6" l="1"/>
  <c r="Y9" i="16" l="1"/>
  <c r="X9" i="16"/>
  <c r="W9" i="16"/>
  <c r="V9" i="16"/>
  <c r="U9" i="16"/>
  <c r="T9" i="16"/>
  <c r="S9" i="16"/>
  <c r="R9" i="16"/>
  <c r="Q9" i="16"/>
  <c r="O9" i="16"/>
  <c r="N9" i="16"/>
  <c r="M9" i="16"/>
  <c r="L9" i="16"/>
  <c r="J9" i="16"/>
  <c r="I9" i="16"/>
  <c r="H9" i="16"/>
  <c r="G9" i="16"/>
  <c r="E9" i="16"/>
  <c r="D9" i="16"/>
  <c r="C9" i="16"/>
  <c r="B9" i="16"/>
  <c r="AA9" i="16"/>
  <c r="Z10" i="16"/>
  <c r="AA29" i="14"/>
  <c r="AA24" i="14"/>
  <c r="AA17" i="14"/>
  <c r="AA7" i="14"/>
  <c r="V60" i="6"/>
  <c r="V47" i="6"/>
  <c r="V5" i="6"/>
  <c r="V66" i="4"/>
  <c r="V55" i="4"/>
  <c r="V44" i="4"/>
  <c r="V46" i="4" s="1"/>
  <c r="V33" i="4"/>
  <c r="V20" i="4"/>
  <c r="AA4" i="16"/>
  <c r="AA5" i="14" l="1"/>
  <c r="V67" i="4"/>
  <c r="V68" i="4" s="1"/>
  <c r="V34" i="4"/>
  <c r="AA19" i="16"/>
  <c r="AA24" i="16" s="1"/>
  <c r="AA26" i="16" l="1"/>
  <c r="AA30" i="16"/>
  <c r="AA31" i="16" s="1"/>
  <c r="Z16" i="14"/>
  <c r="W28" i="6" l="1"/>
  <c r="W31" i="6" s="1"/>
  <c r="W61" i="6" s="1"/>
  <c r="AA29" i="16"/>
  <c r="V28" i="6"/>
  <c r="V31" i="6" s="1"/>
  <c r="V61" i="6" s="1"/>
  <c r="T9" i="13"/>
  <c r="R9" i="13"/>
  <c r="Z28" i="16"/>
  <c r="Z27" i="16"/>
  <c r="Z25" i="16"/>
  <c r="P25" i="16"/>
  <c r="K25" i="16"/>
  <c r="F25" i="16"/>
  <c r="Z21" i="16"/>
  <c r="P21" i="16"/>
  <c r="K21" i="16"/>
  <c r="F21" i="16"/>
  <c r="Z20" i="16"/>
  <c r="P20" i="16"/>
  <c r="K20" i="16"/>
  <c r="F20" i="16"/>
  <c r="Z18" i="16"/>
  <c r="P18" i="16"/>
  <c r="K18" i="16"/>
  <c r="F18" i="16"/>
  <c r="Z17" i="16"/>
  <c r="P17" i="16"/>
  <c r="K17" i="16"/>
  <c r="F17" i="16"/>
  <c r="Z16" i="16"/>
  <c r="P16" i="16"/>
  <c r="K16" i="16"/>
  <c r="F16" i="16"/>
  <c r="Z12" i="16"/>
  <c r="P12" i="16"/>
  <c r="K12" i="16"/>
  <c r="F12" i="16"/>
  <c r="Z15" i="16"/>
  <c r="P15" i="16"/>
  <c r="K15" i="16"/>
  <c r="F15" i="16"/>
  <c r="P10" i="16"/>
  <c r="K10" i="16"/>
  <c r="F10" i="16"/>
  <c r="Z11" i="16"/>
  <c r="P11" i="16"/>
  <c r="K11" i="16"/>
  <c r="F11" i="16"/>
  <c r="Z14" i="16"/>
  <c r="P14" i="16"/>
  <c r="K14" i="16"/>
  <c r="F14" i="16"/>
  <c r="Z13" i="16"/>
  <c r="P13" i="16"/>
  <c r="K13" i="16"/>
  <c r="F13" i="16"/>
  <c r="Z8" i="16"/>
  <c r="P8" i="16"/>
  <c r="K8" i="16"/>
  <c r="F8" i="16"/>
  <c r="Z7" i="16"/>
  <c r="P7" i="16"/>
  <c r="K7" i="16"/>
  <c r="F7" i="16"/>
  <c r="Z6" i="16"/>
  <c r="P6" i="16"/>
  <c r="K6" i="16"/>
  <c r="F6" i="16"/>
  <c r="Z5" i="16"/>
  <c r="Z4" i="16" s="1"/>
  <c r="P5" i="16"/>
  <c r="P4" i="16" s="1"/>
  <c r="K5" i="16"/>
  <c r="K4" i="16" s="1"/>
  <c r="F5" i="16"/>
  <c r="F4" i="16" s="1"/>
  <c r="Y4" i="16"/>
  <c r="X4" i="16"/>
  <c r="W4" i="16"/>
  <c r="V4" i="16"/>
  <c r="U4" i="16"/>
  <c r="T4" i="16"/>
  <c r="S4" i="16"/>
  <c r="R4" i="16"/>
  <c r="Q4" i="16"/>
  <c r="O4" i="16"/>
  <c r="N4" i="16"/>
  <c r="M4" i="16"/>
  <c r="L4" i="16"/>
  <c r="J4" i="16"/>
  <c r="I4" i="16"/>
  <c r="H4" i="16"/>
  <c r="G4" i="16"/>
  <c r="E4" i="16"/>
  <c r="D4" i="16"/>
  <c r="C4" i="16"/>
  <c r="B4" i="16"/>
  <c r="K9" i="16" l="1"/>
  <c r="K19" i="16" s="1"/>
  <c r="K24" i="16" s="1"/>
  <c r="Z9" i="16"/>
  <c r="P9" i="16"/>
  <c r="P19" i="16" s="1"/>
  <c r="P24" i="16" s="1"/>
  <c r="F9" i="16"/>
  <c r="F19" i="16" s="1"/>
  <c r="F24" i="16" s="1"/>
  <c r="V9" i="13"/>
  <c r="B19" i="16"/>
  <c r="B24" i="16" s="1"/>
  <c r="L19" i="16"/>
  <c r="L24" i="16" s="1"/>
  <c r="T19" i="16"/>
  <c r="T24" i="16" s="1"/>
  <c r="Y19" i="16"/>
  <c r="Y24" i="16" s="1"/>
  <c r="C19" i="16"/>
  <c r="C24" i="16" s="1"/>
  <c r="D19" i="16"/>
  <c r="D24" i="16" s="1"/>
  <c r="N19" i="16"/>
  <c r="N24" i="16" s="1"/>
  <c r="E19" i="16"/>
  <c r="E24" i="16" s="1"/>
  <c r="O19" i="16"/>
  <c r="O24" i="16" s="1"/>
  <c r="M19" i="16"/>
  <c r="M24" i="16" s="1"/>
  <c r="H19" i="16"/>
  <c r="H24" i="16" s="1"/>
  <c r="Q19" i="16"/>
  <c r="Q24" i="16" s="1"/>
  <c r="U19" i="16"/>
  <c r="U24" i="16" s="1"/>
  <c r="R19" i="16"/>
  <c r="R24" i="16" s="1"/>
  <c r="V19" i="16"/>
  <c r="V24" i="16" s="1"/>
  <c r="Z19" i="16"/>
  <c r="Z24" i="16" s="1"/>
  <c r="J19" i="16"/>
  <c r="J24" i="16" s="1"/>
  <c r="S19" i="16"/>
  <c r="S24" i="16" s="1"/>
  <c r="W19" i="16"/>
  <c r="W24" i="16" s="1"/>
  <c r="X19" i="16"/>
  <c r="X24" i="16" s="1"/>
  <c r="I19" i="16"/>
  <c r="I24" i="16" s="1"/>
  <c r="G19" i="16"/>
  <c r="G24" i="16" s="1"/>
  <c r="O30" i="16" l="1"/>
  <c r="O31" i="16" s="1"/>
  <c r="R30" i="16"/>
  <c r="R31" i="16" s="1"/>
  <c r="R26" i="16"/>
  <c r="R29" i="16" s="1"/>
  <c r="N30" i="16"/>
  <c r="N31" i="16" s="1"/>
  <c r="T26" i="16"/>
  <c r="J26" i="16"/>
  <c r="J29" i="16" s="1"/>
  <c r="U26" i="16"/>
  <c r="D30" i="16"/>
  <c r="D31" i="16" s="1"/>
  <c r="L30" i="16"/>
  <c r="L31" i="16" s="1"/>
  <c r="P26" i="16"/>
  <c r="X30" i="16"/>
  <c r="X31" i="16" s="1"/>
  <c r="X26" i="16"/>
  <c r="X29" i="16" s="1"/>
  <c r="Z30" i="16"/>
  <c r="Z31" i="16" s="1"/>
  <c r="Q26" i="16"/>
  <c r="O26" i="16"/>
  <c r="O29" i="16" s="1"/>
  <c r="C30" i="16"/>
  <c r="C31" i="16" s="1"/>
  <c r="C26" i="16"/>
  <c r="B26" i="16"/>
  <c r="B27" i="16" s="1"/>
  <c r="S26" i="16"/>
  <c r="F26" i="16"/>
  <c r="F27" i="16" s="1"/>
  <c r="M30" i="16"/>
  <c r="M31" i="16" s="1"/>
  <c r="W30" i="16"/>
  <c r="W31" i="16" s="1"/>
  <c r="V30" i="16"/>
  <c r="V31" i="16" s="1"/>
  <c r="H30" i="16"/>
  <c r="H31" i="16" s="1"/>
  <c r="E26" i="16"/>
  <c r="Y30" i="16"/>
  <c r="Y31" i="16" s="1"/>
  <c r="Y26" i="16"/>
  <c r="Y29" i="16" s="1"/>
  <c r="U30" i="16"/>
  <c r="U31" i="16" s="1"/>
  <c r="M26" i="16"/>
  <c r="M27" i="16" s="1"/>
  <c r="B30" i="16"/>
  <c r="B31" i="16" s="1"/>
  <c r="D26" i="16"/>
  <c r="D27" i="16" s="1"/>
  <c r="P30" i="16"/>
  <c r="P31" i="16" s="1"/>
  <c r="L26" i="16"/>
  <c r="L27" i="16" s="1"/>
  <c r="N26" i="16"/>
  <c r="N27" i="16" s="1"/>
  <c r="T30" i="16"/>
  <c r="T31" i="16" s="1"/>
  <c r="E30" i="16"/>
  <c r="E31" i="16" s="1"/>
  <c r="S30" i="16"/>
  <c r="S31" i="16" s="1"/>
  <c r="W26" i="16"/>
  <c r="W29" i="16" s="1"/>
  <c r="Q30" i="16"/>
  <c r="Q31" i="16" s="1"/>
  <c r="Z26" i="16"/>
  <c r="Z29" i="16" s="1"/>
  <c r="F30" i="16"/>
  <c r="F31" i="16" s="1"/>
  <c r="J30" i="16"/>
  <c r="J31" i="16" s="1"/>
  <c r="H26" i="16"/>
  <c r="H29" i="16" s="1"/>
  <c r="V26" i="16"/>
  <c r="K30" i="16"/>
  <c r="K31" i="16" s="1"/>
  <c r="K26" i="16"/>
  <c r="I30" i="16"/>
  <c r="I31" i="16" s="1"/>
  <c r="I26" i="16"/>
  <c r="G30" i="16"/>
  <c r="G31" i="16" s="1"/>
  <c r="G26" i="16"/>
  <c r="O27" i="16"/>
  <c r="J27" i="16" l="1"/>
  <c r="P27" i="16"/>
  <c r="P29" i="16"/>
  <c r="C27" i="16"/>
  <c r="C29" i="16"/>
  <c r="Q4" i="6"/>
  <c r="U27" i="16"/>
  <c r="U29" i="16"/>
  <c r="Q27" i="16"/>
  <c r="Q29" i="16"/>
  <c r="S27" i="16"/>
  <c r="S29" i="16"/>
  <c r="E29" i="16"/>
  <c r="E27" i="16"/>
  <c r="T29" i="16"/>
  <c r="T27" i="16"/>
  <c r="B29" i="16"/>
  <c r="F29" i="16"/>
  <c r="D29" i="16"/>
  <c r="M29" i="16"/>
  <c r="L29" i="16"/>
  <c r="K4" i="6"/>
  <c r="N29" i="16"/>
  <c r="U4" i="6"/>
  <c r="R27" i="16"/>
  <c r="V29" i="16"/>
  <c r="S4" i="6"/>
  <c r="T4" i="6" s="1"/>
  <c r="R4" i="6"/>
  <c r="H27" i="16"/>
  <c r="P4" i="6"/>
  <c r="G29" i="16"/>
  <c r="G27" i="16"/>
  <c r="I27" i="16"/>
  <c r="I29" i="16"/>
  <c r="K29" i="16"/>
  <c r="K27" i="16"/>
  <c r="Z29" i="14" l="1"/>
  <c r="Y29" i="14"/>
  <c r="Z27" i="14"/>
  <c r="Z26" i="14"/>
  <c r="Z25" i="14"/>
  <c r="Y24" i="14"/>
  <c r="Z17" i="14"/>
  <c r="Y17" i="14"/>
  <c r="Z12" i="14"/>
  <c r="Z11" i="14"/>
  <c r="Z10" i="14"/>
  <c r="Z9" i="14"/>
  <c r="Z8" i="14"/>
  <c r="Y7" i="14"/>
  <c r="U60" i="6"/>
  <c r="U47" i="6"/>
  <c r="U5" i="6"/>
  <c r="U66" i="4"/>
  <c r="U55" i="4"/>
  <c r="U44" i="4"/>
  <c r="U46" i="4" s="1"/>
  <c r="U33" i="4"/>
  <c r="U20" i="4"/>
  <c r="Z24" i="14" l="1"/>
  <c r="Z7" i="14"/>
  <c r="Y5" i="14"/>
  <c r="U28" i="6"/>
  <c r="U31" i="6" s="1"/>
  <c r="U61" i="6" s="1"/>
  <c r="U67" i="4"/>
  <c r="U68" i="4" s="1"/>
  <c r="U34" i="4"/>
  <c r="Z5" i="14" l="1"/>
  <c r="X29" i="14" l="1"/>
  <c r="X24" i="14"/>
  <c r="X17" i="14"/>
  <c r="X7" i="14"/>
  <c r="T60" i="6"/>
  <c r="T47" i="6"/>
  <c r="T5" i="6"/>
  <c r="T66" i="4"/>
  <c r="T55" i="4"/>
  <c r="T44" i="4"/>
  <c r="T46" i="4" s="1"/>
  <c r="T33" i="4"/>
  <c r="T20" i="4"/>
  <c r="X5" i="14" l="1"/>
  <c r="T67" i="4"/>
  <c r="T68" i="4" s="1"/>
  <c r="T34" i="4"/>
  <c r="T28" i="6"/>
  <c r="T31" i="6" s="1"/>
  <c r="T61" i="6" s="1"/>
  <c r="W29" i="14" l="1"/>
  <c r="W24" i="14"/>
  <c r="W17" i="14"/>
  <c r="W7" i="14"/>
  <c r="S60" i="6"/>
  <c r="S47" i="6"/>
  <c r="S5" i="6"/>
  <c r="S66" i="4"/>
  <c r="S55" i="4"/>
  <c r="S44" i="4"/>
  <c r="S46" i="4" s="1"/>
  <c r="S33" i="4"/>
  <c r="S20" i="4"/>
  <c r="W5" i="14" l="1"/>
  <c r="S67" i="4"/>
  <c r="S68" i="4" s="1"/>
  <c r="S34" i="4"/>
  <c r="B5" i="4"/>
  <c r="V29" i="14" l="1"/>
  <c r="V24" i="14"/>
  <c r="V17" i="14"/>
  <c r="V7" i="14"/>
  <c r="R60" i="6"/>
  <c r="R47" i="6"/>
  <c r="R5" i="6"/>
  <c r="R66" i="4"/>
  <c r="R55" i="4"/>
  <c r="R44" i="4"/>
  <c r="R46" i="4" s="1"/>
  <c r="R33" i="4"/>
  <c r="R20" i="4"/>
  <c r="T10" i="13" l="1"/>
  <c r="V5" i="14"/>
  <c r="R67" i="4"/>
  <c r="R68" i="4" s="1"/>
  <c r="R34" i="4"/>
  <c r="U26" i="14" l="1"/>
  <c r="U27" i="14"/>
  <c r="U25" i="14"/>
  <c r="U12" i="14"/>
  <c r="U11" i="14"/>
  <c r="U10" i="14"/>
  <c r="U9" i="14"/>
  <c r="U8" i="14"/>
  <c r="T7" i="14"/>
  <c r="U29" i="14"/>
  <c r="T29" i="14"/>
  <c r="T24" i="14"/>
  <c r="U17" i="14"/>
  <c r="T17" i="14"/>
  <c r="Q60" i="6"/>
  <c r="Q47" i="6"/>
  <c r="Q5" i="6"/>
  <c r="Q66" i="4"/>
  <c r="Q55" i="4"/>
  <c r="Q44" i="4"/>
  <c r="Q46" i="4" s="1"/>
  <c r="Q33" i="4"/>
  <c r="Q20" i="4"/>
  <c r="U24" i="14" l="1"/>
  <c r="U7" i="14"/>
  <c r="S28" i="6"/>
  <c r="S31" i="6" s="1"/>
  <c r="S61" i="6" s="1"/>
  <c r="R28" i="6"/>
  <c r="R31" i="6" s="1"/>
  <c r="R61" i="6" s="1"/>
  <c r="T5" i="14"/>
  <c r="Q67" i="4"/>
  <c r="Q68" i="4" s="1"/>
  <c r="Q34" i="4"/>
  <c r="U5" i="14" l="1"/>
  <c r="Q28" i="6"/>
  <c r="Q31" i="6" s="1"/>
  <c r="Q61" i="6" s="1"/>
  <c r="Q64" i="6" s="1"/>
  <c r="U62" i="6" l="1"/>
  <c r="U64" i="6" s="1"/>
  <c r="X62" i="6" s="1"/>
  <c r="Y62" i="6" s="1"/>
  <c r="T62" i="6"/>
  <c r="T64" i="6" s="1"/>
  <c r="S62" i="6"/>
  <c r="S64" i="6" s="1"/>
  <c r="R62" i="6"/>
  <c r="R64" i="6" s="1"/>
  <c r="G27" i="6"/>
  <c r="H27" i="6"/>
  <c r="Y64" i="6" l="1"/>
  <c r="X64" i="6"/>
  <c r="V62" i="6"/>
  <c r="V64" i="6" s="1"/>
  <c r="W62" i="6"/>
  <c r="W64" i="6" s="1"/>
  <c r="K32" i="14"/>
  <c r="K31" i="14"/>
  <c r="K30" i="14"/>
  <c r="S29" i="14"/>
  <c r="R29" i="14"/>
  <c r="Q29" i="14"/>
  <c r="P29" i="14"/>
  <c r="O29" i="14"/>
  <c r="N29" i="14"/>
  <c r="M29" i="14"/>
  <c r="L29" i="14"/>
  <c r="J29" i="14"/>
  <c r="I29" i="14"/>
  <c r="H29" i="14"/>
  <c r="G29" i="14"/>
  <c r="K27" i="14"/>
  <c r="K26" i="14"/>
  <c r="K25" i="14"/>
  <c r="S24" i="14"/>
  <c r="R24" i="14"/>
  <c r="Q24" i="14"/>
  <c r="P24" i="14"/>
  <c r="O24" i="14"/>
  <c r="N24" i="14"/>
  <c r="M24" i="14"/>
  <c r="L24" i="14"/>
  <c r="J24" i="14"/>
  <c r="I24" i="14"/>
  <c r="H24" i="14"/>
  <c r="G24" i="14"/>
  <c r="K22" i="14"/>
  <c r="F22" i="14"/>
  <c r="K21" i="14"/>
  <c r="F21" i="14"/>
  <c r="K20" i="14"/>
  <c r="F20" i="14"/>
  <c r="K19" i="14"/>
  <c r="F19" i="14"/>
  <c r="K18" i="14"/>
  <c r="F18" i="14"/>
  <c r="S17" i="14"/>
  <c r="R17" i="14"/>
  <c r="Q17" i="14"/>
  <c r="P17" i="14"/>
  <c r="O17" i="14"/>
  <c r="N17" i="14"/>
  <c r="M17" i="14"/>
  <c r="L17" i="14"/>
  <c r="J17" i="14"/>
  <c r="I17" i="14"/>
  <c r="H17" i="14"/>
  <c r="G17" i="14"/>
  <c r="E17" i="14"/>
  <c r="D17" i="14"/>
  <c r="C17" i="14"/>
  <c r="B17" i="14"/>
  <c r="N15" i="14"/>
  <c r="K15" i="14"/>
  <c r="F15" i="14"/>
  <c r="K12" i="14"/>
  <c r="F12" i="14"/>
  <c r="K11" i="14"/>
  <c r="F11" i="14"/>
  <c r="K10" i="14"/>
  <c r="F10" i="14"/>
  <c r="K9" i="14"/>
  <c r="F9" i="14"/>
  <c r="K8" i="14"/>
  <c r="F8" i="14"/>
  <c r="S7" i="14"/>
  <c r="R7" i="14"/>
  <c r="Q7" i="14"/>
  <c r="Q16" i="14" s="1"/>
  <c r="P7" i="14"/>
  <c r="O7" i="14"/>
  <c r="N7" i="14"/>
  <c r="M7" i="14"/>
  <c r="M16" i="14" s="1"/>
  <c r="L7" i="14"/>
  <c r="L16" i="14" s="1"/>
  <c r="J7" i="14"/>
  <c r="J16" i="14" s="1"/>
  <c r="I7" i="14"/>
  <c r="I16" i="14" s="1"/>
  <c r="H7" i="14"/>
  <c r="H16" i="14" s="1"/>
  <c r="G7" i="14"/>
  <c r="E7" i="14"/>
  <c r="E16" i="14" s="1"/>
  <c r="D7" i="14"/>
  <c r="D16" i="14" s="1"/>
  <c r="C7" i="14"/>
  <c r="C16" i="14" s="1"/>
  <c r="B7" i="14"/>
  <c r="B16" i="14" s="1"/>
  <c r="Z62" i="6" l="1"/>
  <c r="Z64" i="6" s="1"/>
  <c r="AB62" i="6"/>
  <c r="AC62" i="6" s="1"/>
  <c r="AA62" i="6"/>
  <c r="I5" i="14"/>
  <c r="G5" i="14"/>
  <c r="P5" i="14"/>
  <c r="L5" i="14"/>
  <c r="F7" i="14"/>
  <c r="F16" i="14" s="1"/>
  <c r="K17" i="14"/>
  <c r="R5" i="14"/>
  <c r="N5" i="14"/>
  <c r="K29" i="14"/>
  <c r="K7" i="14"/>
  <c r="K16" i="14" s="1"/>
  <c r="K24" i="14"/>
  <c r="H5" i="14"/>
  <c r="Q5" i="14"/>
  <c r="F17" i="14"/>
  <c r="M5" i="14"/>
  <c r="G16" i="14"/>
  <c r="O5" i="14"/>
  <c r="S5" i="14"/>
  <c r="J5" i="14"/>
  <c r="AB64" i="6" l="1"/>
  <c r="AA64" i="6"/>
  <c r="K5" i="14"/>
  <c r="B60" i="6"/>
  <c r="I60" i="6"/>
  <c r="J60" i="6"/>
  <c r="K60" i="6"/>
  <c r="L60" i="6"/>
  <c r="M60" i="6"/>
  <c r="N60" i="6"/>
  <c r="O60" i="6"/>
  <c r="P60" i="6"/>
  <c r="J65" i="4"/>
  <c r="I65" i="4"/>
  <c r="H65" i="4"/>
  <c r="G65" i="4"/>
  <c r="F65" i="4"/>
  <c r="E65" i="4"/>
  <c r="D65" i="4"/>
  <c r="C65" i="4"/>
  <c r="J64" i="4"/>
  <c r="I64" i="4"/>
  <c r="H64" i="4"/>
  <c r="G64" i="4"/>
  <c r="F64" i="4"/>
  <c r="E64" i="4"/>
  <c r="D64" i="4"/>
  <c r="C64" i="4"/>
  <c r="J63" i="4"/>
  <c r="I63" i="4"/>
  <c r="H63" i="4"/>
  <c r="G63" i="4"/>
  <c r="F63" i="4"/>
  <c r="E63" i="4"/>
  <c r="D63" i="4"/>
  <c r="C63" i="4"/>
  <c r="J61" i="4"/>
  <c r="I61" i="4"/>
  <c r="H61" i="4"/>
  <c r="G61" i="4"/>
  <c r="F61" i="4"/>
  <c r="E61" i="4"/>
  <c r="D61" i="4"/>
  <c r="C61" i="4"/>
  <c r="J58" i="4"/>
  <c r="I58" i="4"/>
  <c r="H58" i="4"/>
  <c r="G58" i="4"/>
  <c r="F58" i="4"/>
  <c r="E58" i="4"/>
  <c r="D58" i="4"/>
  <c r="C58" i="4"/>
  <c r="J57" i="4"/>
  <c r="I57" i="4"/>
  <c r="H57" i="4"/>
  <c r="G57" i="4"/>
  <c r="F57" i="4"/>
  <c r="E57" i="4"/>
  <c r="D57" i="4"/>
  <c r="C57" i="4"/>
  <c r="J56" i="4"/>
  <c r="I56" i="4"/>
  <c r="H56" i="4"/>
  <c r="G56" i="4"/>
  <c r="F56" i="4"/>
  <c r="E56" i="4"/>
  <c r="D56" i="4"/>
  <c r="C56" i="4"/>
  <c r="J53" i="4"/>
  <c r="I53" i="4"/>
  <c r="H53" i="4"/>
  <c r="G53" i="4"/>
  <c r="F53" i="4"/>
  <c r="E53" i="4"/>
  <c r="D53" i="4"/>
  <c r="C53" i="4"/>
  <c r="J52" i="4"/>
  <c r="I52" i="4"/>
  <c r="H52" i="4"/>
  <c r="G52" i="4"/>
  <c r="F52" i="4"/>
  <c r="E52" i="4"/>
  <c r="D52" i="4"/>
  <c r="C52" i="4"/>
  <c r="J51" i="4"/>
  <c r="I51" i="4"/>
  <c r="H51" i="4"/>
  <c r="G51" i="4"/>
  <c r="F51" i="4"/>
  <c r="E51" i="4"/>
  <c r="D51" i="4"/>
  <c r="C51" i="4"/>
  <c r="J49" i="4"/>
  <c r="I49" i="4"/>
  <c r="H49" i="4"/>
  <c r="G49" i="4"/>
  <c r="F49" i="4"/>
  <c r="E49" i="4"/>
  <c r="D49" i="4"/>
  <c r="C49" i="4"/>
  <c r="J48" i="4"/>
  <c r="I48" i="4"/>
  <c r="H48" i="4"/>
  <c r="G48" i="4"/>
  <c r="F48" i="4"/>
  <c r="E48" i="4"/>
  <c r="D48" i="4"/>
  <c r="C48" i="4"/>
  <c r="J47" i="4"/>
  <c r="I47" i="4"/>
  <c r="H47" i="4"/>
  <c r="G47" i="4"/>
  <c r="F47" i="4"/>
  <c r="E47" i="4"/>
  <c r="D47" i="4"/>
  <c r="C47" i="4"/>
  <c r="J43" i="4"/>
  <c r="I43" i="4"/>
  <c r="H43" i="4"/>
  <c r="G43" i="4"/>
  <c r="F43" i="4"/>
  <c r="E43" i="4"/>
  <c r="D43" i="4"/>
  <c r="C43" i="4"/>
  <c r="I42" i="4"/>
  <c r="H42" i="4"/>
  <c r="G42" i="4"/>
  <c r="F42" i="4"/>
  <c r="E42" i="4"/>
  <c r="D42" i="4"/>
  <c r="C42" i="4"/>
  <c r="J39" i="4"/>
  <c r="I39" i="4"/>
  <c r="H39" i="4"/>
  <c r="G39" i="4"/>
  <c r="F39" i="4"/>
  <c r="E39" i="4"/>
  <c r="D39" i="4"/>
  <c r="C39" i="4"/>
  <c r="J36" i="4"/>
  <c r="I36" i="4"/>
  <c r="H36" i="4"/>
  <c r="G36" i="4"/>
  <c r="F36" i="4"/>
  <c r="E36" i="4"/>
  <c r="D36" i="4"/>
  <c r="C36" i="4"/>
  <c r="J31" i="4"/>
  <c r="I31" i="4"/>
  <c r="H31" i="4"/>
  <c r="G31" i="4"/>
  <c r="F31" i="4"/>
  <c r="E31" i="4"/>
  <c r="D31" i="4"/>
  <c r="C31" i="4"/>
  <c r="J28" i="4"/>
  <c r="I28" i="4"/>
  <c r="H28" i="4"/>
  <c r="G28" i="4"/>
  <c r="F28" i="4"/>
  <c r="E28" i="4"/>
  <c r="D28" i="4"/>
  <c r="C28" i="4"/>
  <c r="J27" i="4"/>
  <c r="I27" i="4"/>
  <c r="H27" i="4"/>
  <c r="G27" i="4"/>
  <c r="F27" i="4"/>
  <c r="E27" i="4"/>
  <c r="D27" i="4"/>
  <c r="C27" i="4"/>
  <c r="J26" i="4"/>
  <c r="I26" i="4"/>
  <c r="H26" i="4"/>
  <c r="G26" i="4"/>
  <c r="F26" i="4"/>
  <c r="E26" i="4"/>
  <c r="D26" i="4"/>
  <c r="C26" i="4"/>
  <c r="J25" i="4"/>
  <c r="I25" i="4"/>
  <c r="H25" i="4"/>
  <c r="G25" i="4"/>
  <c r="F25" i="4"/>
  <c r="E25" i="4"/>
  <c r="D25" i="4"/>
  <c r="C25" i="4"/>
  <c r="J23" i="4"/>
  <c r="I23" i="4"/>
  <c r="H23" i="4"/>
  <c r="G23" i="4"/>
  <c r="F23" i="4"/>
  <c r="E23" i="4"/>
  <c r="D23" i="4"/>
  <c r="C23" i="4"/>
  <c r="J21" i="4"/>
  <c r="I21" i="4"/>
  <c r="H21" i="4"/>
  <c r="G21" i="4"/>
  <c r="F21" i="4"/>
  <c r="E21" i="4"/>
  <c r="D21" i="4"/>
  <c r="C21" i="4"/>
  <c r="J19" i="4"/>
  <c r="I19" i="4"/>
  <c r="H19" i="4"/>
  <c r="G19" i="4"/>
  <c r="F19" i="4"/>
  <c r="E19" i="4"/>
  <c r="D19" i="4"/>
  <c r="C19" i="4"/>
  <c r="J16" i="4"/>
  <c r="I16" i="4"/>
  <c r="H16" i="4"/>
  <c r="G16" i="4"/>
  <c r="F16" i="4"/>
  <c r="E16" i="4"/>
  <c r="D16" i="4"/>
  <c r="C16" i="4"/>
  <c r="J14" i="4"/>
  <c r="I14" i="4"/>
  <c r="H14" i="4"/>
  <c r="G14" i="4"/>
  <c r="F14" i="4"/>
  <c r="E14" i="4"/>
  <c r="D14" i="4"/>
  <c r="C14" i="4"/>
  <c r="J13" i="4"/>
  <c r="I13" i="4"/>
  <c r="H13" i="4"/>
  <c r="G13" i="4"/>
  <c r="F13" i="4"/>
  <c r="E13" i="4"/>
  <c r="D13" i="4"/>
  <c r="C13" i="4"/>
  <c r="J12" i="4"/>
  <c r="I12" i="4"/>
  <c r="H12" i="4"/>
  <c r="G12" i="4"/>
  <c r="F12" i="4"/>
  <c r="E12" i="4"/>
  <c r="D12" i="4"/>
  <c r="C12" i="4"/>
  <c r="J10" i="4"/>
  <c r="I10" i="4"/>
  <c r="H10" i="4"/>
  <c r="G10" i="4"/>
  <c r="F10" i="4"/>
  <c r="E10" i="4"/>
  <c r="D10" i="4"/>
  <c r="C10" i="4"/>
  <c r="J9" i="4"/>
  <c r="I9" i="4"/>
  <c r="H9" i="4"/>
  <c r="G9" i="4"/>
  <c r="F9" i="4"/>
  <c r="E9" i="4"/>
  <c r="D9" i="4"/>
  <c r="C9" i="4"/>
  <c r="J7" i="4"/>
  <c r="I7" i="4"/>
  <c r="H7" i="4"/>
  <c r="G7" i="4"/>
  <c r="F7" i="4"/>
  <c r="E7" i="4"/>
  <c r="D7" i="4"/>
  <c r="J6" i="4"/>
  <c r="I6" i="4"/>
  <c r="H6" i="4"/>
  <c r="G6" i="4"/>
  <c r="F6" i="4"/>
  <c r="E6" i="4"/>
  <c r="D6" i="4"/>
  <c r="J5" i="4"/>
  <c r="I5" i="4"/>
  <c r="H5" i="4"/>
  <c r="G5" i="4"/>
  <c r="F5" i="4"/>
  <c r="E5" i="4"/>
  <c r="D5" i="4"/>
  <c r="C7" i="4"/>
  <c r="C6" i="4"/>
  <c r="C5" i="4"/>
  <c r="D8" i="4"/>
  <c r="F8" i="4"/>
  <c r="G8" i="4"/>
  <c r="H8" i="4"/>
  <c r="I8" i="4"/>
  <c r="H32" i="4"/>
  <c r="H30" i="4"/>
  <c r="H29" i="4"/>
  <c r="H24" i="4"/>
  <c r="G54" i="4"/>
  <c r="G50" i="4"/>
  <c r="G24" i="4"/>
  <c r="F32" i="4"/>
  <c r="F30" i="4"/>
  <c r="F29" i="4"/>
  <c r="F24" i="4"/>
  <c r="E29" i="4"/>
  <c r="E24" i="4"/>
  <c r="D54" i="4"/>
  <c r="D50" i="4"/>
  <c r="D32" i="4"/>
  <c r="D24" i="4"/>
  <c r="C54" i="4"/>
  <c r="C50" i="4"/>
  <c r="C32" i="4"/>
  <c r="C30" i="4"/>
  <c r="C29" i="4"/>
  <c r="C24" i="4"/>
  <c r="B65" i="4"/>
  <c r="B64" i="4"/>
  <c r="B63" i="4"/>
  <c r="B61" i="4"/>
  <c r="B58" i="4"/>
  <c r="B57" i="4"/>
  <c r="B56" i="4"/>
  <c r="L54" i="4"/>
  <c r="K54" i="4"/>
  <c r="B54" i="4"/>
  <c r="B53" i="4"/>
  <c r="B51" i="4"/>
  <c r="B50" i="4"/>
  <c r="B49" i="4"/>
  <c r="B48" i="4"/>
  <c r="B47" i="4"/>
  <c r="B43" i="4"/>
  <c r="B41" i="4"/>
  <c r="B40" i="4"/>
  <c r="B38" i="4"/>
  <c r="B37" i="4"/>
  <c r="B36" i="4"/>
  <c r="B31" i="4"/>
  <c r="B28" i="4"/>
  <c r="B26" i="4"/>
  <c r="B25" i="4"/>
  <c r="B24" i="4"/>
  <c r="B23" i="4"/>
  <c r="B21" i="4"/>
  <c r="B19" i="4"/>
  <c r="B16" i="4"/>
  <c r="B13" i="4"/>
  <c r="B12" i="4"/>
  <c r="B10" i="4"/>
  <c r="B9" i="4"/>
  <c r="B8" i="4"/>
  <c r="B7" i="4"/>
  <c r="B6" i="4"/>
  <c r="O33" i="4"/>
  <c r="P33" i="4"/>
  <c r="L29" i="4"/>
  <c r="L33" i="4" s="1"/>
  <c r="K29" i="4"/>
  <c r="K33" i="4" s="1"/>
  <c r="T14" i="13"/>
  <c r="R14" i="13"/>
  <c r="T13" i="13"/>
  <c r="R13" i="13"/>
  <c r="T11" i="13"/>
  <c r="R11" i="13"/>
  <c r="R10" i="13"/>
  <c r="T8" i="13"/>
  <c r="R8" i="13"/>
  <c r="T7" i="13"/>
  <c r="R7" i="13"/>
  <c r="T6" i="13"/>
  <c r="R6" i="13"/>
  <c r="T5" i="13"/>
  <c r="G33" i="4" l="1"/>
  <c r="B33" i="4"/>
  <c r="B55" i="4"/>
  <c r="V11" i="13"/>
  <c r="V8" i="13"/>
  <c r="V7" i="13"/>
  <c r="V6" i="13"/>
  <c r="V14" i="13"/>
  <c r="V10" i="13"/>
  <c r="V5" i="13"/>
  <c r="J33" i="4"/>
  <c r="I33" i="4"/>
  <c r="H33" i="4"/>
  <c r="F33" i="4"/>
  <c r="E33" i="4"/>
  <c r="D33" i="4"/>
  <c r="C33" i="4"/>
  <c r="P47" i="6" l="1"/>
  <c r="P5" i="6"/>
  <c r="P66" i="4"/>
  <c r="P55" i="4"/>
  <c r="P44" i="4"/>
  <c r="P46" i="4" s="1"/>
  <c r="P20" i="4"/>
  <c r="P67" i="4" l="1"/>
  <c r="P68" i="4" s="1"/>
  <c r="P34" i="4"/>
  <c r="O47" i="6" l="1"/>
  <c r="O5" i="6"/>
  <c r="O28" i="6" s="1"/>
  <c r="O31" i="6" s="1"/>
  <c r="O55" i="4"/>
  <c r="O66" i="4"/>
  <c r="O44" i="4"/>
  <c r="O46" i="4" s="1"/>
  <c r="O20" i="4"/>
  <c r="N66" i="4"/>
  <c r="M66" i="4"/>
  <c r="N55" i="4"/>
  <c r="M55" i="4"/>
  <c r="N20" i="4"/>
  <c r="M20" i="4"/>
  <c r="N47" i="6"/>
  <c r="N5" i="6"/>
  <c r="N28" i="6" s="1"/>
  <c r="N31" i="6" s="1"/>
  <c r="N44" i="4"/>
  <c r="N46" i="4" s="1"/>
  <c r="O67" i="4" l="1"/>
  <c r="O61" i="6"/>
  <c r="O64" i="6" s="1"/>
  <c r="O34" i="4"/>
  <c r="N61" i="6"/>
  <c r="N64" i="6" s="1"/>
  <c r="N67" i="4"/>
  <c r="M47" i="6"/>
  <c r="M5" i="6"/>
  <c r="M44" i="4"/>
  <c r="M46" i="4" s="1"/>
  <c r="O68" i="4" l="1"/>
  <c r="P28" i="6"/>
  <c r="P31" i="6" s="1"/>
  <c r="P61" i="6" s="1"/>
  <c r="P64" i="6" s="1"/>
  <c r="N68" i="4"/>
  <c r="M67" i="4"/>
  <c r="L47" i="6"/>
  <c r="L5" i="6"/>
  <c r="L66" i="4"/>
  <c r="L55" i="4"/>
  <c r="L44" i="4"/>
  <c r="L46" i="4" s="1"/>
  <c r="L20" i="4"/>
  <c r="M68" i="4" l="1"/>
  <c r="L28" i="6"/>
  <c r="L31" i="6" s="1"/>
  <c r="L61" i="6" s="1"/>
  <c r="L64" i="6" s="1"/>
  <c r="L67" i="4"/>
  <c r="L34" i="4"/>
  <c r="L68" i="4" l="1"/>
  <c r="M28" i="6" l="1"/>
  <c r="D5" i="6"/>
  <c r="C5" i="6"/>
  <c r="B5" i="6"/>
  <c r="H53" i="6"/>
  <c r="H60" i="6" s="1"/>
  <c r="G53" i="6"/>
  <c r="G60" i="6" s="1"/>
  <c r="F53" i="6"/>
  <c r="F60" i="6" s="1"/>
  <c r="E53" i="6"/>
  <c r="E60" i="6" s="1"/>
  <c r="D53" i="6"/>
  <c r="D60" i="6" s="1"/>
  <c r="C53" i="6"/>
  <c r="C60" i="6" s="1"/>
  <c r="M31" i="6" l="1"/>
  <c r="I45" i="4"/>
  <c r="J45" i="4"/>
  <c r="H45" i="4"/>
  <c r="B47" i="6"/>
  <c r="C47" i="6"/>
  <c r="D47" i="6"/>
  <c r="E47" i="6"/>
  <c r="F47" i="6"/>
  <c r="G47" i="6"/>
  <c r="H47" i="6"/>
  <c r="I47" i="6"/>
  <c r="J47" i="6"/>
  <c r="K47" i="6"/>
  <c r="N24" i="4" l="1"/>
  <c r="N33" i="4" s="1"/>
  <c r="M24" i="4"/>
  <c r="M30" i="4"/>
  <c r="M61" i="6"/>
  <c r="K5" i="6"/>
  <c r="K66" i="4"/>
  <c r="K55" i="4"/>
  <c r="K44" i="4"/>
  <c r="K46" i="4" s="1"/>
  <c r="K20" i="4"/>
  <c r="M33" i="4" l="1"/>
  <c r="H44" i="4"/>
  <c r="H46" i="4" s="1"/>
  <c r="D66" i="4"/>
  <c r="C55" i="4"/>
  <c r="I66" i="4"/>
  <c r="G44" i="4"/>
  <c r="G46" i="4" s="1"/>
  <c r="H55" i="4"/>
  <c r="I44" i="4"/>
  <c r="I46" i="4" s="1"/>
  <c r="C66" i="4"/>
  <c r="E66" i="4"/>
  <c r="I55" i="4"/>
  <c r="F44" i="4"/>
  <c r="F46" i="4" s="1"/>
  <c r="D44" i="4"/>
  <c r="D46" i="4" s="1"/>
  <c r="J66" i="4"/>
  <c r="E55" i="4"/>
  <c r="B44" i="4"/>
  <c r="B46" i="4" s="1"/>
  <c r="D55" i="4"/>
  <c r="G66" i="4"/>
  <c r="F66" i="4"/>
  <c r="J55" i="4"/>
  <c r="G55" i="4"/>
  <c r="B66" i="4"/>
  <c r="E44" i="4"/>
  <c r="E46" i="4" s="1"/>
  <c r="J20" i="4"/>
  <c r="H66" i="4"/>
  <c r="F55" i="4"/>
  <c r="C44" i="4"/>
  <c r="C46" i="4" s="1"/>
  <c r="J44" i="4"/>
  <c r="J46" i="4" s="1"/>
  <c r="M64" i="6"/>
  <c r="F20" i="4"/>
  <c r="E20" i="4"/>
  <c r="G20" i="4"/>
  <c r="B20" i="4"/>
  <c r="H20" i="4"/>
  <c r="I20" i="4"/>
  <c r="D20" i="4"/>
  <c r="C20" i="4"/>
  <c r="K34" i="4"/>
  <c r="K67" i="4"/>
  <c r="D67" i="4" l="1"/>
  <c r="D68" i="4" s="1"/>
  <c r="H67" i="4"/>
  <c r="H68" i="4" s="1"/>
  <c r="B67" i="4"/>
  <c r="B68" i="4" s="1"/>
  <c r="J67" i="4"/>
  <c r="J68" i="4" s="1"/>
  <c r="I67" i="4"/>
  <c r="I68" i="4" s="1"/>
  <c r="F34" i="4"/>
  <c r="E67" i="4"/>
  <c r="E68" i="4" s="1"/>
  <c r="C67" i="4"/>
  <c r="C68" i="4" s="1"/>
  <c r="G67" i="4"/>
  <c r="G68" i="4" s="1"/>
  <c r="I34" i="4"/>
  <c r="N34" i="4"/>
  <c r="F67" i="4"/>
  <c r="F68" i="4" s="1"/>
  <c r="G34" i="4"/>
  <c r="M34" i="4"/>
  <c r="D34" i="4"/>
  <c r="C34" i="4"/>
  <c r="K68" i="4"/>
  <c r="B34" i="4"/>
  <c r="E34" i="4"/>
  <c r="J34" i="4"/>
  <c r="H34" i="4"/>
  <c r="K28" i="6" l="1"/>
  <c r="K31" i="6" s="1"/>
  <c r="K61" i="6" s="1"/>
  <c r="K64" i="6" s="1"/>
  <c r="C28" i="6" l="1"/>
  <c r="C31" i="6" s="1"/>
  <c r="C61" i="6" l="1"/>
  <c r="C64" i="6" s="1"/>
  <c r="E5" i="6" l="1"/>
  <c r="E28" i="6" s="1"/>
  <c r="E31" i="6" s="1"/>
  <c r="E61" i="6" s="1"/>
  <c r="E64" i="6" s="1"/>
  <c r="J5" i="6"/>
  <c r="J28" i="6" s="1"/>
  <c r="J31" i="6" s="1"/>
  <c r="J61" i="6" s="1"/>
  <c r="J64" i="6" s="1"/>
  <c r="B28" i="6"/>
  <c r="B31" i="6" s="1"/>
  <c r="B61" i="6" s="1"/>
  <c r="B64" i="6" s="1"/>
  <c r="F5" i="6"/>
  <c r="F28" i="6" s="1"/>
  <c r="F31" i="6" s="1"/>
  <c r="F61" i="6" s="1"/>
  <c r="F64" i="6" s="1"/>
  <c r="G5" i="6"/>
  <c r="G28" i="6" s="1"/>
  <c r="G31" i="6" s="1"/>
  <c r="G61" i="6" s="1"/>
  <c r="G64" i="6" s="1"/>
  <c r="D28" i="6"/>
  <c r="D31" i="6" s="1"/>
  <c r="D61" i="6" s="1"/>
  <c r="D64" i="6" s="1"/>
  <c r="I5" i="6"/>
  <c r="I28" i="6" s="1"/>
  <c r="I31" i="6" s="1"/>
  <c r="I61" i="6" s="1"/>
  <c r="I64" i="6" s="1"/>
  <c r="H5" i="6"/>
  <c r="H28" i="6" s="1"/>
  <c r="H31" i="6" s="1"/>
  <c r="H61" i="6" s="1"/>
  <c r="H64" i="6" s="1"/>
  <c r="AC28" i="6" l="1"/>
  <c r="AC31" i="6" l="1"/>
  <c r="AC61" i="6" l="1"/>
  <c r="AC64" i="6" l="1"/>
  <c r="AJ25" i="16" l="1"/>
  <c r="AJ26" i="16" s="1"/>
  <c r="AJ29" i="16" s="1"/>
  <c r="AI26" i="16"/>
  <c r="AI29" i="16" s="1"/>
</calcChain>
</file>

<file path=xl/sharedStrings.xml><?xml version="1.0" encoding="utf-8"?>
<sst xmlns="http://schemas.openxmlformats.org/spreadsheetml/2006/main" count="659" uniqueCount="313">
  <si>
    <t>EBITDA</t>
  </si>
  <si>
    <t>Wynagrodzenia i świadczenia na rzecz pracowników</t>
  </si>
  <si>
    <t>Podatek dochodowy</t>
  </si>
  <si>
    <t>marża EBITDA</t>
  </si>
  <si>
    <t>AKTYWA</t>
  </si>
  <si>
    <t>Zestawy odbiorcze</t>
  </si>
  <si>
    <t>Inne rzeczowe aktywa trwałe</t>
  </si>
  <si>
    <t>Nieruchomości inwestycyjne</t>
  </si>
  <si>
    <t>Aktywa z tytułu odroczonego podatku dochodowego</t>
  </si>
  <si>
    <t>Wartość firmy</t>
  </si>
  <si>
    <t>Aktywa trwałe razem</t>
  </si>
  <si>
    <t>Zapasy</t>
  </si>
  <si>
    <t>Środki pieniężne i ich ekwiwalenty</t>
  </si>
  <si>
    <t>Aktywa obrotowe razem</t>
  </si>
  <si>
    <t>PASYWA</t>
  </si>
  <si>
    <t>Kapitał zakładowy</t>
  </si>
  <si>
    <t>Kapitał zapasowy</t>
  </si>
  <si>
    <t>Kapitał rezerwowy</t>
  </si>
  <si>
    <t>Kapitał własny razem</t>
  </si>
  <si>
    <t>Zobowiązania z tytułu kredytów i pożyczek</t>
  </si>
  <si>
    <t>Zobowiązania z tytułu leasingu finansowego</t>
  </si>
  <si>
    <t>Zobowiązania z tytułu odroczonego podatku dochodowego</t>
  </si>
  <si>
    <t>Inne długoterminowe zobowiązania i rezerwy</t>
  </si>
  <si>
    <t>Zobowiązania długoterminowe razem</t>
  </si>
  <si>
    <t>Zobowiązania z tytułu podatku dochodowego</t>
  </si>
  <si>
    <t xml:space="preserve">Zobowiązania z tytułu dostaw i usług oraz pozostałe zobowiązania </t>
  </si>
  <si>
    <t>Zobowiązania krótkoterminowe razem</t>
  </si>
  <si>
    <t>Zobowiązania razem</t>
  </si>
  <si>
    <t>PASYWA RAZEM</t>
  </si>
  <si>
    <t>Korekty:</t>
  </si>
  <si>
    <t xml:space="preserve">Odsetki </t>
  </si>
  <si>
    <t>Zmiana stanu zapasów</t>
  </si>
  <si>
    <t>Zmiana stanu należności i innych aktywów</t>
  </si>
  <si>
    <t xml:space="preserve">Podatek dochodowy </t>
  </si>
  <si>
    <t>Inne korekty</t>
  </si>
  <si>
    <t>Podatek dochodowy zapłacony</t>
  </si>
  <si>
    <t>Odsetki otrzymane dotyczące działalności operacyjnej</t>
  </si>
  <si>
    <t>Środki pieniężne z działalności operacyjnej</t>
  </si>
  <si>
    <t>Nabycie wartości niematerialnych</t>
  </si>
  <si>
    <t>Nabycie rzeczowych aktywów trwałych</t>
  </si>
  <si>
    <t>Zmiana netto środków pieniężnych i ich ekwiwalentów</t>
  </si>
  <si>
    <t>Środki pieniężne i ich ekwiwalenty na początek okresu</t>
  </si>
  <si>
    <t>Zmiana stanu środków pieniężnych z tytułu różnic kursowych</t>
  </si>
  <si>
    <t>Spłata otrzymanych kredytów i pożyczek</t>
  </si>
  <si>
    <t>Środki pieniężne o ograniczonej możliwości dysponowania</t>
  </si>
  <si>
    <t>Kaucje otrzymane za wydany sprzęt</t>
  </si>
  <si>
    <t>Udzielone pożyczki</t>
  </si>
  <si>
    <t>Wpływy ze zbycia niefinansowych aktywów trwałych</t>
  </si>
  <si>
    <t>Spłata udzielonych pożyczek</t>
  </si>
  <si>
    <t>Zysk z działalności operacyjnej</t>
  </si>
  <si>
    <t>Płatności za licencje filmowe i sportowe</t>
  </si>
  <si>
    <t>Amortyzacja licencji filmowych i sportowych</t>
  </si>
  <si>
    <t>Wartość sprzedanych aktywów programowych</t>
  </si>
  <si>
    <t>Zmiana stanu produkcji własnej oraz zaliczek na produkcję własną</t>
  </si>
  <si>
    <t>Wycena instrumentów zabezpieczających</t>
  </si>
  <si>
    <t>Marki</t>
  </si>
  <si>
    <t>Długoterminowe aktywa programowe</t>
  </si>
  <si>
    <t>Krótkoterminowe aktywa programowe</t>
  </si>
  <si>
    <t>Kapitał z aktualizacji wyceny instrumentów zabezpieczających</t>
  </si>
  <si>
    <t>Różnice kursowe z przeliczenia jednostek działających za granicą</t>
  </si>
  <si>
    <t xml:space="preserve">Inne wartości niematerialne </t>
  </si>
  <si>
    <t>(Zyski) / straty z tytułu różnic kursowych, netto</t>
  </si>
  <si>
    <t>Pożyczki udzielone jednostkom powiązanym</t>
  </si>
  <si>
    <t>2)</t>
  </si>
  <si>
    <t>Zmiana stanu zobowiązań, rezerw i przychodów przyszłych okresów</t>
  </si>
  <si>
    <t>Zwiększenie netto wartości zestawów odbiorczych w leasingu operacyjnym</t>
  </si>
  <si>
    <t>Środki pieniężne netto z działalności operacyjnej</t>
  </si>
  <si>
    <t>Środki pieniężne netto z działalności inwestycyjnej</t>
  </si>
  <si>
    <t>Środki pieniężne netto z działalności finansowej</t>
  </si>
  <si>
    <t>Nabycie udziałów w jednostkach zależnych pomniejszone o przejęte środki pieniężne</t>
  </si>
  <si>
    <t>Koszty operacyjne</t>
  </si>
  <si>
    <t>Przychody ze sprzedaży usług, produktów, towarów i materiałów</t>
  </si>
  <si>
    <t>Należności z tytułu podatku dochodowego</t>
  </si>
  <si>
    <t>Udziały niekontrolujące</t>
  </si>
  <si>
    <t>Kapitał przypadający na akcjonariuszy Jednostki Dominującej</t>
  </si>
  <si>
    <t>Amortyzacja, utrata wartości i likwidacja</t>
  </si>
  <si>
    <t>Otrzymane dywidendy</t>
  </si>
  <si>
    <t>Przychody detaliczne od klientów indywidualnych i biznesowych</t>
  </si>
  <si>
    <t>Przychody hurtowe</t>
  </si>
  <si>
    <t>Przychody ze sprzedaży sprzętu</t>
  </si>
  <si>
    <t>Pozostałe przychody ze sprzedaży</t>
  </si>
  <si>
    <t>Koszty kontentu</t>
  </si>
  <si>
    <t>Koszty dystrybucji, marketingu, obsługi i utrzymania klienta</t>
  </si>
  <si>
    <t>Koszty techniczne i rozliczeń międzyoperatorskich</t>
  </si>
  <si>
    <t>Koszt własny sprzedanego sprzętu</t>
  </si>
  <si>
    <t>Koszty windykacji, odpisów aktualizujących wartość należności i koszt spisanych należności</t>
  </si>
  <si>
    <t>Inne koszty</t>
  </si>
  <si>
    <t xml:space="preserve">Koszty finansowe </t>
  </si>
  <si>
    <t xml:space="preserve">Zobowiązania z tytułu obligacji </t>
  </si>
  <si>
    <t>Lokaty krótkoterminowe</t>
  </si>
  <si>
    <t>(Zysk)/strata ze sprzedaży rzeczowych aktywów trwałych i wartości niematerialnych</t>
  </si>
  <si>
    <t xml:space="preserve">Lokaty krótkoterminowe </t>
  </si>
  <si>
    <t>Zapłata za usługi doradcze związane z emisją akcji</t>
  </si>
  <si>
    <t>Zysk/(strata) z działalności operacyjnej</t>
  </si>
  <si>
    <t>Płatności z tytułu koncesji</t>
  </si>
  <si>
    <t>w tym aktywa z tytułu instrumentów pochodnych</t>
  </si>
  <si>
    <t>w tym zobowiązania z tytułu instrumentów pochodnych</t>
  </si>
  <si>
    <t>Środki pieniężne i ich ekwiwalenty na koniec okresu</t>
  </si>
  <si>
    <t>Zaciągnięcie kredytów</t>
  </si>
  <si>
    <t>GRUPA KAPITAŁOWA CYFROWY POLSAT S.A.</t>
  </si>
  <si>
    <t>SKONSOLIDOWANY RACHUNEK ZYSKÓW I STRAT</t>
  </si>
  <si>
    <t>(w mln PLN)</t>
  </si>
  <si>
    <t>Q1</t>
  </si>
  <si>
    <t>Q2</t>
  </si>
  <si>
    <t>Q3</t>
  </si>
  <si>
    <t>Q4</t>
  </si>
  <si>
    <t>SEGMENT USŁUG ŚWIADCZONYCH KLIENTOM INDYWIDUALNYM I BIZNESOWYM</t>
  </si>
  <si>
    <t>SEGMENT NADAWANIA I PRODUKCJI TELEWIZYJNEJ</t>
  </si>
  <si>
    <t>WYŁĄCZENIA I KOREKTY KONSOLIDACYJNE</t>
  </si>
  <si>
    <t>RAZEM</t>
  </si>
  <si>
    <t>Zmiana</t>
  </si>
  <si>
    <t>Sprzedaż do stron trzecich</t>
  </si>
  <si>
    <t>Sprzedaż pomiędzy segmentami</t>
  </si>
  <si>
    <t>Przychody ze sprzedaży</t>
  </si>
  <si>
    <t xml:space="preserve">Nabycie rzeczowych aktywów trwałych, zestawów odbiorczych i innych wartości niematerialnych </t>
  </si>
  <si>
    <t>Aktywa segmentu, w tym:</t>
  </si>
  <si>
    <t>Inwestycje we wspólne przedsięwzięcia</t>
  </si>
  <si>
    <t>SKONSOLIDOWANY BILANS</t>
  </si>
  <si>
    <t xml:space="preserve">31 marca </t>
  </si>
  <si>
    <t xml:space="preserve">30 czerwca </t>
  </si>
  <si>
    <t xml:space="preserve">30 września </t>
  </si>
  <si>
    <t xml:space="preserve">31 grudnia </t>
  </si>
  <si>
    <t>AKTYWA RAZEM</t>
  </si>
  <si>
    <t>3 miesiące 
do 31 marca</t>
  </si>
  <si>
    <t>6 miesięcy 
do 30 czerwca</t>
  </si>
  <si>
    <t xml:space="preserve">9 miesięcy 
do 30 września </t>
  </si>
  <si>
    <t xml:space="preserve">12 miesięcy 
do 31 grudnia </t>
  </si>
  <si>
    <t>Zysk  netto za okres</t>
  </si>
  <si>
    <t>SKONSOLIDOWANY RACHUNEK PRZEPŁYWÓW PIENIĘŻNYCH</t>
  </si>
  <si>
    <r>
      <t>SEGMENT USŁUG ŚWIADCZONYCH KLIENTOM                                                                                                               INDYWIDUALNYM I BIZNESOWYM</t>
    </r>
    <r>
      <rPr>
        <b/>
        <vertAlign val="superscript"/>
        <sz val="9"/>
        <color rgb="FF000000"/>
        <rFont val="Calibri"/>
        <family val="2"/>
        <charset val="238"/>
        <scheme val="minor"/>
      </rPr>
      <t>1)</t>
    </r>
  </si>
  <si>
    <t>1Q</t>
  </si>
  <si>
    <t>2Q</t>
  </si>
  <si>
    <t>3Q</t>
  </si>
  <si>
    <t>4Q</t>
  </si>
  <si>
    <r>
      <t>Łączna liczba RGU</t>
    </r>
    <r>
      <rPr>
        <b/>
        <vertAlign val="superscript"/>
        <sz val="9"/>
        <rFont val="Calibri"/>
        <family val="2"/>
        <charset val="238"/>
        <scheme val="minor"/>
      </rPr>
      <t>2)</t>
    </r>
    <r>
      <rPr>
        <b/>
        <sz val="9"/>
        <rFont val="Calibri"/>
        <family val="2"/>
        <charset val="238"/>
        <scheme val="minor"/>
      </rPr>
      <t xml:space="preserve"> (kontraktowe+przedpłacone)</t>
    </r>
  </si>
  <si>
    <t>n/d</t>
  </si>
  <si>
    <t>USŁUGI KONTRAKTOWE</t>
  </si>
  <si>
    <t>Łączna liczba RGU na koniec okresu, w tym:</t>
  </si>
  <si>
    <t>Płatna telewizja, w tym:</t>
  </si>
  <si>
    <t>Multiroom</t>
  </si>
  <si>
    <t>Telefonia komórkowa</t>
  </si>
  <si>
    <t>Internet</t>
  </si>
  <si>
    <t>Liczba klientów</t>
  </si>
  <si>
    <r>
      <t>Churn na klienta</t>
    </r>
    <r>
      <rPr>
        <vertAlign val="superscript"/>
        <sz val="9"/>
        <color rgb="FF000000"/>
        <rFont val="Calibri"/>
        <family val="2"/>
        <charset val="238"/>
        <scheme val="minor"/>
      </rPr>
      <t>4)</t>
    </r>
  </si>
  <si>
    <t xml:space="preserve">Wskaźnik nasycenia RGU na jednego klienta </t>
  </si>
  <si>
    <t>Średnia liczba RGU, w tym:</t>
  </si>
  <si>
    <t>Średnia liczba klientów</t>
  </si>
  <si>
    <t>USŁUGI PRZEDPŁACONE</t>
  </si>
  <si>
    <t xml:space="preserve">Płatna telewizja </t>
  </si>
  <si>
    <t xml:space="preserve">Internet </t>
  </si>
  <si>
    <r>
      <t>ARPU na RGU</t>
    </r>
    <r>
      <rPr>
        <vertAlign val="superscript"/>
        <sz val="9"/>
        <color rgb="FF000000"/>
        <rFont val="Calibri"/>
        <family val="2"/>
        <charset val="238"/>
        <scheme val="minor"/>
      </rPr>
      <t>5)</t>
    </r>
    <r>
      <rPr>
        <sz val="9"/>
        <color rgb="FF000000"/>
        <rFont val="Calibri"/>
        <family val="2"/>
        <charset val="238"/>
        <scheme val="minor"/>
      </rPr>
      <t xml:space="preserve"> [PLN]</t>
    </r>
  </si>
  <si>
    <t>1) Klient - osoba fizyczna, prawna lub jednostka organizacyjna nieposiadającą osobowości prawnej, posiadająca co najmniej jedną, aktywną usługę świadczoną w modelu kontraktowym.</t>
  </si>
  <si>
    <t>2) RGU (revenue generating unit) - pojedyncza, aktywna usługa płatnej telewizji, dostępu do Internetu lub telefonii komórkowej, świadczona w modelu kontraktowym lub przedpłaconym.</t>
  </si>
  <si>
    <t xml:space="preserve">3) ARPU na klienta - Średni miesięczny przychód od Klienta wygenerowany w danym okresie rozliczeniowy (uwzględnia przychody z interconnect)
</t>
  </si>
  <si>
    <t xml:space="preserve">4) Churn (współczynnik odejść lub odpływu) - rozwiązanie umowy z Klientem w drodze wypowiedzenia, windykacji lub innych działań, skutkujące tym, że po skutecznym rozwiązaniu umowy, Klient nie posiada żadnej aktywnej usługi świadczonej w modelu kontraktowym. Wskaźnik churn prezentuje stosunek liczby klientów, którym dezaktywowano ostatnią usługę (w drodze wypowiedzenia, jak i dezaktywacji w wyniku działań windykacyjnych lub z innych przyczyn) w okresie ostatnich 12 miesięcy do średniorocznej liczby klientów w tym 12 miesięcznym okresie. 
</t>
  </si>
  <si>
    <t>5) ARPU na RGU - średni miesięczny przychód od RGU pre-paid wygenerowany w danym okresie rozliczeniowym (uwzględnia przychody z interconnect)</t>
  </si>
  <si>
    <r>
      <t>Udział w oglądalności</t>
    </r>
    <r>
      <rPr>
        <b/>
        <vertAlign val="superscript"/>
        <sz val="11"/>
        <color theme="1"/>
        <rFont val="Calibri"/>
        <family val="2"/>
        <charset val="238"/>
        <scheme val="minor"/>
      </rPr>
      <t>(1) (2)</t>
    </r>
    <r>
      <rPr>
        <b/>
        <sz val="11"/>
        <color theme="1"/>
        <rFont val="Calibri"/>
        <family val="2"/>
        <charset val="238"/>
        <scheme val="minor"/>
      </rPr>
      <t>, w tym:</t>
    </r>
  </si>
  <si>
    <r>
      <t xml:space="preserve">    POLSAT</t>
    </r>
    <r>
      <rPr>
        <sz val="11"/>
        <color rgb="FF000000"/>
        <rFont val="Calibri"/>
        <family val="2"/>
        <charset val="238"/>
        <scheme val="minor"/>
      </rPr>
      <t xml:space="preserve"> (kanał główny)</t>
    </r>
  </si>
  <si>
    <t>Polsat News</t>
  </si>
  <si>
    <t>Polsat Sport</t>
  </si>
  <si>
    <t>Polsat Sport Extra</t>
  </si>
  <si>
    <t>Polsat Film</t>
  </si>
  <si>
    <t>Polsat Cafe</t>
  </si>
  <si>
    <t>Polsat Play</t>
  </si>
  <si>
    <t>CI Polsat</t>
  </si>
  <si>
    <t>Polsat Viasat History</t>
  </si>
  <si>
    <t>Polsat Viasat Nature</t>
  </si>
  <si>
    <t>Polsat Romans</t>
  </si>
  <si>
    <r>
      <t>Kanały Polsatu; zasięg techniczny</t>
    </r>
    <r>
      <rPr>
        <b/>
        <vertAlign val="superscript"/>
        <sz val="11"/>
        <rFont val="Calibri"/>
        <family val="2"/>
        <charset val="238"/>
        <scheme val="minor"/>
      </rPr>
      <t>(1)</t>
    </r>
  </si>
  <si>
    <t>Polsat</t>
  </si>
  <si>
    <t>Zysk netto przypadający na akcjonariuszy Jednostki Dominującej</t>
  </si>
  <si>
    <t>Podstawowy i rozwodniony zysk na jedną akcję w złotych</t>
  </si>
  <si>
    <t xml:space="preserve">GRUPA KAPITAŁOWA CYFROWY POLSAT S.A. </t>
  </si>
  <si>
    <t>Opcja wcześniejszej spłaty obligacji</t>
  </si>
  <si>
    <t>Wpływy z tytułu realizacji instrumentów pochodnych - kapitał</t>
  </si>
  <si>
    <t xml:space="preserve">TV4 </t>
  </si>
  <si>
    <t xml:space="preserve">TV6 </t>
  </si>
  <si>
    <t>Polsat 2</t>
  </si>
  <si>
    <t xml:space="preserve">Polsat JimJam </t>
  </si>
  <si>
    <t>Disco Polo Music</t>
  </si>
  <si>
    <t>Polsat Viasat Explore</t>
  </si>
  <si>
    <t>Polsat News 2</t>
  </si>
  <si>
    <t>Udział w zysku jednostki współkontrolowanej wycenianej metodą praw własności</t>
  </si>
  <si>
    <t>EBITDA (niebadana)</t>
  </si>
  <si>
    <t>Relacje z klientami</t>
  </si>
  <si>
    <t>Długoterminowe prowizje dla dystrybutorów rozliczane w czasie</t>
  </si>
  <si>
    <t>Inne aktywa długoterminowe</t>
  </si>
  <si>
    <t>Należności z tytułu dostaw i usług oraz pozostałe należności</t>
  </si>
  <si>
    <t>Krótkoterminowe prowizje dla dystrybutorów rozliczane w czasie</t>
  </si>
  <si>
    <t>Pozostałe aktywa obrotowe</t>
  </si>
  <si>
    <t>Nadwyżka wartości emisyjnej akcji powyżej ich wartości nominalnej</t>
  </si>
  <si>
    <t>Pozostałe kapitały</t>
  </si>
  <si>
    <t>Zobowiązania z tytułu koncesji UMTS</t>
  </si>
  <si>
    <t>Przychody przyszłych okresów</t>
  </si>
  <si>
    <r>
      <t xml:space="preserve">31 grudnia przekształcony </t>
    </r>
    <r>
      <rPr>
        <b/>
        <vertAlign val="superscript"/>
        <sz val="10"/>
        <color indexed="8"/>
        <rFont val="Calibri"/>
        <family val="2"/>
        <charset val="238"/>
      </rPr>
      <t>1)</t>
    </r>
  </si>
  <si>
    <t>Wpływy ze zbycia udziałów</t>
  </si>
  <si>
    <t>Emisja obligacji/(Wykup obligacji)</t>
  </si>
  <si>
    <r>
      <t xml:space="preserve">Spłata odsetek od kredytów, pożyczek, obligacji, leasingu finansowego i zapłacone prowizje </t>
    </r>
    <r>
      <rPr>
        <vertAlign val="superscript"/>
        <sz val="10"/>
        <color indexed="8"/>
        <rFont val="Calibri"/>
        <family val="2"/>
        <charset val="238"/>
      </rPr>
      <t>1)</t>
    </r>
  </si>
  <si>
    <t>Nabycie obligacji</t>
  </si>
  <si>
    <t>Zysk brutto za okres</t>
  </si>
  <si>
    <t>Zysk netto za okres</t>
  </si>
  <si>
    <r>
      <t xml:space="preserve">Q1 </t>
    </r>
    <r>
      <rPr>
        <b/>
        <vertAlign val="superscript"/>
        <sz val="10"/>
        <color indexed="8"/>
        <rFont val="Calibri"/>
        <family val="2"/>
        <charset val="238"/>
      </rPr>
      <t>1)</t>
    </r>
  </si>
  <si>
    <r>
      <t xml:space="preserve">2016 </t>
    </r>
    <r>
      <rPr>
        <b/>
        <vertAlign val="superscript"/>
        <sz val="10"/>
        <color indexed="8"/>
        <rFont val="Calibri"/>
        <family val="2"/>
        <charset val="238"/>
      </rPr>
      <t>1)</t>
    </r>
  </si>
  <si>
    <r>
      <t>Zyski i straty z działalności inwestycyjnej, netto</t>
    </r>
    <r>
      <rPr>
        <vertAlign val="superscript"/>
        <sz val="10"/>
        <color indexed="8"/>
        <rFont val="Calibri"/>
        <family val="2"/>
        <charset val="238"/>
      </rPr>
      <t xml:space="preserve"> </t>
    </r>
  </si>
  <si>
    <t>Pozostałe przychody / (koszty) operacyjne, netto</t>
  </si>
  <si>
    <t>Zysk/ (strata) netto przypadający na akcjonariuszy niekontrolujących</t>
  </si>
  <si>
    <t>(Zysk) / strata na instrumentach pochodnych, netto</t>
  </si>
  <si>
    <t>Jednorazowe spisanie przeszacowania wartości obligacji na moment nabycia do wartości godziwej oraz koszt premii za wcześniejszy wykup obligacji</t>
  </si>
  <si>
    <r>
      <t>Inne wydatki</t>
    </r>
    <r>
      <rPr>
        <vertAlign val="superscript"/>
        <sz val="10"/>
        <color indexed="8"/>
        <rFont val="Calibri"/>
        <family val="2"/>
        <charset val="238"/>
      </rPr>
      <t>3)</t>
    </r>
  </si>
  <si>
    <t>Zyski zatrzymane</t>
  </si>
  <si>
    <t xml:space="preserve">    Kanały tematyczne</t>
  </si>
  <si>
    <t>Zmiana / p.p.</t>
  </si>
  <si>
    <r>
      <t>Super Polsat</t>
    </r>
    <r>
      <rPr>
        <vertAlign val="superscript"/>
        <sz val="9"/>
        <color theme="1"/>
        <rFont val="Arial Narrow"/>
        <family val="2"/>
        <charset val="238"/>
      </rPr>
      <t>(3)</t>
    </r>
  </si>
  <si>
    <r>
      <t>Polsat Doku</t>
    </r>
    <r>
      <rPr>
        <vertAlign val="superscript"/>
        <sz val="9"/>
        <color theme="1"/>
        <rFont val="Arial Narrow"/>
        <family val="2"/>
        <charset val="238"/>
      </rPr>
      <t>(6)</t>
    </r>
  </si>
  <si>
    <t>4)</t>
  </si>
  <si>
    <t>Wypłata dywidendy</t>
  </si>
  <si>
    <t>4) Pozycja została połączona z "Pozostałe wpływy/(wypływy)".</t>
  </si>
  <si>
    <t>Pozostałe wpływy/(wypływy)</t>
  </si>
  <si>
    <t>w tym udziały w jednostkach stowarzyszonych wycenianych metodą praw własności</t>
  </si>
  <si>
    <t>Polo TV</t>
  </si>
  <si>
    <t>Eska TV</t>
  </si>
  <si>
    <t>Eska TV Extra</t>
  </si>
  <si>
    <t>Vox Music TV</t>
  </si>
  <si>
    <t>Eska Rock TV</t>
  </si>
  <si>
    <r>
      <t>Eska TV</t>
    </r>
    <r>
      <rPr>
        <vertAlign val="superscript"/>
        <sz val="9"/>
        <color theme="1"/>
        <rFont val="Arial Narrow"/>
        <family val="2"/>
        <charset val="238"/>
      </rPr>
      <t>(2)</t>
    </r>
  </si>
  <si>
    <r>
      <t>Polo TV</t>
    </r>
    <r>
      <rPr>
        <vertAlign val="superscript"/>
        <sz val="9"/>
        <color theme="1"/>
        <rFont val="Arial Narrow"/>
        <family val="2"/>
        <charset val="238"/>
      </rPr>
      <t>(2)</t>
    </r>
  </si>
  <si>
    <r>
      <t>Eska TV Extra</t>
    </r>
    <r>
      <rPr>
        <vertAlign val="superscript"/>
        <sz val="9"/>
        <color theme="1"/>
        <rFont val="Arial Narrow"/>
        <family val="2"/>
        <charset val="238"/>
      </rPr>
      <t>(2)</t>
    </r>
  </si>
  <si>
    <r>
      <t>Vox Music TV</t>
    </r>
    <r>
      <rPr>
        <vertAlign val="superscript"/>
        <sz val="9"/>
        <color theme="1"/>
        <rFont val="Arial Narrow"/>
        <family val="2"/>
        <charset val="238"/>
      </rPr>
      <t>(2)</t>
    </r>
  </si>
  <si>
    <r>
      <t>Eska Rock TV</t>
    </r>
    <r>
      <rPr>
        <vertAlign val="superscript"/>
        <sz val="9"/>
        <color theme="1"/>
        <rFont val="Arial Narrow"/>
        <family val="2"/>
        <charset val="238"/>
      </rPr>
      <t>(2)</t>
    </r>
  </si>
  <si>
    <t>Udział w zysku jednostek stowarzyszonych wycenianych metodą praw własności</t>
  </si>
  <si>
    <t>Udział w zysku współnego przedsięwzięcia wycenianego metodą praw własności</t>
  </si>
  <si>
    <t>Wykup obligacji wyemitowanych przez Midas</t>
  </si>
  <si>
    <t>Wpływy z tytułu realizacji instrumentów pochodnych</t>
  </si>
  <si>
    <t>Koszt premii za wcześniejszy wykup obligacji</t>
  </si>
  <si>
    <t xml:space="preserve">ZASTRZEŻENIE
Prezentowane poniżej wskaźniki operacyjne (KPI) za okresy od 2Q 2016 obejmują wyniki operacyjne Grupy Polsat wraz z Grupą Aero2 (dawniej Grupa Midas), nabytej dnia 29 lutego 2016 roku. W związku z powyższym wyniki operacyjne za okresy począwszyod 2Q 2016 nie są w pełni porównywalne z wynikami operacyjnymi za wcześniejsze okresy, jednakże wpływ konsolidacji wyników operacyjnych Grupy Aero2 na raportowany poziom wyników operacyjnych Grupy Polsat jest niematerialny.
Przy ocenie naszej działalności operacyjnej w segmencie usług świadczonych dla klientów indywidualnych i biznesowych osobno analizujemy świadczone przez nas usługi kontraktowe i usługi przedpłacone. W przypadku tych pierwszych bierzemy pod uwagę liczbę pojedynczych, aktywnych usług świadczonych w modelu kontraktowym (RGU), liczbę klientów, wskaźnik odpływu klientów (churn) oraz średni miesięczny przychód na klienta. W przypadku usług przedpłaconych analizowana jest liczba unikalnych, aktywnych usług świadczonych w modelu przedpłaconym (RGU prepaid) oraz średni przychód przypadający na RGU prepaid. Liczba raportowanych RGU prepaid w ramach telefonii komórkowej oraz Internetu oznacza liczbę kart SIM, które w ciągu ostatnich 90 dni wykonały albo otrzymały połączenie, wysłały albo otrzymały SMS/MMS albo skorzystały z usług transmisji danych. W przypadku bezpłatnego dostępu do Internetu świadczonego przez Aero2 do RGU usług przedpłaconych w ramach dostępu do Internetu wliczone zostały wyłącznie te karty SIM, które w ciągu ostatnich 90 dni skorzystały z usług transmisji danych w ramach płatnych pakietów.
</t>
  </si>
  <si>
    <t>Prowizja za wcześniejszy wykup obligacji</t>
  </si>
  <si>
    <t>Aktywa z tytułu kontraktów</t>
  </si>
  <si>
    <t>Zobowiązania z tytułu kontraktów</t>
  </si>
  <si>
    <t>1) Wyniki Grupy Aero2 konsolidowane od 29 lutego 2016.</t>
  </si>
  <si>
    <t>1) Przekszatłcenie w wyniku finalizacji procesu alokacji ceny nabycia Metelem.</t>
  </si>
  <si>
    <t>2) Od 30 czerwca 2015 roku pozycja "Kaucje otrzymane za wydane sprzęt" została ujęta w pozycji "Zobowiązania z tytułu dostaw i usług oraz pozostałe zobowiązania".</t>
  </si>
  <si>
    <t>3) Pozycja obejmuje spłatę zobowiązań z tytułu leasingu finansowego.</t>
  </si>
  <si>
    <t>2) Pozycja została połączona z pozycją "Inne korekty".</t>
  </si>
  <si>
    <t>1) Obejmuje wpływ instrumentów IRS/CIRS/forward, premie za wcześniejszą spłatę obligacji oraz zapłatę za koszty związane z pozyskaniem finansowania.</t>
  </si>
  <si>
    <t>Zmiana stanu aktywów z tytułu kontraktów</t>
  </si>
  <si>
    <t>Zmiana stanu zobowiązania z tytułu kontraktów</t>
  </si>
  <si>
    <t>Nabycie akcji/udziałów w jednostkach stowarzyszonych i innych jednostkach</t>
  </si>
  <si>
    <r>
      <t xml:space="preserve">2) Dane zgodne ze standardem MSR 18 - nie uwwzględniają wpływu standardów MSSF 9 </t>
    </r>
    <r>
      <rPr>
        <i/>
        <sz val="10"/>
        <color indexed="8"/>
        <rFont val="Calibri"/>
        <family val="2"/>
        <charset val="238"/>
      </rPr>
      <t>Instrumenty Finansowe</t>
    </r>
    <r>
      <rPr>
        <sz val="10"/>
        <color indexed="8"/>
        <rFont val="Calibri"/>
        <family val="2"/>
        <charset val="238"/>
      </rPr>
      <t xml:space="preserve"> oraz MSSF 15 </t>
    </r>
    <r>
      <rPr>
        <i/>
        <sz val="10"/>
        <color indexed="8"/>
        <rFont val="Calibri"/>
        <family val="2"/>
        <charset val="238"/>
      </rPr>
      <t>Przychody z umów z klientami</t>
    </r>
    <r>
      <rPr>
        <sz val="10"/>
        <color indexed="8"/>
        <rFont val="Calibri"/>
        <family val="2"/>
        <charset val="238"/>
      </rPr>
      <t xml:space="preserve">, obowiązujących od 1 stycznia 2018 roku. </t>
    </r>
  </si>
  <si>
    <r>
      <t xml:space="preserve">3) Dane zgodne ze standardami MSSF 9 </t>
    </r>
    <r>
      <rPr>
        <i/>
        <sz val="10"/>
        <color indexed="8"/>
        <rFont val="Calibri"/>
        <family val="2"/>
        <charset val="238"/>
      </rPr>
      <t>Instrumenty Finansowe</t>
    </r>
    <r>
      <rPr>
        <sz val="10"/>
        <color indexed="8"/>
        <rFont val="Calibri"/>
        <family val="2"/>
        <charset val="238"/>
      </rPr>
      <t xml:space="preserve"> oraz MSSF 15 </t>
    </r>
    <r>
      <rPr>
        <i/>
        <sz val="10"/>
        <color indexed="8"/>
        <rFont val="Calibri"/>
        <family val="2"/>
        <charset val="238"/>
      </rPr>
      <t xml:space="preserve">Przychody z umów z klientami. </t>
    </r>
    <r>
      <rPr>
        <sz val="10"/>
        <color indexed="8"/>
        <rFont val="Calibri"/>
        <family val="2"/>
        <charset val="238"/>
      </rPr>
      <t xml:space="preserve">Dane nie sa porównywalne z danymi za okresy wcześniejsze. </t>
    </r>
  </si>
  <si>
    <t>3 miesiące zakończone 31 marca</t>
  </si>
  <si>
    <t>Kanały współpracujące z Grupą Cyfrowy Polsat (niekonoslidowane)</t>
  </si>
  <si>
    <t>Fokus TV</t>
  </si>
  <si>
    <t>Nowa TV</t>
  </si>
  <si>
    <r>
      <t>2017</t>
    </r>
    <r>
      <rPr>
        <i/>
        <sz val="10"/>
        <color theme="1"/>
        <rFont val="Calibri"/>
        <family val="2"/>
        <charset val="238"/>
        <scheme val="minor"/>
      </rPr>
      <t xml:space="preserve"> (dane według MSR 18)</t>
    </r>
  </si>
  <si>
    <r>
      <t xml:space="preserve">2017 </t>
    </r>
    <r>
      <rPr>
        <i/>
        <sz val="10"/>
        <color theme="1"/>
        <rFont val="Calibri"/>
        <family val="2"/>
        <charset val="238"/>
        <scheme val="minor"/>
      </rPr>
      <t>(dane według MSR 18)</t>
    </r>
  </si>
  <si>
    <r>
      <t>ARPU na klienta</t>
    </r>
    <r>
      <rPr>
        <vertAlign val="superscript"/>
        <sz val="9"/>
        <color rgb="FF000000"/>
        <rFont val="Calibri"/>
        <family val="2"/>
        <charset val="238"/>
        <scheme val="minor"/>
      </rPr>
      <t>3)</t>
    </r>
    <r>
      <rPr>
        <sz val="9"/>
        <color rgb="FF000000"/>
        <rFont val="Calibri"/>
        <family val="2"/>
        <charset val="238"/>
        <scheme val="minor"/>
      </rPr>
      <t xml:space="preserve"> według MSSF 15 [PLN]</t>
    </r>
  </si>
  <si>
    <r>
      <t>ARPU na klienta</t>
    </r>
    <r>
      <rPr>
        <vertAlign val="superscript"/>
        <sz val="9"/>
        <color rgb="FF000000"/>
        <rFont val="Calibri"/>
        <family val="2"/>
        <charset val="238"/>
        <scheme val="minor"/>
      </rPr>
      <t>3)</t>
    </r>
    <r>
      <rPr>
        <sz val="9"/>
        <color rgb="FF000000"/>
        <rFont val="Calibri"/>
        <family val="2"/>
        <charset val="238"/>
        <scheme val="minor"/>
      </rPr>
      <t xml:space="preserve"> według MSR 18 [PLN]</t>
    </r>
  </si>
  <si>
    <t>Wpływy/(Wypływy) z tytułu inwestycji w fundusze</t>
  </si>
  <si>
    <r>
      <t>Kanały nabyte w 2018 roku</t>
    </r>
    <r>
      <rPr>
        <b/>
        <vertAlign val="superscript"/>
        <sz val="9"/>
        <color theme="1"/>
        <rFont val="Arial Narrow"/>
        <family val="2"/>
        <charset val="238"/>
      </rPr>
      <t>(9)</t>
    </r>
  </si>
  <si>
    <t>Polsat Sport Fight</t>
  </si>
  <si>
    <r>
      <t>Polsat 1</t>
    </r>
    <r>
      <rPr>
        <vertAlign val="superscript"/>
        <sz val="9"/>
        <color theme="1"/>
        <rFont val="Arial Narrow"/>
        <family val="2"/>
        <charset val="238"/>
      </rPr>
      <t>(7)</t>
    </r>
  </si>
  <si>
    <r>
      <t>Kanały nabyte w 2017 roku</t>
    </r>
    <r>
      <rPr>
        <b/>
        <vertAlign val="superscript"/>
        <sz val="9"/>
        <color theme="1"/>
        <rFont val="Arial Narrow"/>
        <family val="2"/>
        <charset val="238"/>
      </rPr>
      <t>(8)</t>
    </r>
  </si>
  <si>
    <t>Superstacja</t>
  </si>
  <si>
    <t>Eleven Sports 1</t>
  </si>
  <si>
    <t>Eleven Sports 2</t>
  </si>
  <si>
    <r>
      <t>Eleven Sports 3</t>
    </r>
    <r>
      <rPr>
        <vertAlign val="superscript"/>
        <sz val="9"/>
        <color theme="1"/>
        <rFont val="Arial Narrow"/>
        <family val="2"/>
        <charset val="238"/>
      </rPr>
      <t>(7)</t>
    </r>
  </si>
  <si>
    <r>
      <t>Eleven Sports 4</t>
    </r>
    <r>
      <rPr>
        <vertAlign val="superscript"/>
        <sz val="9"/>
        <color theme="1"/>
        <rFont val="Arial Narrow"/>
        <family val="2"/>
        <charset val="238"/>
      </rPr>
      <t>(7)</t>
    </r>
  </si>
  <si>
    <r>
      <t>TV Okazje</t>
    </r>
    <r>
      <rPr>
        <vertAlign val="superscript"/>
        <sz val="9"/>
        <color theme="1"/>
        <rFont val="Arial Narrow"/>
        <family val="2"/>
        <charset val="238"/>
      </rPr>
      <t>(7)</t>
    </r>
  </si>
  <si>
    <r>
      <t>Eleven Sports 3</t>
    </r>
    <r>
      <rPr>
        <vertAlign val="superscript"/>
        <sz val="9"/>
        <color theme="1"/>
        <rFont val="Arial Narrow"/>
        <family val="2"/>
        <charset val="238"/>
      </rPr>
      <t>(8)</t>
    </r>
  </si>
  <si>
    <r>
      <t>Eleven Sports 4</t>
    </r>
    <r>
      <rPr>
        <vertAlign val="superscript"/>
        <sz val="9"/>
        <color theme="1"/>
        <rFont val="Arial Narrow"/>
        <family val="2"/>
        <charset val="238"/>
      </rPr>
      <t>(8)</t>
    </r>
  </si>
  <si>
    <r>
      <t>TV Okazje</t>
    </r>
    <r>
      <rPr>
        <vertAlign val="superscript"/>
        <sz val="9"/>
        <color theme="1"/>
        <rFont val="Arial Narrow"/>
        <family val="2"/>
        <charset val="238"/>
      </rPr>
      <t>(8)</t>
    </r>
  </si>
  <si>
    <r>
      <t>Polsat Sport News HD</t>
    </r>
    <r>
      <rPr>
        <vertAlign val="superscript"/>
        <sz val="9"/>
        <color theme="1"/>
        <rFont val="Arial Narrow"/>
        <family val="2"/>
        <charset val="238"/>
      </rPr>
      <t>(5)</t>
    </r>
  </si>
  <si>
    <r>
      <t xml:space="preserve">2018 </t>
    </r>
    <r>
      <rPr>
        <i/>
        <sz val="10"/>
        <color theme="1"/>
        <rFont val="Calibri"/>
        <family val="2"/>
        <charset val="238"/>
        <scheme val="minor"/>
      </rPr>
      <t>(dane według MSSF 15, 
Grupa Netia konsolidowana od 22 maja 2018 r.)</t>
    </r>
  </si>
  <si>
    <r>
      <t>2Q</t>
    </r>
    <r>
      <rPr>
        <b/>
        <vertAlign val="superscript"/>
        <sz val="9"/>
        <color indexed="8"/>
        <rFont val="Calibri"/>
        <family val="2"/>
        <charset val="238"/>
        <scheme val="minor"/>
      </rPr>
      <t>6</t>
    </r>
  </si>
  <si>
    <t>6) Dane nie obejmują wyników operacyjnych Grupy Netia.</t>
  </si>
  <si>
    <t>Udział w zysku/(stracie) jednostek stowarzyszonych wycenianych metodą praw własności</t>
  </si>
  <si>
    <r>
      <t>Polsat Music HD</t>
    </r>
    <r>
      <rPr>
        <vertAlign val="superscript"/>
        <sz val="9"/>
        <color theme="1"/>
        <rFont val="Arial Narrow"/>
        <family val="2"/>
        <charset val="238"/>
      </rPr>
      <t>(4)</t>
    </r>
  </si>
  <si>
    <r>
      <t>Polsat Doku</t>
    </r>
    <r>
      <rPr>
        <vertAlign val="superscript"/>
        <sz val="9"/>
        <color theme="1"/>
        <rFont val="Arial Narrow"/>
        <family val="2"/>
        <charset val="238"/>
      </rPr>
      <t>(5)</t>
    </r>
  </si>
  <si>
    <r>
      <t>Polsat Sport News HD</t>
    </r>
    <r>
      <rPr>
        <vertAlign val="superscript"/>
        <sz val="9"/>
        <color theme="1"/>
        <rFont val="Arial Narrow"/>
        <family val="2"/>
        <charset val="238"/>
      </rPr>
      <t>(6)</t>
    </r>
  </si>
  <si>
    <r>
      <t>Polsat Sport Premium 1</t>
    </r>
    <r>
      <rPr>
        <vertAlign val="superscript"/>
        <sz val="9"/>
        <color theme="1"/>
        <rFont val="Arial Narrow"/>
        <family val="2"/>
        <charset val="238"/>
      </rPr>
      <t>(7)</t>
    </r>
  </si>
  <si>
    <r>
      <t>Polsat Sport Premium 2</t>
    </r>
    <r>
      <rPr>
        <vertAlign val="superscript"/>
        <sz val="9"/>
        <color theme="1"/>
        <rFont val="Arial Narrow"/>
        <family val="2"/>
        <charset val="238"/>
      </rPr>
      <t>(7)</t>
    </r>
  </si>
  <si>
    <r>
      <t>Polsat Games</t>
    </r>
    <r>
      <rPr>
        <vertAlign val="superscript"/>
        <sz val="9"/>
        <color theme="1"/>
        <rFont val="Arial Narrow"/>
        <family val="2"/>
        <charset val="238"/>
      </rPr>
      <t>(8)</t>
    </r>
  </si>
  <si>
    <r>
      <t>Polsat Rodzina</t>
    </r>
    <r>
      <rPr>
        <vertAlign val="superscript"/>
        <sz val="9"/>
        <color theme="1"/>
        <rFont val="Arial Narrow"/>
        <family val="2"/>
        <charset val="238"/>
      </rPr>
      <t>(8)</t>
    </r>
  </si>
  <si>
    <r>
      <t>Udział w rynku reklamy</t>
    </r>
    <r>
      <rPr>
        <b/>
        <vertAlign val="superscript"/>
        <sz val="11"/>
        <rFont val="Calibri"/>
        <family val="2"/>
        <charset val="238"/>
        <scheme val="minor"/>
      </rPr>
      <t>(11)</t>
    </r>
  </si>
  <si>
    <r>
      <t>Polsat Sport Premium 1</t>
    </r>
    <r>
      <rPr>
        <vertAlign val="superscript"/>
        <sz val="9"/>
        <color theme="1"/>
        <rFont val="Arial Narrow"/>
        <family val="2"/>
        <charset val="238"/>
      </rPr>
      <t>(8)</t>
    </r>
  </si>
  <si>
    <r>
      <t>Polsat Sport Premium 2</t>
    </r>
    <r>
      <rPr>
        <vertAlign val="superscript"/>
        <sz val="9"/>
        <color theme="1"/>
        <rFont val="Arial Narrow"/>
        <family val="2"/>
        <charset val="238"/>
      </rPr>
      <t>(8)</t>
    </r>
  </si>
  <si>
    <r>
      <t>Polsat Games</t>
    </r>
    <r>
      <rPr>
        <vertAlign val="superscript"/>
        <sz val="9"/>
        <color theme="1"/>
        <rFont val="Arial Narrow"/>
        <family val="2"/>
        <charset val="238"/>
      </rPr>
      <t>(9)</t>
    </r>
  </si>
  <si>
    <r>
      <t>Polsat Rodzina</t>
    </r>
    <r>
      <rPr>
        <vertAlign val="superscript"/>
        <sz val="9"/>
        <color theme="1"/>
        <rFont val="Arial Narrow"/>
        <family val="2"/>
        <charset val="238"/>
      </rPr>
      <t>(9)</t>
    </r>
  </si>
  <si>
    <t>(1) Nielsen Audience Measurement, odsetek telewizyjnych gospodarstw domowych, które mają możliwość odbioru danego kanału; średnia arytmetyczna zasięgów miesięcznych.
(2) Kanał włączony do portfolio Grupy Polsat w dniu 4 grudnia 2017 roku.
(3) Kanał nadający w systemie DTT, uruchomiony 2 stycznia 2017 roku w miejscu Polsat Sport News.
(4) Kanał uruchomiony 26 maja 2017 roku, zastąpił MUZO.TV.
(5) Od 2 stycznia 2017 roku kanał dostępny wyłącznie w sieciach kablowych i satelitarnych pod nazwą Polsat Sport News HD.
(6) Kanał uruchomiony 10 lutego 2017 roku, dane za okres nadawania. 
(7) Kanał nadawany poza granicami Polski, nie jest objęty badaniem telemetrycznym.
(8) Kanał nie objęty badaniem telemetrycznym.
(9) Kanał włączony do portfolio Grupy Polsat w październiku 2018.</t>
  </si>
  <si>
    <t xml:space="preserve">CI Polsat </t>
  </si>
  <si>
    <t>(1) Nielsen Audience Measurement, udział w oglądalności w grupie wszyscy 16-49 lat, cała doba, uwzględniono Live+2 (oglądalność z dnia emisji i z 2 kolejnych dni (tzw. Time Shift Viewing).
(2) Licząc sumaryczne udziały Grupy Polsat i kanałów tematycznych uwzględniamy moment włączenia kanałów do naszego portfolio.
(3) Kanał nadający w systemie DTT, uruchomiony 2 stycznia 2017 roku, zastąpił Polsat Sport News.
(4) Kanał do 26 maja 2017 roku nadawał pod nazwą MUZO.TV.
(5) Kanał uruchomiony 10 lutego 2017 roku, dane za okres nadawania.
(6) Od 2 stycznia 2017 roku kanał dostępny wyłącznie w sieciach kablowych i satelitarnych pod nazwą Polsat Sport News HD.
(7) Kanał nieobecny w badaniu telemetrycznym.
(8) Kanał uruchomiony w październiku 2018 roku.
(9) Kanały włączone do portfolio Grupy Polsat w dniu 4 grudnia 2017 roku, dane za pełne analizowane okresy.
(10) Kanały włączone do portfolio Grupy Polsat w czerwcu 2018. 
(11) Szacunki własne na podstawie danych Starcom.</t>
  </si>
  <si>
    <t>.</t>
  </si>
  <si>
    <r>
      <t xml:space="preserve">2019 </t>
    </r>
    <r>
      <rPr>
        <i/>
        <sz val="10"/>
        <color theme="1"/>
        <rFont val="Calibri"/>
        <family val="2"/>
        <charset val="238"/>
        <scheme val="minor"/>
      </rPr>
      <t>(dane według MSR 17)</t>
    </r>
  </si>
  <si>
    <r>
      <t xml:space="preserve">2019 </t>
    </r>
    <r>
      <rPr>
        <i/>
        <sz val="10"/>
        <color theme="1"/>
        <rFont val="Calibri"/>
        <family val="2"/>
        <charset val="238"/>
        <scheme val="minor"/>
      </rPr>
      <t>(dane według MSSF 16)</t>
    </r>
  </si>
  <si>
    <t>Prawa do użytkowania</t>
  </si>
  <si>
    <t>za okres 3 miesięcy zakończony</t>
  </si>
  <si>
    <t>31 marca 2018
(dane według MSR 17)</t>
  </si>
  <si>
    <r>
      <t>31 marca 2019
(dane według MSSF 16</t>
    </r>
    <r>
      <rPr>
        <b/>
        <sz val="10"/>
        <color indexed="8"/>
        <rFont val="Calibri"/>
        <family val="2"/>
        <charset val="238"/>
        <scheme val="minor"/>
      </rPr>
      <t>)</t>
    </r>
  </si>
  <si>
    <t>Na dzień 31 marca</t>
  </si>
  <si>
    <t>1) Pozycja ta obejmuje także nabycie zestawów odbiorczych w leasingu operacyjnym.</t>
  </si>
  <si>
    <t>2) Pozycja ta obejmuje także aktywa trwałe zlokalizowane poza granicami Polski w wysokości 11,8 zł.</t>
  </si>
  <si>
    <t>3) Pozycja ta obejmuje także aktywa trwałe zlokalizowane poza granicami Polski w wysokości 12,1 zł.</t>
  </si>
  <si>
    <t xml:space="preserve">2018 (dane według MSR 18, 
bez konsolidacji Grupy Netia)    
</t>
  </si>
  <si>
    <r>
      <t>2018</t>
    </r>
    <r>
      <rPr>
        <b/>
        <vertAlign val="superscript"/>
        <sz val="11"/>
        <color theme="1"/>
        <rFont val="Calibri"/>
        <family val="2"/>
        <charset val="238"/>
      </rPr>
      <t>3)</t>
    </r>
    <r>
      <rPr>
        <b/>
        <sz val="11"/>
        <color theme="1"/>
        <rFont val="Calibri"/>
        <family val="2"/>
        <charset val="238"/>
      </rPr>
      <t xml:space="preserve"> (dane według MSSF 15 i MSR 17,
Grupa Netia konsolidowana od 22 maja 2018 r.)</t>
    </r>
  </si>
  <si>
    <t>4) Dane bez ujęcia efektu MSSF 16</t>
  </si>
  <si>
    <r>
      <t>2019</t>
    </r>
    <r>
      <rPr>
        <b/>
        <vertAlign val="superscript"/>
        <sz val="11"/>
        <color theme="1"/>
        <rFont val="Calibri"/>
        <family val="2"/>
        <charset val="238"/>
      </rPr>
      <t>4)</t>
    </r>
    <r>
      <rPr>
        <b/>
        <sz val="11"/>
        <color theme="1"/>
        <rFont val="Calibri"/>
        <family val="2"/>
        <charset val="238"/>
      </rPr>
      <t xml:space="preserve"> (dane według MSSF 15 i MSR 17)</t>
    </r>
  </si>
  <si>
    <r>
      <t>2019</t>
    </r>
    <r>
      <rPr>
        <b/>
        <sz val="11"/>
        <rFont val="Calibri"/>
        <family val="2"/>
        <charset val="238"/>
      </rPr>
      <t xml:space="preserve"> (dane wg MSSF 15 i MSSF 16)</t>
    </r>
  </si>
  <si>
    <r>
      <t xml:space="preserve">2019 </t>
    </r>
    <r>
      <rPr>
        <i/>
        <sz val="10"/>
        <color theme="1"/>
        <rFont val="Calibri"/>
        <family val="2"/>
        <charset val="238"/>
        <scheme val="minor"/>
      </rPr>
      <t>(dane według MSSF 15 i MSSF 16)</t>
    </r>
  </si>
  <si>
    <r>
      <t>Spłata odsetek od leasingu</t>
    </r>
    <r>
      <rPr>
        <vertAlign val="superscript"/>
        <sz val="10"/>
        <color indexed="8"/>
        <rFont val="Calibri"/>
        <family val="2"/>
        <charset val="238"/>
      </rPr>
      <t xml:space="preserve"> 5)</t>
    </r>
  </si>
  <si>
    <r>
      <t>Spłata zobowiązań z tytułu leasingu</t>
    </r>
    <r>
      <rPr>
        <vertAlign val="superscript"/>
        <sz val="10"/>
        <color indexed="8"/>
        <rFont val="Calibri"/>
        <family val="2"/>
        <charset val="238"/>
      </rPr>
      <t xml:space="preserve"> 6)</t>
    </r>
  </si>
  <si>
    <t>6) Do 31 grudnia 2018 roku pozycja ta była wykazywana w linii "Inne wydatki".</t>
  </si>
  <si>
    <t>5) Do 31 grudnia 2018 roku pozycja ta była wykazywana w linii "Spłata odsetek od kredytów, pożyczek, obligacji, leasingu finansowego i zapłacone prowizje".</t>
  </si>
  <si>
    <t>1,0 p.p.</t>
  </si>
</sst>
</file>

<file path=xl/styles.xml><?xml version="1.0" encoding="utf-8"?>
<styleSheet xmlns="http://schemas.openxmlformats.org/spreadsheetml/2006/main" xmlns:mc="http://schemas.openxmlformats.org/markup-compatibility/2006" xmlns:x14ac="http://schemas.microsoft.com/office/spreadsheetml/2009/9/ac" mc:Ignorable="x14ac">
  <numFmts count="57">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_(* \(#,##0\);_(* &quot;-&quot;_);_(@_)"/>
    <numFmt numFmtId="165" formatCode="_(* #,##0.00_);_(* \(#,##0.00\);_(* &quot;-&quot;??_);_(@_)"/>
    <numFmt numFmtId="166" formatCode="0.0"/>
    <numFmt numFmtId="167" formatCode="0.000"/>
    <numFmt numFmtId="168" formatCode="0.0%"/>
    <numFmt numFmtId="169" formatCode="#,##0.0"/>
    <numFmt numFmtId="170" formatCode="#,##0.0;\-#,##0.0"/>
    <numFmt numFmtId="171" formatCode="#,##0.0\ ;\(#,##0\)"/>
    <numFmt numFmtId="172" formatCode="#,##0.0\ ;\(#,##0.0\)"/>
    <numFmt numFmtId="173" formatCode="\-"/>
    <numFmt numFmtId="174" formatCode="###0.0"/>
    <numFmt numFmtId="175" formatCode="###0.0;\(###0.0\)"/>
    <numFmt numFmtId="176" formatCode="#,##0.0;\(#,##0.0\)"/>
    <numFmt numFmtId="177" formatCode="_-* #,##0.00\ [$€-1]_-;\-* #,##0.00\ [$€-1]_-;_-* &quot;-&quot;??\ [$€-1]_-"/>
    <numFmt numFmtId="178" formatCode="#,##0.00;\(#,##0.00\)"/>
    <numFmt numFmtId="179" formatCode="##\.##0.0;\(##\.##0.0\)"/>
    <numFmt numFmtId="180" formatCode="#,##0.0\ ;\(#,##0.0\);\-"/>
    <numFmt numFmtId="181" formatCode="#,##0.0;\(#,##0.0\);\-"/>
    <numFmt numFmtId="182" formatCode="#,##0.000;\(#,##0.000\);\-"/>
    <numFmt numFmtId="183" formatCode="#,##0;\(#,##0\);\-"/>
    <numFmt numFmtId="184" formatCode="#,##0.0,;\(#,##0.0\)"/>
    <numFmt numFmtId="185" formatCode="#,##0.0,;\(#,##0.0\);\-"/>
    <numFmt numFmtId="186" formatCode="0.00;\(0.00\);\-"/>
    <numFmt numFmtId="187" formatCode="0.0;\(0.0\);\-"/>
    <numFmt numFmtId="188" formatCode="General;\ \(General\)"/>
    <numFmt numFmtId="189" formatCode="#,##0.00;\(#,##0.00\);\-"/>
    <numFmt numFmtId="190" formatCode="_([$€]* #,##0.00_);_([$€]* \(#,##0.00\);_([$€]* &quot;-&quot;??_);_(@_)"/>
    <numFmt numFmtId="191" formatCode="[$-415]mmm\ yy;@"/>
    <numFmt numFmtId="192" formatCode="_ &quot;kr&quot;\ * #,##0.00_ ;_ &quot;kr&quot;\ * \-#,##0.00_ ;_ &quot;kr&quot;\ * &quot;-&quot;??_ ;_ @_ "/>
    <numFmt numFmtId="193" formatCode="_ * #,##0.00_ ;_ * \-#,##0.00_ ;_ * &quot;-&quot;??_ ;_ @_ "/>
    <numFmt numFmtId="194" formatCode="&quot;$&quot;#,##0;[Red]\-&quot;$&quot;#,##0"/>
    <numFmt numFmtId="195" formatCode="d/m/yy\ h:mm"/>
    <numFmt numFmtId="196" formatCode="General_)"/>
    <numFmt numFmtId="197" formatCode="0.000000000"/>
    <numFmt numFmtId="198" formatCode="\k\$#"/>
    <numFmt numFmtId="199" formatCode="\H\U\F\ 0.000"/>
    <numFmt numFmtId="200" formatCode="&quot;$&quot;#,##0.00\ ;\(&quot;$&quot;#,##0.00\)"/>
    <numFmt numFmtId="201" formatCode="\k\$\ 0.000"/>
    <numFmt numFmtId="202" formatCode="\k\E\C\U\ 0.000"/>
    <numFmt numFmtId="203" formatCode="\k\H\U\F\ 0.000"/>
    <numFmt numFmtId="204" formatCode="\k\L\E\ 0.000"/>
    <numFmt numFmtId="205" formatCode="_-* #,##0.00\ &quot;Sk&quot;_-;\-* #,##0.00\ &quot;Sk&quot;_-;_-* &quot;-&quot;??\ &quot;Sk&quot;_-;_-@_-"/>
    <numFmt numFmtId="206" formatCode="_ * #,##0_)\ _$_ ;_ * \(#,##0\)\ _$_ ;_ * &quot;-&quot;_)\ _$_ ;_ @_ "/>
    <numFmt numFmtId="207" formatCode="_ * #,##0.00_)\ _$_ ;_ * \(#,##0.00\)\ _$_ ;_ * &quot;-&quot;??_)\ _$_ ;_ @_ "/>
    <numFmt numFmtId="208" formatCode="_ * #,##0_)\ &quot;$&quot;_ ;_ * \(#,##0\)\ &quot;$&quot;_ ;_ * &quot;-&quot;_)\ &quot;$&quot;_ ;_ @_ "/>
    <numFmt numFmtId="209" formatCode="_ * #,##0.00_)\ &quot;$&quot;_ ;_ * \(#,##0.00\)\ &quot;$&quot;_ ;_ * &quot;-&quot;??_)\ &quot;$&quot;_ ;_ @_ "/>
    <numFmt numFmtId="210" formatCode="&quot;Note&quot;\ #"/>
    <numFmt numFmtId="211" formatCode="&quot;See Note &quot;\ #"/>
    <numFmt numFmtId="212" formatCode="\$\ #,##0"/>
    <numFmt numFmtId="213" formatCode="&quot;L.&quot;\ #,##0;[Red]\-&quot;L.&quot;\ #,##0"/>
    <numFmt numFmtId="214" formatCode="_-&quot;£&quot;* #,##0_-;\-&quot;£&quot;* #,##0_-;_-&quot;£&quot;* &quot;-&quot;_-;_-@_-"/>
    <numFmt numFmtId="215" formatCode="_-&quot;£&quot;* #,##0.00_-;\-&quot;£&quot;* #,##0.00_-;_-&quot;£&quot;* &quot;-&quot;??_-;_-@_-"/>
    <numFmt numFmtId="216" formatCode="#,##0_ ;\-#,##0\ "/>
  </numFmts>
  <fonts count="200">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zcionka tekstu podstawowego"/>
      <family val="2"/>
      <charset val="238"/>
    </font>
    <font>
      <sz val="9"/>
      <color indexed="8"/>
      <name val="Calibri"/>
      <family val="2"/>
      <charset val="238"/>
    </font>
    <font>
      <sz val="11"/>
      <color indexed="8"/>
      <name val="Czcionka tekstu podstawowego"/>
      <family val="2"/>
      <charset val="238"/>
    </font>
    <font>
      <b/>
      <sz val="9"/>
      <name val="Calibri"/>
      <family val="2"/>
      <charset val="238"/>
    </font>
    <font>
      <sz val="8"/>
      <name val="Czcionka tekstu podstawowego"/>
      <family val="2"/>
      <charset val="238"/>
    </font>
    <font>
      <sz val="10"/>
      <color indexed="8"/>
      <name val="Calibri"/>
      <family val="2"/>
      <charset val="238"/>
    </font>
    <font>
      <i/>
      <sz val="9"/>
      <color theme="1"/>
      <name val="Calibri"/>
      <family val="2"/>
      <charset val="238"/>
      <scheme val="minor"/>
    </font>
    <font>
      <sz val="11"/>
      <color theme="1"/>
      <name val="Czcionka tekstu podstawowego"/>
      <family val="2"/>
      <charset val="238"/>
    </font>
    <font>
      <b/>
      <sz val="11"/>
      <color theme="1"/>
      <name val="Calibri"/>
      <family val="2"/>
      <charset val="238"/>
      <scheme val="minor"/>
    </font>
    <font>
      <b/>
      <sz val="12"/>
      <color theme="9"/>
      <name val="Calibri"/>
      <family val="2"/>
      <charset val="238"/>
      <scheme val="minor"/>
    </font>
    <font>
      <b/>
      <sz val="11"/>
      <color rgb="FF000000"/>
      <name val="Calibri"/>
      <family val="2"/>
      <charset val="238"/>
      <scheme val="minor"/>
    </font>
    <font>
      <b/>
      <sz val="9"/>
      <color theme="9"/>
      <name val="Calibri"/>
      <family val="2"/>
      <charset val="238"/>
      <scheme val="minor"/>
    </font>
    <font>
      <b/>
      <sz val="9"/>
      <color rgb="FF000000"/>
      <name val="Calibri"/>
      <family val="2"/>
      <charset val="238"/>
      <scheme val="minor"/>
    </font>
    <font>
      <b/>
      <sz val="9"/>
      <color theme="1"/>
      <name val="Calibri"/>
      <family val="2"/>
      <charset val="238"/>
      <scheme val="minor"/>
    </font>
    <font>
      <sz val="9"/>
      <name val="Calibri"/>
      <family val="2"/>
      <charset val="238"/>
      <scheme val="minor"/>
    </font>
    <font>
      <b/>
      <sz val="10"/>
      <color theme="9"/>
      <name val="Calibri"/>
      <family val="2"/>
      <charset val="238"/>
      <scheme val="minor"/>
    </font>
    <font>
      <b/>
      <sz val="10"/>
      <color rgb="FF000000"/>
      <name val="Calibri"/>
      <family val="2"/>
      <charset val="238"/>
      <scheme val="minor"/>
    </font>
    <font>
      <b/>
      <sz val="10"/>
      <color indexed="8"/>
      <name val="Calibri"/>
      <family val="2"/>
      <charset val="238"/>
    </font>
    <font>
      <b/>
      <sz val="10"/>
      <color theme="1"/>
      <name val="Calibri"/>
      <family val="2"/>
      <charset val="238"/>
      <scheme val="minor"/>
    </font>
    <font>
      <vertAlign val="superscript"/>
      <sz val="10"/>
      <color indexed="8"/>
      <name val="Calibri"/>
      <family val="2"/>
      <charset val="238"/>
    </font>
    <font>
      <b/>
      <sz val="10"/>
      <color indexed="8"/>
      <name val="Calibri"/>
      <family val="2"/>
      <charset val="238"/>
      <scheme val="minor"/>
    </font>
    <font>
      <b/>
      <i/>
      <sz val="10"/>
      <color rgb="FF000000"/>
      <name val="Calibri"/>
      <family val="2"/>
      <charset val="238"/>
      <scheme val="minor"/>
    </font>
    <font>
      <sz val="10"/>
      <color theme="1"/>
      <name val="Calibri"/>
      <family val="2"/>
      <charset val="238"/>
      <scheme val="minor"/>
    </font>
    <font>
      <sz val="10"/>
      <color theme="1"/>
      <name val="Czcionka tekstu podstawowego"/>
      <family val="2"/>
      <charset val="238"/>
    </font>
    <font>
      <i/>
      <sz val="11"/>
      <color theme="1"/>
      <name val="Calibri"/>
      <family val="2"/>
      <charset val="238"/>
      <scheme val="minor"/>
    </font>
    <font>
      <b/>
      <i/>
      <sz val="11"/>
      <color theme="1"/>
      <name val="Calibri"/>
      <family val="2"/>
      <charset val="238"/>
      <scheme val="minor"/>
    </font>
    <font>
      <vertAlign val="superscript"/>
      <sz val="11"/>
      <color theme="1"/>
      <name val="Calibri"/>
      <family val="2"/>
      <charset val="238"/>
      <scheme val="minor"/>
    </font>
    <font>
      <sz val="9"/>
      <color theme="1"/>
      <name val="Calibri"/>
      <family val="2"/>
      <charset val="238"/>
      <scheme val="minor"/>
    </font>
    <font>
      <vertAlign val="superscript"/>
      <sz val="9"/>
      <color theme="1"/>
      <name val="Calibri"/>
      <family val="2"/>
      <charset val="238"/>
      <scheme val="minor"/>
    </font>
    <font>
      <b/>
      <vertAlign val="superscript"/>
      <sz val="10"/>
      <color indexed="8"/>
      <name val="Calibri"/>
      <family val="2"/>
      <charset val="238"/>
    </font>
    <font>
      <sz val="10"/>
      <name val="Calibri"/>
      <family val="2"/>
      <charset val="238"/>
    </font>
    <font>
      <i/>
      <sz val="10"/>
      <color theme="1"/>
      <name val="Calibri"/>
      <family val="2"/>
      <charset val="238"/>
      <scheme val="minor"/>
    </font>
    <font>
      <i/>
      <sz val="10"/>
      <color indexed="8"/>
      <name val="Calibri"/>
      <family val="2"/>
      <charset val="238"/>
    </font>
    <font>
      <b/>
      <sz val="10"/>
      <name val="Calibri"/>
      <family val="2"/>
      <charset val="238"/>
    </font>
    <font>
      <vertAlign val="superscript"/>
      <sz val="10"/>
      <name val="Calibri"/>
      <family val="2"/>
      <charset val="238"/>
    </font>
    <font>
      <b/>
      <vertAlign val="superscript"/>
      <sz val="9"/>
      <color rgb="FF000000"/>
      <name val="Calibri"/>
      <family val="2"/>
      <charset val="238"/>
      <scheme val="minor"/>
    </font>
    <font>
      <b/>
      <sz val="9"/>
      <color indexed="8"/>
      <name val="Calibri"/>
      <family val="2"/>
      <charset val="238"/>
      <scheme val="minor"/>
    </font>
    <font>
      <b/>
      <sz val="9"/>
      <name val="Calibri"/>
      <family val="2"/>
      <charset val="238"/>
      <scheme val="minor"/>
    </font>
    <font>
      <b/>
      <vertAlign val="superscript"/>
      <sz val="9"/>
      <name val="Calibri"/>
      <family val="2"/>
      <charset val="238"/>
      <scheme val="minor"/>
    </font>
    <font>
      <b/>
      <sz val="9"/>
      <color rgb="FFFD8A00"/>
      <name val="Calibri"/>
      <family val="2"/>
      <charset val="238"/>
      <scheme val="minor"/>
    </font>
    <font>
      <sz val="9"/>
      <color rgb="FF000000"/>
      <name val="Calibri"/>
      <family val="2"/>
      <charset val="238"/>
      <scheme val="minor"/>
    </font>
    <font>
      <i/>
      <sz val="9"/>
      <color rgb="FF000000"/>
      <name val="Calibri"/>
      <family val="2"/>
      <charset val="238"/>
      <scheme val="minor"/>
    </font>
    <font>
      <i/>
      <sz val="9"/>
      <name val="Calibri"/>
      <family val="2"/>
      <charset val="238"/>
      <scheme val="minor"/>
    </font>
    <font>
      <vertAlign val="superscript"/>
      <sz val="9"/>
      <color rgb="FF000000"/>
      <name val="Calibri"/>
      <family val="2"/>
      <charset val="238"/>
      <scheme val="minor"/>
    </font>
    <font>
      <sz val="9"/>
      <color theme="9"/>
      <name val="Calibri"/>
      <family val="2"/>
      <charset val="238"/>
      <scheme val="minor"/>
    </font>
    <font>
      <b/>
      <sz val="11"/>
      <color indexed="8"/>
      <name val="Calibri"/>
      <family val="2"/>
      <charset val="238"/>
      <scheme val="minor"/>
    </font>
    <font>
      <b/>
      <i/>
      <sz val="11"/>
      <color rgb="FF000000"/>
      <name val="Calibri"/>
      <family val="2"/>
      <charset val="238"/>
      <scheme val="minor"/>
    </font>
    <font>
      <b/>
      <vertAlign val="superscript"/>
      <sz val="11"/>
      <color theme="1"/>
      <name val="Calibri"/>
      <family val="2"/>
      <charset val="238"/>
      <scheme val="minor"/>
    </font>
    <font>
      <b/>
      <sz val="11"/>
      <name val="Calibri"/>
      <family val="2"/>
      <charset val="238"/>
      <scheme val="minor"/>
    </font>
    <font>
      <sz val="11"/>
      <color rgb="FF000000"/>
      <name val="Calibri"/>
      <family val="2"/>
      <charset val="238"/>
      <scheme val="minor"/>
    </font>
    <font>
      <b/>
      <vertAlign val="superscript"/>
      <sz val="11"/>
      <name val="Calibri"/>
      <family val="2"/>
      <charset val="238"/>
      <scheme val="minor"/>
    </font>
    <font>
      <vertAlign val="superscript"/>
      <sz val="9"/>
      <color theme="1"/>
      <name val="Arial Narrow"/>
      <family val="2"/>
      <charset val="238"/>
    </font>
    <font>
      <sz val="10"/>
      <color indexed="8"/>
      <name val="Calibri"/>
      <family val="2"/>
      <charset val="238"/>
      <scheme val="minor"/>
    </font>
    <font>
      <b/>
      <sz val="10"/>
      <color theme="9"/>
      <name val="Calibri"/>
      <family val="2"/>
      <charset val="238"/>
    </font>
    <font>
      <sz val="11"/>
      <color theme="1"/>
      <name val="Calibri"/>
      <family val="2"/>
      <charset val="238"/>
    </font>
    <font>
      <b/>
      <sz val="10"/>
      <color rgb="FF000000"/>
      <name val="Calibri"/>
      <family val="2"/>
      <charset val="238"/>
    </font>
    <font>
      <b/>
      <sz val="11"/>
      <color theme="1"/>
      <name val="Calibri"/>
      <family val="2"/>
      <charset val="238"/>
    </font>
    <font>
      <b/>
      <sz val="10"/>
      <color theme="1"/>
      <name val="Calibri"/>
      <family val="2"/>
      <charset val="238"/>
    </font>
    <font>
      <sz val="9"/>
      <name val="Calibri"/>
      <family val="2"/>
      <charset val="238"/>
    </font>
    <font>
      <b/>
      <vertAlign val="superscript"/>
      <sz val="9"/>
      <color theme="1"/>
      <name val="Arial Narrow"/>
      <family val="2"/>
      <charset val="238"/>
    </font>
    <font>
      <b/>
      <vertAlign val="superscript"/>
      <sz val="11"/>
      <color theme="1"/>
      <name val="Calibri"/>
      <family val="2"/>
      <charset val="238"/>
    </font>
    <font>
      <b/>
      <vertAlign val="superscript"/>
      <sz val="9"/>
      <color indexed="8"/>
      <name val="Calibri"/>
      <family val="2"/>
      <charset val="238"/>
      <scheme val="minor"/>
    </font>
    <font>
      <sz val="11"/>
      <name val="Calibri"/>
      <family val="2"/>
      <charset val="238"/>
      <scheme val="minor"/>
    </font>
    <font>
      <sz val="10"/>
      <name val="Calibri"/>
      <family val="2"/>
      <charset val="238"/>
      <scheme val="minor"/>
    </font>
    <font>
      <sz val="11"/>
      <name val="Calibri"/>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sz val="11"/>
      <color theme="0"/>
      <name val="Calibri"/>
      <family val="2"/>
      <charset val="238"/>
      <scheme val="minor"/>
    </font>
    <font>
      <sz val="11"/>
      <color theme="1"/>
      <name val="Arial Narrow"/>
      <family val="2"/>
      <charset val="238"/>
    </font>
    <font>
      <sz val="10"/>
      <color rgb="FF000000"/>
      <name val="Arial"/>
      <family val="2"/>
      <charset val="238"/>
    </font>
    <font>
      <sz val="9"/>
      <color theme="1"/>
      <name val="Arial"/>
      <family val="2"/>
      <charset val="238"/>
    </font>
    <font>
      <sz val="10"/>
      <name val="Arial CE"/>
      <charset val="238"/>
    </font>
    <font>
      <sz val="10"/>
      <name val="Times New Roman CE"/>
      <charset val="238"/>
    </font>
    <font>
      <sz val="9"/>
      <name val="Arial CE"/>
      <charset val="238"/>
    </font>
    <font>
      <sz val="9"/>
      <name val="Helv"/>
    </font>
    <font>
      <sz val="10"/>
      <name val="Arial"/>
      <family val="2"/>
      <charset val="238"/>
    </font>
    <font>
      <sz val="10"/>
      <name val="Courier"/>
      <family val="3"/>
    </font>
    <font>
      <sz val="8"/>
      <name val="Tms Rmn"/>
    </font>
    <font>
      <sz val="9"/>
      <name val="Courier"/>
      <family val="3"/>
    </font>
    <font>
      <sz val="10"/>
      <name val="Dutch"/>
    </font>
    <font>
      <sz val="10"/>
      <name val="MS Sans Serif"/>
      <family val="2"/>
      <charset val="238"/>
    </font>
    <font>
      <sz val="11"/>
      <color indexed="8"/>
      <name val="Calibri"/>
      <family val="2"/>
      <charset val="238"/>
    </font>
    <font>
      <sz val="11"/>
      <color indexed="9"/>
      <name val="Czcionka tekstu podstawowego"/>
      <family val="2"/>
      <charset val="238"/>
    </font>
    <font>
      <sz val="11"/>
      <color theme="0"/>
      <name val="Czcionka tekstu podstawowego"/>
      <family val="2"/>
      <charset val="238"/>
    </font>
    <font>
      <b/>
      <sz val="12"/>
      <name val="Arial"/>
      <family val="2"/>
      <charset val="238"/>
    </font>
    <font>
      <sz val="11"/>
      <color indexed="62"/>
      <name val="Czcionka tekstu podstawowego"/>
      <family val="2"/>
      <charset val="238"/>
    </font>
    <font>
      <sz val="11"/>
      <color rgb="FF3F3F76"/>
      <name val="Czcionka tekstu podstawowego"/>
      <family val="2"/>
      <charset val="238"/>
    </font>
    <font>
      <b/>
      <sz val="11"/>
      <color indexed="63"/>
      <name val="Czcionka tekstu podstawowego"/>
      <family val="2"/>
      <charset val="238"/>
    </font>
    <font>
      <b/>
      <sz val="11"/>
      <color rgb="FF3F3F3F"/>
      <name val="Czcionka tekstu podstawowego"/>
      <family val="2"/>
      <charset val="238"/>
    </font>
    <font>
      <sz val="11"/>
      <color rgb="FF3F3F3F"/>
      <name val="Czcionka tekstu podstawowego"/>
      <family val="2"/>
      <charset val="238"/>
    </font>
    <font>
      <sz val="11"/>
      <color indexed="17"/>
      <name val="Czcionka tekstu podstawowego"/>
      <family val="2"/>
      <charset val="238"/>
    </font>
    <font>
      <sz val="11"/>
      <color rgb="FF006100"/>
      <name val="Czcionka tekstu podstawowego"/>
      <family val="2"/>
      <charset val="238"/>
    </font>
    <font>
      <i/>
      <sz val="10"/>
      <name val="Arial"/>
      <family val="2"/>
      <charset val="238"/>
    </font>
    <font>
      <sz val="10"/>
      <color theme="1"/>
      <name val="Tahoma"/>
      <family val="2"/>
      <charset val="238"/>
    </font>
    <font>
      <sz val="10"/>
      <name val="Arial"/>
      <family val="2"/>
    </font>
    <font>
      <sz val="11"/>
      <color theme="1"/>
      <name val="Czcionka tekstu podstawowego"/>
      <family val="2"/>
    </font>
    <font>
      <sz val="12"/>
      <name val="Tms Rmn"/>
    </font>
    <font>
      <i/>
      <sz val="10"/>
      <name val="Times New Roman"/>
      <family val="1"/>
      <charset val="238"/>
    </font>
    <font>
      <b/>
      <sz val="8"/>
      <color indexed="18"/>
      <name val="PL Arial"/>
      <charset val="238"/>
    </font>
    <font>
      <sz val="8"/>
      <name val="Arial"/>
      <family val="2"/>
    </font>
    <font>
      <b/>
      <sz val="12"/>
      <color indexed="10"/>
      <name val="Arial"/>
      <family val="2"/>
      <charset val="238"/>
    </font>
    <font>
      <b/>
      <sz val="12"/>
      <name val="Arial"/>
      <family val="2"/>
    </font>
    <font>
      <b/>
      <sz val="18"/>
      <name val="Helv"/>
    </font>
    <font>
      <b/>
      <sz val="12"/>
      <name val="Helv"/>
    </font>
    <font>
      <b/>
      <sz val="12"/>
      <name val="Geneva"/>
      <family val="2"/>
    </font>
    <font>
      <u/>
      <sz val="12"/>
      <name val="Geneva"/>
      <family val="2"/>
    </font>
    <font>
      <b/>
      <sz val="10"/>
      <name val="Helv"/>
    </font>
    <font>
      <u/>
      <sz val="7"/>
      <color indexed="12"/>
      <name val="Arial"/>
      <family val="2"/>
      <charset val="238"/>
    </font>
    <font>
      <sz val="8"/>
      <name val="Geneva"/>
      <family val="2"/>
    </font>
    <font>
      <u/>
      <sz val="10"/>
      <color indexed="12"/>
      <name val="Arial"/>
      <family val="2"/>
      <charset val="238"/>
    </font>
    <font>
      <sz val="10"/>
      <name val="Arial CE"/>
    </font>
    <font>
      <sz val="10"/>
      <name val="AA Normal"/>
    </font>
    <font>
      <sz val="10"/>
      <name val="Geneva"/>
      <family val="2"/>
    </font>
    <font>
      <sz val="11"/>
      <color indexed="52"/>
      <name val="Czcionka tekstu podstawowego"/>
      <family val="2"/>
      <charset val="238"/>
    </font>
    <font>
      <sz val="11"/>
      <color rgb="FFFA7D00"/>
      <name val="Czcionka tekstu podstawowego"/>
      <family val="2"/>
      <charset val="238"/>
    </font>
    <font>
      <b/>
      <sz val="11"/>
      <color indexed="8"/>
      <name val="Czcionka tekstu podstawowego"/>
      <family val="2"/>
      <charset val="238"/>
    </font>
    <font>
      <b/>
      <sz val="11"/>
      <color indexed="9"/>
      <name val="Czcionka tekstu podstawowego"/>
      <family val="2"/>
      <charset val="238"/>
    </font>
    <font>
      <b/>
      <sz val="11"/>
      <color theme="0"/>
      <name val="Czcionka tekstu podstawowego"/>
      <family val="2"/>
      <charset val="238"/>
    </font>
    <font>
      <sz val="8"/>
      <name val="Courier"/>
      <family val="3"/>
    </font>
    <font>
      <sz val="8"/>
      <name val="Swiss"/>
      <charset val="238"/>
    </font>
    <font>
      <sz val="11"/>
      <name val="Arial"/>
      <family val="2"/>
      <charset val="238"/>
    </font>
    <font>
      <b/>
      <sz val="15"/>
      <color indexed="62"/>
      <name val="Czcionka tekstu podstawowego"/>
      <family val="2"/>
      <charset val="238"/>
    </font>
    <font>
      <b/>
      <sz val="15"/>
      <color indexed="56"/>
      <name val="Czcionka tekstu podstawowego"/>
      <family val="2"/>
      <charset val="238"/>
    </font>
    <font>
      <b/>
      <sz val="15"/>
      <color theme="3"/>
      <name val="Czcionka tekstu podstawowego"/>
      <family val="2"/>
      <charset val="238"/>
    </font>
    <font>
      <sz val="11"/>
      <color theme="3"/>
      <name val="Czcionka tekstu podstawowego"/>
      <family val="2"/>
      <charset val="238"/>
    </font>
    <font>
      <b/>
      <sz val="13"/>
      <color indexed="62"/>
      <name val="Czcionka tekstu podstawowego"/>
      <family val="2"/>
      <charset val="238"/>
    </font>
    <font>
      <b/>
      <sz val="13"/>
      <color indexed="56"/>
      <name val="Czcionka tekstu podstawowego"/>
      <family val="2"/>
      <charset val="238"/>
    </font>
    <font>
      <b/>
      <sz val="13"/>
      <color theme="3"/>
      <name val="Czcionka tekstu podstawowego"/>
      <family val="2"/>
      <charset val="238"/>
    </font>
    <font>
      <b/>
      <sz val="11"/>
      <color indexed="62"/>
      <name val="Czcionka tekstu podstawowego"/>
      <family val="2"/>
      <charset val="238"/>
    </font>
    <font>
      <b/>
      <sz val="11"/>
      <color indexed="56"/>
      <name val="Czcionka tekstu podstawowego"/>
      <family val="2"/>
      <charset val="238"/>
    </font>
    <font>
      <b/>
      <sz val="11"/>
      <color theme="3"/>
      <name val="Czcionka tekstu podstawowego"/>
      <family val="2"/>
      <charset val="238"/>
    </font>
    <font>
      <sz val="11"/>
      <color indexed="60"/>
      <name val="Czcionka tekstu podstawowego"/>
      <family val="2"/>
      <charset val="238"/>
    </font>
    <font>
      <sz val="11"/>
      <color rgb="FF9C6500"/>
      <name val="Czcionka tekstu podstawowego"/>
      <family val="2"/>
      <charset val="238"/>
    </font>
    <font>
      <sz val="10"/>
      <name val="Times New Roman"/>
      <family val="1"/>
      <charset val="238"/>
    </font>
    <font>
      <sz val="9"/>
      <color indexed="0"/>
      <name val="Arial"/>
      <family val="2"/>
      <charset val="238"/>
    </font>
    <font>
      <sz val="11"/>
      <color theme="1"/>
      <name val="Calibri"/>
      <family val="2"/>
      <scheme val="minor"/>
    </font>
    <font>
      <sz val="11"/>
      <color theme="1"/>
      <name val="Tahoma"/>
      <family val="2"/>
      <charset val="238"/>
    </font>
    <font>
      <sz val="11"/>
      <color theme="1"/>
      <name val="Cambria"/>
      <family val="2"/>
      <charset val="238"/>
      <scheme val="major"/>
    </font>
    <font>
      <sz val="8"/>
      <name val="Times New Roman"/>
      <family val="1"/>
      <charset val="238"/>
    </font>
    <font>
      <b/>
      <sz val="8"/>
      <name val="Times New Roman"/>
      <family val="1"/>
      <charset val="238"/>
    </font>
    <font>
      <b/>
      <sz val="11"/>
      <color indexed="52"/>
      <name val="Czcionka tekstu podstawowego"/>
      <family val="2"/>
      <charset val="238"/>
    </font>
    <font>
      <b/>
      <sz val="11"/>
      <color rgb="FFFA7D00"/>
      <name val="Czcionka tekstu podstawowego"/>
      <family val="2"/>
      <charset val="238"/>
    </font>
    <font>
      <sz val="8"/>
      <name val="Helv"/>
    </font>
    <font>
      <sz val="11"/>
      <color indexed="8"/>
      <name val="Times New Roman"/>
      <family val="1"/>
      <charset val="238"/>
    </font>
    <font>
      <b/>
      <i/>
      <sz val="11"/>
      <color indexed="8"/>
      <name val="Times New Roman"/>
      <family val="1"/>
      <charset val="238"/>
    </font>
    <font>
      <b/>
      <sz val="11"/>
      <color indexed="16"/>
      <name val="Times New Roman"/>
      <family val="1"/>
      <charset val="238"/>
    </font>
    <font>
      <b/>
      <sz val="22"/>
      <color indexed="8"/>
      <name val="Times New Roman"/>
      <family val="1"/>
      <charset val="238"/>
    </font>
    <font>
      <sz val="10"/>
      <name val="Lohit Hindi"/>
      <family val="2"/>
    </font>
    <font>
      <sz val="10"/>
      <name val="Tms Rmn PL"/>
      <family val="1"/>
    </font>
    <font>
      <sz val="12"/>
      <color theme="1"/>
      <name val="Calibri"/>
      <family val="2"/>
      <scheme val="minor"/>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8"/>
      <name val="Arial"/>
      <family val="2"/>
      <charset val="238"/>
    </font>
    <font>
      <sz val="10"/>
      <color indexed="39"/>
      <name val="Arial"/>
      <family val="2"/>
    </font>
    <font>
      <sz val="19"/>
      <color indexed="48"/>
      <name val="Arial"/>
      <family val="2"/>
      <charset val="238"/>
    </font>
    <font>
      <sz val="10"/>
      <color indexed="10"/>
      <name val="Arial"/>
      <family val="2"/>
    </font>
    <font>
      <sz val="10"/>
      <name val="Helv"/>
      <charset val="204"/>
    </font>
    <font>
      <b/>
      <sz val="8"/>
      <name val="Tms Rmn"/>
    </font>
    <font>
      <b/>
      <sz val="11"/>
      <color theme="1"/>
      <name val="Czcionka tekstu podstawowego"/>
      <family val="2"/>
      <charset val="238"/>
    </font>
    <font>
      <i/>
      <sz val="11"/>
      <color indexed="23"/>
      <name val="Czcionka tekstu podstawowego"/>
      <family val="2"/>
      <charset val="238"/>
    </font>
    <font>
      <i/>
      <sz val="11"/>
      <color rgb="FF7F7F7F"/>
      <name val="Czcionka tekstu podstawowego"/>
      <family val="2"/>
      <charset val="238"/>
    </font>
    <font>
      <sz val="11"/>
      <color rgb="FF7F7F7F"/>
      <name val="Czcionka tekstu podstawowego"/>
      <family val="2"/>
      <charset val="238"/>
    </font>
    <font>
      <sz val="11"/>
      <color indexed="11"/>
      <name val="Czcionka tekstu podstawowego"/>
      <family val="2"/>
      <charset val="238"/>
    </font>
    <font>
      <sz val="11"/>
      <color indexed="10"/>
      <name val="Czcionka tekstu podstawowego"/>
      <family val="2"/>
      <charset val="238"/>
    </font>
    <font>
      <sz val="11"/>
      <color rgb="FFFF0000"/>
      <name val="Czcionka tekstu podstawowego"/>
      <family val="2"/>
      <charset val="238"/>
    </font>
    <font>
      <b/>
      <sz val="18"/>
      <color indexed="62"/>
      <name val="Cambria"/>
      <family val="2"/>
      <charset val="238"/>
    </font>
    <font>
      <b/>
      <sz val="18"/>
      <color indexed="56"/>
      <name val="Cambria"/>
      <family val="2"/>
      <charset val="238"/>
    </font>
    <font>
      <sz val="11"/>
      <color theme="3"/>
      <name val="Cambria"/>
      <family val="2"/>
      <charset val="238"/>
      <scheme val="major"/>
    </font>
    <font>
      <sz val="18"/>
      <color theme="3"/>
      <name val="Cambria"/>
      <family val="2"/>
      <charset val="238"/>
      <scheme val="major"/>
    </font>
    <font>
      <b/>
      <sz val="9"/>
      <color indexed="12"/>
      <name val="Arial"/>
      <family val="2"/>
      <charset val="238"/>
    </font>
    <font>
      <sz val="11"/>
      <color indexed="20"/>
      <name val="Czcionka tekstu podstawowego"/>
      <family val="2"/>
      <charset val="238"/>
    </font>
    <font>
      <sz val="11"/>
      <color rgb="FF9C0006"/>
      <name val="Czcionka tekstu podstawowego"/>
      <family val="2"/>
      <charset val="238"/>
    </font>
    <font>
      <sz val="10"/>
      <color rgb="FF000000"/>
      <name val="Arial Narrow"/>
      <family val="2"/>
      <charset val="238"/>
    </font>
    <font>
      <b/>
      <sz val="11"/>
      <name val="Calibri"/>
      <family val="2"/>
      <charset val="238"/>
    </font>
  </fonts>
  <fills count="93">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7A833"/>
        <bgColor indexed="64"/>
      </patternFill>
    </fill>
    <fill>
      <patternFill patternType="mediumGray">
        <fgColor theme="0" tint="-4.9989318521683403E-2"/>
        <bgColor rgb="FFF7A833"/>
      </patternFill>
    </fill>
    <fill>
      <patternFill patternType="mediumGray">
        <fgColor rgb="FFF7A833"/>
      </patternFill>
    </fill>
    <fill>
      <patternFill patternType="mediumGray">
        <fgColor rgb="FFF7A833"/>
        <bgColor theme="0" tint="-4.9989318521683403E-2"/>
      </patternFill>
    </fill>
    <fill>
      <patternFill patternType="mediumGray">
        <fgColor theme="0" tint="-0.14996795556505021"/>
        <bgColor rgb="FFF7A833"/>
      </patternFill>
    </fill>
    <fill>
      <patternFill patternType="mediumGray">
        <fgColor theme="0" tint="-0.14996795556505021"/>
        <bgColor theme="0" tint="-4.9989318521683403E-2"/>
      </patternFill>
    </fill>
    <fill>
      <patternFill patternType="mediumGray">
        <fgColor theme="0" tint="-0.14996795556505021"/>
        <bgColor indexed="65"/>
      </patternFill>
    </fill>
    <fill>
      <patternFill patternType="mediumGray">
        <fgColor theme="0" tint="-4.9989318521683403E-2"/>
        <bgColor rgb="FFFFC000"/>
      </patternFill>
    </fill>
    <fill>
      <patternFill patternType="mediumGray">
        <fgColor rgb="FFF7A833"/>
        <bgColor theme="0"/>
      </patternFill>
    </fill>
    <fill>
      <patternFill patternType="lightGray">
        <fgColor theme="0" tint="-0.14996795556505021"/>
        <bgColor rgb="FFF7A833"/>
      </patternFill>
    </fill>
    <fill>
      <patternFill patternType="lightGray">
        <fgColor theme="0" tint="-0.14996795556505021"/>
        <bgColor theme="0"/>
      </patternFill>
    </fill>
    <fill>
      <patternFill patternType="lightGray">
        <fgColor theme="0" tint="-4.9989318521683403E-2"/>
        <bgColor rgb="FFF7A833"/>
      </patternFill>
    </fill>
    <fill>
      <patternFill patternType="mediumGray">
        <fgColor theme="0" tint="-0.24994659260841701"/>
        <bgColor rgb="FFFFC000"/>
      </patternFill>
    </fill>
    <fill>
      <patternFill patternType="solid">
        <fgColor theme="0"/>
        <bgColor theme="0"/>
      </patternFill>
    </fill>
    <fill>
      <patternFill patternType="mediumGray">
        <fgColor theme="0" tint="-0.24994659260841701"/>
        <bgColor theme="0"/>
      </patternFill>
    </fill>
    <fill>
      <patternFill patternType="mediumGray">
        <fgColor theme="0" tint="-0.24994659260841701"/>
        <bgColor theme="0" tint="-4.9989318521683403E-2"/>
      </patternFill>
    </fill>
    <fill>
      <patternFill patternType="solid">
        <fgColor theme="0" tint="-4.9989318521683403E-2"/>
        <bgColor theme="0"/>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8"/>
      </patternFill>
    </fill>
    <fill>
      <patternFill patternType="solid">
        <fgColor indexed="47"/>
      </patternFill>
    </fill>
    <fill>
      <patternFill patternType="solid">
        <fgColor indexed="26"/>
      </patternFill>
    </fill>
    <fill>
      <patternFill patternType="solid">
        <fgColor indexed="10"/>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9"/>
        <bgColor indexed="64"/>
      </patternFill>
    </fill>
    <fill>
      <patternFill patternType="solid">
        <fgColor indexed="62"/>
      </patternFill>
    </fill>
    <fill>
      <patternFill patternType="solid">
        <fgColor indexed="57"/>
      </patternFill>
    </fill>
    <fill>
      <patternFill patternType="solid">
        <fgColor indexed="54"/>
      </patternFill>
    </fill>
    <fill>
      <patternFill patternType="solid">
        <fgColor indexed="53"/>
      </patternFill>
    </fill>
    <fill>
      <patternFill patternType="solid">
        <fgColor indexed="22"/>
      </patternFill>
    </fill>
    <fill>
      <patternFill patternType="mediumGray">
        <fgColor indexed="22"/>
      </patternFill>
    </fill>
    <fill>
      <patternFill patternType="solid">
        <fgColor indexed="22"/>
        <bgColor indexed="64"/>
      </patternFill>
    </fill>
    <fill>
      <patternFill patternType="solid">
        <fgColor indexed="26"/>
        <bgColor indexed="64"/>
      </patternFill>
    </fill>
    <fill>
      <patternFill patternType="solid">
        <fgColor indexed="55"/>
      </patternFill>
    </fill>
    <fill>
      <patternFill patternType="gray0625">
        <fgColor indexed="22"/>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solid">
        <fgColor indexed="15"/>
      </patternFill>
    </fill>
  </fills>
  <borders count="69">
    <border>
      <left/>
      <right/>
      <top/>
      <bottom/>
      <diagonal/>
    </border>
    <border>
      <left/>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medium">
        <color auto="1"/>
      </top>
      <bottom/>
      <diagonal/>
    </border>
    <border>
      <left/>
      <right style="medium">
        <color indexed="64"/>
      </right>
      <top style="medium">
        <color auto="1"/>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top style="dotted">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10"/>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top/>
      <bottom/>
      <diagonal/>
    </border>
    <border>
      <left/>
      <right/>
      <top style="thin">
        <color indexed="49"/>
      </top>
      <bottom style="double">
        <color indexed="49"/>
      </bottom>
      <diagonal/>
    </border>
    <border>
      <left/>
      <right/>
      <top style="thin">
        <color indexed="62"/>
      </top>
      <bottom style="double">
        <color indexed="62"/>
      </bottom>
      <diagonal/>
    </border>
    <border>
      <left style="thin">
        <color indexed="10"/>
      </left>
      <right style="thin">
        <color indexed="10"/>
      </right>
      <top style="thin">
        <color indexed="10"/>
      </top>
      <bottom style="thin">
        <color indexed="10"/>
      </bottom>
      <diagonal/>
    </border>
    <border>
      <left style="thin">
        <color indexed="22"/>
      </left>
      <right style="thin">
        <color indexed="22"/>
      </right>
      <top style="thin">
        <color indexed="22"/>
      </top>
      <bottom style="thin">
        <color indexed="22"/>
      </bottom>
      <diagonal/>
    </border>
    <border>
      <left/>
      <right/>
      <top style="medium">
        <color indexed="64"/>
      </top>
      <bottom/>
      <diagonal/>
    </border>
  </borders>
  <cellStyleXfs count="42851">
    <xf numFmtId="0" fontId="0" fillId="0" borderId="0"/>
    <xf numFmtId="165" fontId="15" fillId="0" borderId="0" applyFont="0" applyFill="0" applyBorder="0" applyAlignment="0" applyProtection="0"/>
    <xf numFmtId="9" fontId="13" fillId="0" borderId="0" applyFont="0" applyFill="0" applyBorder="0" applyAlignment="0" applyProtection="0"/>
    <xf numFmtId="177" fontId="20" fillId="0" borderId="0"/>
    <xf numFmtId="177" fontId="20" fillId="0" borderId="0"/>
    <xf numFmtId="177" fontId="20" fillId="0" borderId="0"/>
    <xf numFmtId="9" fontId="20" fillId="0" borderId="0" applyFont="0" applyFill="0" applyBorder="0" applyAlignment="0" applyProtection="0"/>
    <xf numFmtId="9" fontId="20" fillId="0" borderId="0" applyFont="0" applyFill="0" applyBorder="0" applyAlignment="0" applyProtection="0"/>
    <xf numFmtId="165" fontId="13" fillId="0" borderId="0" applyFont="0" applyFill="0" applyBorder="0" applyAlignment="0" applyProtection="0"/>
    <xf numFmtId="0" fontId="92" fillId="0" borderId="0"/>
    <xf numFmtId="43" fontId="92" fillId="0" borderId="0" applyFont="0" applyFill="0" applyBorder="0" applyAlignment="0" applyProtection="0"/>
    <xf numFmtId="190" fontId="20" fillId="0" borderId="0"/>
    <xf numFmtId="0" fontId="93" fillId="0" borderId="0"/>
    <xf numFmtId="0" fontId="93" fillId="0" borderId="0"/>
    <xf numFmtId="0" fontId="93" fillId="0" borderId="0"/>
    <xf numFmtId="190" fontId="20" fillId="0" borderId="0"/>
    <xf numFmtId="0" fontId="2" fillId="0" borderId="0"/>
    <xf numFmtId="43" fontId="2" fillId="0" borderId="0" applyFont="0" applyFill="0" applyBorder="0" applyAlignment="0" applyProtection="0"/>
    <xf numFmtId="0" fontId="95" fillId="0" borderId="0"/>
    <xf numFmtId="0" fontId="2" fillId="0" borderId="0"/>
    <xf numFmtId="0" fontId="20" fillId="0" borderId="0"/>
    <xf numFmtId="0" fontId="96" fillId="0" borderId="0"/>
    <xf numFmtId="0" fontId="97" fillId="0" borderId="0"/>
    <xf numFmtId="167" fontId="98" fillId="0" borderId="0"/>
    <xf numFmtId="192" fontId="99" fillId="0" borderId="0" applyFont="0" applyFill="0" applyBorder="0" applyAlignment="0" applyProtection="0"/>
    <xf numFmtId="0" fontId="100" fillId="0" borderId="0">
      <alignment vertical="center"/>
    </xf>
    <xf numFmtId="1" fontId="98" fillId="0" borderId="0"/>
    <xf numFmtId="166" fontId="101" fillId="0" borderId="0"/>
    <xf numFmtId="2" fontId="98" fillId="0" borderId="0"/>
    <xf numFmtId="1" fontId="101" fillId="0" borderId="0"/>
    <xf numFmtId="1" fontId="102" fillId="0" borderId="0"/>
    <xf numFmtId="1" fontId="102" fillId="0" borderId="0"/>
    <xf numFmtId="1" fontId="102" fillId="0" borderId="0"/>
    <xf numFmtId="1" fontId="102" fillId="0" borderId="0"/>
    <xf numFmtId="193" fontId="103" fillId="0" borderId="0" applyFont="0" applyFill="0" applyBorder="0" applyAlignment="0" applyProtection="0"/>
    <xf numFmtId="38" fontId="104" fillId="0" borderId="0" applyFont="0" applyFill="0" applyBorder="0" applyAlignment="0" applyProtection="0"/>
    <xf numFmtId="0" fontId="105" fillId="53" borderId="0" applyNumberFormat="0" applyBorder="0" applyAlignment="0" applyProtection="0"/>
    <xf numFmtId="0" fontId="105" fillId="54" borderId="0" applyNumberFormat="0" applyBorder="0" applyAlignment="0" applyProtection="0"/>
    <xf numFmtId="0" fontId="105" fillId="55" borderId="0" applyNumberFormat="0" applyBorder="0" applyAlignment="0" applyProtection="0"/>
    <xf numFmtId="0" fontId="105" fillId="56" borderId="0" applyNumberFormat="0" applyBorder="0" applyAlignment="0" applyProtection="0"/>
    <xf numFmtId="0" fontId="105" fillId="57" borderId="0" applyNumberFormat="0" applyBorder="0" applyAlignment="0" applyProtection="0"/>
    <xf numFmtId="0" fontId="20"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0"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0"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190" fontId="106" fillId="58" borderId="0" applyNumberFormat="0" applyBorder="0" applyAlignment="0" applyProtection="0"/>
    <xf numFmtId="0" fontId="20" fillId="30"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06" fillId="58" borderId="0" applyNumberFormat="0" applyBorder="0" applyAlignment="0" applyProtection="0"/>
    <xf numFmtId="0" fontId="13" fillId="53" borderId="0" applyNumberFormat="0" applyBorder="0" applyAlignment="0" applyProtection="0"/>
    <xf numFmtId="0" fontId="20" fillId="30"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06" fillId="58" borderId="0" applyNumberFormat="0" applyBorder="0" applyAlignment="0" applyProtection="0"/>
    <xf numFmtId="0" fontId="13" fillId="53" borderId="0" applyNumberFormat="0" applyBorder="0" applyAlignment="0" applyProtection="0"/>
    <xf numFmtId="0" fontId="106" fillId="58" borderId="0" applyNumberFormat="0" applyBorder="0" applyAlignment="0" applyProtection="0"/>
    <xf numFmtId="0" fontId="13" fillId="53" borderId="0" applyNumberFormat="0" applyBorder="0" applyAlignment="0" applyProtection="0"/>
    <xf numFmtId="0" fontId="106" fillId="58" borderId="0" applyNumberFormat="0" applyBorder="0" applyAlignment="0" applyProtection="0"/>
    <xf numFmtId="0" fontId="13" fillId="53" borderId="0" applyNumberFormat="0" applyBorder="0" applyAlignment="0" applyProtection="0"/>
    <xf numFmtId="0" fontId="106" fillId="58" borderId="0" applyNumberFormat="0" applyBorder="0" applyAlignment="0" applyProtection="0"/>
    <xf numFmtId="0" fontId="106" fillId="58" borderId="0" applyNumberFormat="0" applyBorder="0" applyAlignment="0" applyProtection="0"/>
    <xf numFmtId="0" fontId="106" fillId="58" borderId="0" applyNumberFormat="0" applyBorder="0" applyAlignment="0" applyProtection="0"/>
    <xf numFmtId="0" fontId="106" fillId="58" borderId="0" applyNumberFormat="0" applyBorder="0" applyAlignment="0" applyProtection="0"/>
    <xf numFmtId="0" fontId="106" fillId="58" borderId="0" applyNumberFormat="0" applyBorder="0" applyAlignment="0" applyProtection="0"/>
    <xf numFmtId="0" fontId="106" fillId="58" borderId="0" applyNumberFormat="0" applyBorder="0" applyAlignment="0" applyProtection="0"/>
    <xf numFmtId="0" fontId="106" fillId="58" borderId="0" applyNumberFormat="0" applyBorder="0" applyAlignment="0" applyProtection="0"/>
    <xf numFmtId="0" fontId="20" fillId="30"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06" fillId="58"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190" fontId="106" fillId="58" borderId="0" applyNumberFormat="0" applyBorder="0" applyAlignment="0" applyProtection="0"/>
    <xf numFmtId="0" fontId="20" fillId="30" borderId="0" applyNumberFormat="0" applyBorder="0" applyAlignment="0" applyProtection="0"/>
    <xf numFmtId="0" fontId="106" fillId="58" borderId="0" applyNumberFormat="0" applyBorder="0" applyAlignment="0" applyProtection="0"/>
    <xf numFmtId="0" fontId="20" fillId="30" borderId="0" applyNumberFormat="0" applyBorder="0" applyAlignment="0" applyProtection="0"/>
    <xf numFmtId="0" fontId="106" fillId="58" borderId="0" applyNumberFormat="0" applyBorder="0" applyAlignment="0" applyProtection="0"/>
    <xf numFmtId="0" fontId="20" fillId="30" borderId="0" applyNumberFormat="0" applyBorder="0" applyAlignment="0" applyProtection="0"/>
    <xf numFmtId="0" fontId="106" fillId="58" borderId="0" applyNumberFormat="0" applyBorder="0" applyAlignment="0" applyProtection="0"/>
    <xf numFmtId="0" fontId="106" fillId="58" borderId="0" applyNumberFormat="0" applyBorder="0" applyAlignment="0" applyProtection="0"/>
    <xf numFmtId="0" fontId="106" fillId="58" borderId="0" applyNumberFormat="0" applyBorder="0" applyAlignment="0" applyProtection="0"/>
    <xf numFmtId="0" fontId="20" fillId="30" borderId="0" applyNumberFormat="0" applyBorder="0" applyAlignment="0" applyProtection="0"/>
    <xf numFmtId="0" fontId="106" fillId="58"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190" fontId="106" fillId="58" borderId="0" applyNumberFormat="0" applyBorder="0" applyAlignment="0" applyProtection="0"/>
    <xf numFmtId="0" fontId="20" fillId="30" borderId="0" applyNumberFormat="0" applyBorder="0" applyAlignment="0" applyProtection="0"/>
    <xf numFmtId="0" fontId="106" fillId="58" borderId="0" applyNumberFormat="0" applyBorder="0" applyAlignment="0" applyProtection="0"/>
    <xf numFmtId="0" fontId="20" fillId="30" borderId="0" applyNumberFormat="0" applyBorder="0" applyAlignment="0" applyProtection="0"/>
    <xf numFmtId="0" fontId="106" fillId="58" borderId="0" applyNumberFormat="0" applyBorder="0" applyAlignment="0" applyProtection="0"/>
    <xf numFmtId="0" fontId="20" fillId="30" borderId="0" applyNumberFormat="0" applyBorder="0" applyAlignment="0" applyProtection="0"/>
    <xf numFmtId="0" fontId="106" fillId="58" borderId="0" applyNumberFormat="0" applyBorder="0" applyAlignment="0" applyProtection="0"/>
    <xf numFmtId="0" fontId="106" fillId="58" borderId="0" applyNumberFormat="0" applyBorder="0" applyAlignment="0" applyProtection="0"/>
    <xf numFmtId="0" fontId="106" fillId="58" borderId="0" applyNumberFormat="0" applyBorder="0" applyAlignment="0" applyProtection="0"/>
    <xf numFmtId="0" fontId="20" fillId="30" borderId="0" applyNumberFormat="0" applyBorder="0" applyAlignment="0" applyProtection="0"/>
    <xf numFmtId="0" fontId="106" fillId="58"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0"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0"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0"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0"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0"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0"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0"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190" fontId="106" fillId="59"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20" fillId="3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06" fillId="59" borderId="0" applyNumberFormat="0" applyBorder="0" applyAlignment="0" applyProtection="0"/>
    <xf numFmtId="0" fontId="13" fillId="54" borderId="0" applyNumberFormat="0" applyBorder="0" applyAlignment="0" applyProtection="0"/>
    <xf numFmtId="0" fontId="20" fillId="3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06" fillId="59" borderId="0" applyNumberFormat="0" applyBorder="0" applyAlignment="0" applyProtection="0"/>
    <xf numFmtId="0" fontId="13" fillId="54" borderId="0" applyNumberFormat="0" applyBorder="0" applyAlignment="0" applyProtection="0"/>
    <xf numFmtId="0" fontId="106" fillId="59" borderId="0" applyNumberFormat="0" applyBorder="0" applyAlignment="0" applyProtection="0"/>
    <xf numFmtId="0" fontId="13" fillId="54" borderId="0" applyNumberFormat="0" applyBorder="0" applyAlignment="0" applyProtection="0"/>
    <xf numFmtId="0" fontId="106" fillId="59" borderId="0" applyNumberFormat="0" applyBorder="0" applyAlignment="0" applyProtection="0"/>
    <xf numFmtId="0" fontId="13" fillId="54" borderId="0" applyNumberFormat="0" applyBorder="0" applyAlignment="0" applyProtection="0"/>
    <xf numFmtId="0" fontId="106" fillId="59" borderId="0" applyNumberFormat="0" applyBorder="0" applyAlignment="0" applyProtection="0"/>
    <xf numFmtId="0" fontId="106" fillId="59" borderId="0" applyNumberFormat="0" applyBorder="0" applyAlignment="0" applyProtection="0"/>
    <xf numFmtId="0" fontId="106" fillId="59" borderId="0" applyNumberFormat="0" applyBorder="0" applyAlignment="0" applyProtection="0"/>
    <xf numFmtId="0" fontId="106" fillId="59" borderId="0" applyNumberFormat="0" applyBorder="0" applyAlignment="0" applyProtection="0"/>
    <xf numFmtId="0" fontId="106" fillId="59" borderId="0" applyNumberFormat="0" applyBorder="0" applyAlignment="0" applyProtection="0"/>
    <xf numFmtId="0" fontId="106" fillId="59" borderId="0" applyNumberFormat="0" applyBorder="0" applyAlignment="0" applyProtection="0"/>
    <xf numFmtId="0" fontId="106" fillId="59" borderId="0" applyNumberFormat="0" applyBorder="0" applyAlignment="0" applyProtection="0"/>
    <xf numFmtId="0" fontId="20" fillId="3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06" fillId="59" borderId="0" applyNumberFormat="0" applyBorder="0" applyAlignment="0" applyProtection="0"/>
    <xf numFmtId="0" fontId="106" fillId="59" borderId="0" applyNumberFormat="0" applyBorder="0" applyAlignment="0" applyProtection="0"/>
    <xf numFmtId="0" fontId="106" fillId="59" borderId="0" applyNumberFormat="0" applyBorder="0" applyAlignment="0" applyProtection="0"/>
    <xf numFmtId="0" fontId="106" fillId="59" borderId="0" applyNumberFormat="0" applyBorder="0" applyAlignment="0" applyProtection="0"/>
    <xf numFmtId="0" fontId="106" fillId="59" borderId="0" applyNumberFormat="0" applyBorder="0" applyAlignment="0" applyProtection="0"/>
    <xf numFmtId="0" fontId="106" fillId="59" borderId="0" applyNumberFormat="0" applyBorder="0" applyAlignment="0" applyProtection="0"/>
    <xf numFmtId="0" fontId="106" fillId="59" borderId="0" applyNumberFormat="0" applyBorder="0" applyAlignment="0" applyProtection="0"/>
    <xf numFmtId="0" fontId="106" fillId="59" borderId="0" applyNumberFormat="0" applyBorder="0" applyAlignment="0" applyProtection="0"/>
    <xf numFmtId="0" fontId="106" fillId="59"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190" fontId="106" fillId="59" borderId="0" applyNumberFormat="0" applyBorder="0" applyAlignment="0" applyProtection="0"/>
    <xf numFmtId="0" fontId="20" fillId="34" borderId="0" applyNumberFormat="0" applyBorder="0" applyAlignment="0" applyProtection="0"/>
    <xf numFmtId="0" fontId="106" fillId="59" borderId="0" applyNumberFormat="0" applyBorder="0" applyAlignment="0" applyProtection="0"/>
    <xf numFmtId="0" fontId="20" fillId="34" borderId="0" applyNumberFormat="0" applyBorder="0" applyAlignment="0" applyProtection="0"/>
    <xf numFmtId="0" fontId="106" fillId="59" borderId="0" applyNumberFormat="0" applyBorder="0" applyAlignment="0" applyProtection="0"/>
    <xf numFmtId="0" fontId="20" fillId="34" borderId="0" applyNumberFormat="0" applyBorder="0" applyAlignment="0" applyProtection="0"/>
    <xf numFmtId="0" fontId="106" fillId="59" borderId="0" applyNumberFormat="0" applyBorder="0" applyAlignment="0" applyProtection="0"/>
    <xf numFmtId="0" fontId="106" fillId="59" borderId="0" applyNumberFormat="0" applyBorder="0" applyAlignment="0" applyProtection="0"/>
    <xf numFmtId="0" fontId="106" fillId="59" borderId="0" applyNumberFormat="0" applyBorder="0" applyAlignment="0" applyProtection="0"/>
    <xf numFmtId="0" fontId="20" fillId="34" borderId="0" applyNumberFormat="0" applyBorder="0" applyAlignment="0" applyProtection="0"/>
    <xf numFmtId="0" fontId="106" fillId="59"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190" fontId="106" fillId="59" borderId="0" applyNumberFormat="0" applyBorder="0" applyAlignment="0" applyProtection="0"/>
    <xf numFmtId="0" fontId="20" fillId="34" borderId="0" applyNumberFormat="0" applyBorder="0" applyAlignment="0" applyProtection="0"/>
    <xf numFmtId="0" fontId="106" fillId="59" borderId="0" applyNumberFormat="0" applyBorder="0" applyAlignment="0" applyProtection="0"/>
    <xf numFmtId="0" fontId="20" fillId="34" borderId="0" applyNumberFormat="0" applyBorder="0" applyAlignment="0" applyProtection="0"/>
    <xf numFmtId="0" fontId="106" fillId="59" borderId="0" applyNumberFormat="0" applyBorder="0" applyAlignment="0" applyProtection="0"/>
    <xf numFmtId="0" fontId="20" fillId="34" borderId="0" applyNumberFormat="0" applyBorder="0" applyAlignment="0" applyProtection="0"/>
    <xf numFmtId="0" fontId="106" fillId="59" borderId="0" applyNumberFormat="0" applyBorder="0" applyAlignment="0" applyProtection="0"/>
    <xf numFmtId="0" fontId="106" fillId="59" borderId="0" applyNumberFormat="0" applyBorder="0" applyAlignment="0" applyProtection="0"/>
    <xf numFmtId="0" fontId="106" fillId="59" borderId="0" applyNumberFormat="0" applyBorder="0" applyAlignment="0" applyProtection="0"/>
    <xf numFmtId="0" fontId="20" fillId="34" borderId="0" applyNumberFormat="0" applyBorder="0" applyAlignment="0" applyProtection="0"/>
    <xf numFmtId="0" fontId="106" fillId="59"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0"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0"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0"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0"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0"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0"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0"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90" fontId="106" fillId="60"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20" fillId="38"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06" fillId="60" borderId="0" applyNumberFormat="0" applyBorder="0" applyAlignment="0" applyProtection="0"/>
    <xf numFmtId="0" fontId="13" fillId="55" borderId="0" applyNumberFormat="0" applyBorder="0" applyAlignment="0" applyProtection="0"/>
    <xf numFmtId="0" fontId="20" fillId="38"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06" fillId="60" borderId="0" applyNumberFormat="0" applyBorder="0" applyAlignment="0" applyProtection="0"/>
    <xf numFmtId="0" fontId="13" fillId="55" borderId="0" applyNumberFormat="0" applyBorder="0" applyAlignment="0" applyProtection="0"/>
    <xf numFmtId="0" fontId="106" fillId="60" borderId="0" applyNumberFormat="0" applyBorder="0" applyAlignment="0" applyProtection="0"/>
    <xf numFmtId="0" fontId="13" fillId="55" borderId="0" applyNumberFormat="0" applyBorder="0" applyAlignment="0" applyProtection="0"/>
    <xf numFmtId="0" fontId="106" fillId="60" borderId="0" applyNumberFormat="0" applyBorder="0" applyAlignment="0" applyProtection="0"/>
    <xf numFmtId="0" fontId="13" fillId="55" borderId="0" applyNumberFormat="0" applyBorder="0" applyAlignment="0" applyProtection="0"/>
    <xf numFmtId="0" fontId="106" fillId="60" borderId="0" applyNumberFormat="0" applyBorder="0" applyAlignment="0" applyProtection="0"/>
    <xf numFmtId="0" fontId="106" fillId="60" borderId="0" applyNumberFormat="0" applyBorder="0" applyAlignment="0" applyProtection="0"/>
    <xf numFmtId="0" fontId="106" fillId="60" borderId="0" applyNumberFormat="0" applyBorder="0" applyAlignment="0" applyProtection="0"/>
    <xf numFmtId="0" fontId="106" fillId="60" borderId="0" applyNumberFormat="0" applyBorder="0" applyAlignment="0" applyProtection="0"/>
    <xf numFmtId="0" fontId="106" fillId="60" borderId="0" applyNumberFormat="0" applyBorder="0" applyAlignment="0" applyProtection="0"/>
    <xf numFmtId="0" fontId="106" fillId="60" borderId="0" applyNumberFormat="0" applyBorder="0" applyAlignment="0" applyProtection="0"/>
    <xf numFmtId="0" fontId="106" fillId="60" borderId="0" applyNumberFormat="0" applyBorder="0" applyAlignment="0" applyProtection="0"/>
    <xf numFmtId="0" fontId="20" fillId="38"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06" fillId="60" borderId="0" applyNumberFormat="0" applyBorder="0" applyAlignment="0" applyProtection="0"/>
    <xf numFmtId="0" fontId="106" fillId="60" borderId="0" applyNumberFormat="0" applyBorder="0" applyAlignment="0" applyProtection="0"/>
    <xf numFmtId="0" fontId="106" fillId="60" borderId="0" applyNumberFormat="0" applyBorder="0" applyAlignment="0" applyProtection="0"/>
    <xf numFmtId="0" fontId="106" fillId="60" borderId="0" applyNumberFormat="0" applyBorder="0" applyAlignment="0" applyProtection="0"/>
    <xf numFmtId="0" fontId="106" fillId="60" borderId="0" applyNumberFormat="0" applyBorder="0" applyAlignment="0" applyProtection="0"/>
    <xf numFmtId="0" fontId="106" fillId="60" borderId="0" applyNumberFormat="0" applyBorder="0" applyAlignment="0" applyProtection="0"/>
    <xf numFmtId="0" fontId="106" fillId="60" borderId="0" applyNumberFormat="0" applyBorder="0" applyAlignment="0" applyProtection="0"/>
    <xf numFmtId="0" fontId="106" fillId="60" borderId="0" applyNumberFormat="0" applyBorder="0" applyAlignment="0" applyProtection="0"/>
    <xf numFmtId="0" fontId="106" fillId="60"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90" fontId="106" fillId="60" borderId="0" applyNumberFormat="0" applyBorder="0" applyAlignment="0" applyProtection="0"/>
    <xf numFmtId="0" fontId="20" fillId="38" borderId="0" applyNumberFormat="0" applyBorder="0" applyAlignment="0" applyProtection="0"/>
    <xf numFmtId="0" fontId="106" fillId="60" borderId="0" applyNumberFormat="0" applyBorder="0" applyAlignment="0" applyProtection="0"/>
    <xf numFmtId="0" fontId="20" fillId="38" borderId="0" applyNumberFormat="0" applyBorder="0" applyAlignment="0" applyProtection="0"/>
    <xf numFmtId="0" fontId="106" fillId="60" borderId="0" applyNumberFormat="0" applyBorder="0" applyAlignment="0" applyProtection="0"/>
    <xf numFmtId="0" fontId="20" fillId="38" borderId="0" applyNumberFormat="0" applyBorder="0" applyAlignment="0" applyProtection="0"/>
    <xf numFmtId="0" fontId="106" fillId="60" borderId="0" applyNumberFormat="0" applyBorder="0" applyAlignment="0" applyProtection="0"/>
    <xf numFmtId="0" fontId="106" fillId="60" borderId="0" applyNumberFormat="0" applyBorder="0" applyAlignment="0" applyProtection="0"/>
    <xf numFmtId="0" fontId="106" fillId="60" borderId="0" applyNumberFormat="0" applyBorder="0" applyAlignment="0" applyProtection="0"/>
    <xf numFmtId="0" fontId="20" fillId="38" borderId="0" applyNumberFormat="0" applyBorder="0" applyAlignment="0" applyProtection="0"/>
    <xf numFmtId="0" fontId="106" fillId="60"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190" fontId="106" fillId="60" borderId="0" applyNumberFormat="0" applyBorder="0" applyAlignment="0" applyProtection="0"/>
    <xf numFmtId="0" fontId="20" fillId="38" borderId="0" applyNumberFormat="0" applyBorder="0" applyAlignment="0" applyProtection="0"/>
    <xf numFmtId="0" fontId="106" fillId="60" borderId="0" applyNumberFormat="0" applyBorder="0" applyAlignment="0" applyProtection="0"/>
    <xf numFmtId="0" fontId="20" fillId="38" borderId="0" applyNumberFormat="0" applyBorder="0" applyAlignment="0" applyProtection="0"/>
    <xf numFmtId="0" fontId="106" fillId="60" borderId="0" applyNumberFormat="0" applyBorder="0" applyAlignment="0" applyProtection="0"/>
    <xf numFmtId="0" fontId="20" fillId="38" borderId="0" applyNumberFormat="0" applyBorder="0" applyAlignment="0" applyProtection="0"/>
    <xf numFmtId="0" fontId="106" fillId="60" borderId="0" applyNumberFormat="0" applyBorder="0" applyAlignment="0" applyProtection="0"/>
    <xf numFmtId="0" fontId="106" fillId="60" borderId="0" applyNumberFormat="0" applyBorder="0" applyAlignment="0" applyProtection="0"/>
    <xf numFmtId="0" fontId="106" fillId="60" borderId="0" applyNumberFormat="0" applyBorder="0" applyAlignment="0" applyProtection="0"/>
    <xf numFmtId="0" fontId="20" fillId="38" borderId="0" applyNumberFormat="0" applyBorder="0" applyAlignment="0" applyProtection="0"/>
    <xf numFmtId="0" fontId="106" fillId="60"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0"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0"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0"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0"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0"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0"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0"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190" fontId="106" fillId="58"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20" fillId="42"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06" fillId="58" borderId="0" applyNumberFormat="0" applyBorder="0" applyAlignment="0" applyProtection="0"/>
    <xf numFmtId="0" fontId="13" fillId="56" borderId="0" applyNumberFormat="0" applyBorder="0" applyAlignment="0" applyProtection="0"/>
    <xf numFmtId="0" fontId="20" fillId="42"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06" fillId="58" borderId="0" applyNumberFormat="0" applyBorder="0" applyAlignment="0" applyProtection="0"/>
    <xf numFmtId="0" fontId="13" fillId="56" borderId="0" applyNumberFormat="0" applyBorder="0" applyAlignment="0" applyProtection="0"/>
    <xf numFmtId="0" fontId="106" fillId="58" borderId="0" applyNumberFormat="0" applyBorder="0" applyAlignment="0" applyProtection="0"/>
    <xf numFmtId="0" fontId="13" fillId="56" borderId="0" applyNumberFormat="0" applyBorder="0" applyAlignment="0" applyProtection="0"/>
    <xf numFmtId="0" fontId="106" fillId="58" borderId="0" applyNumberFormat="0" applyBorder="0" applyAlignment="0" applyProtection="0"/>
    <xf numFmtId="0" fontId="13" fillId="56" borderId="0" applyNumberFormat="0" applyBorder="0" applyAlignment="0" applyProtection="0"/>
    <xf numFmtId="0" fontId="106" fillId="58" borderId="0" applyNumberFormat="0" applyBorder="0" applyAlignment="0" applyProtection="0"/>
    <xf numFmtId="0" fontId="106" fillId="58" borderId="0" applyNumberFormat="0" applyBorder="0" applyAlignment="0" applyProtection="0"/>
    <xf numFmtId="0" fontId="106" fillId="58" borderId="0" applyNumberFormat="0" applyBorder="0" applyAlignment="0" applyProtection="0"/>
    <xf numFmtId="0" fontId="106" fillId="58" borderId="0" applyNumberFormat="0" applyBorder="0" applyAlignment="0" applyProtection="0"/>
    <xf numFmtId="0" fontId="106" fillId="58" borderId="0" applyNumberFormat="0" applyBorder="0" applyAlignment="0" applyProtection="0"/>
    <xf numFmtId="0" fontId="106" fillId="58" borderId="0" applyNumberFormat="0" applyBorder="0" applyAlignment="0" applyProtection="0"/>
    <xf numFmtId="0" fontId="106" fillId="58" borderId="0" applyNumberFormat="0" applyBorder="0" applyAlignment="0" applyProtection="0"/>
    <xf numFmtId="0" fontId="20" fillId="42"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06" fillId="58" borderId="0" applyNumberFormat="0" applyBorder="0" applyAlignment="0" applyProtection="0"/>
    <xf numFmtId="0" fontId="106" fillId="58" borderId="0" applyNumberFormat="0" applyBorder="0" applyAlignment="0" applyProtection="0"/>
    <xf numFmtId="0" fontId="106" fillId="58" borderId="0" applyNumberFormat="0" applyBorder="0" applyAlignment="0" applyProtection="0"/>
    <xf numFmtId="0" fontId="106" fillId="58" borderId="0" applyNumberFormat="0" applyBorder="0" applyAlignment="0" applyProtection="0"/>
    <xf numFmtId="0" fontId="106" fillId="58" borderId="0" applyNumberFormat="0" applyBorder="0" applyAlignment="0" applyProtection="0"/>
    <xf numFmtId="0" fontId="106" fillId="58" borderId="0" applyNumberFormat="0" applyBorder="0" applyAlignment="0" applyProtection="0"/>
    <xf numFmtId="0" fontId="106" fillId="58" borderId="0" applyNumberFormat="0" applyBorder="0" applyAlignment="0" applyProtection="0"/>
    <xf numFmtId="0" fontId="106" fillId="58" borderId="0" applyNumberFormat="0" applyBorder="0" applyAlignment="0" applyProtection="0"/>
    <xf numFmtId="0" fontId="106" fillId="58"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190" fontId="106" fillId="58" borderId="0" applyNumberFormat="0" applyBorder="0" applyAlignment="0" applyProtection="0"/>
    <xf numFmtId="0" fontId="20" fillId="42" borderId="0" applyNumberFormat="0" applyBorder="0" applyAlignment="0" applyProtection="0"/>
    <xf numFmtId="0" fontId="106" fillId="58" borderId="0" applyNumberFormat="0" applyBorder="0" applyAlignment="0" applyProtection="0"/>
    <xf numFmtId="0" fontId="20" fillId="42" borderId="0" applyNumberFormat="0" applyBorder="0" applyAlignment="0" applyProtection="0"/>
    <xf numFmtId="0" fontId="106" fillId="58" borderId="0" applyNumberFormat="0" applyBorder="0" applyAlignment="0" applyProtection="0"/>
    <xf numFmtId="0" fontId="20" fillId="42" borderId="0" applyNumberFormat="0" applyBorder="0" applyAlignment="0" applyProtection="0"/>
    <xf numFmtId="0" fontId="106" fillId="58" borderId="0" applyNumberFormat="0" applyBorder="0" applyAlignment="0" applyProtection="0"/>
    <xf numFmtId="0" fontId="106" fillId="58" borderId="0" applyNumberFormat="0" applyBorder="0" applyAlignment="0" applyProtection="0"/>
    <xf numFmtId="0" fontId="106" fillId="58" borderId="0" applyNumberFormat="0" applyBorder="0" applyAlignment="0" applyProtection="0"/>
    <xf numFmtId="0" fontId="20" fillId="42" borderId="0" applyNumberFormat="0" applyBorder="0" applyAlignment="0" applyProtection="0"/>
    <xf numFmtId="0" fontId="106" fillId="5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190" fontId="106" fillId="58" borderId="0" applyNumberFormat="0" applyBorder="0" applyAlignment="0" applyProtection="0"/>
    <xf numFmtId="0" fontId="20" fillId="42" borderId="0" applyNumberFormat="0" applyBorder="0" applyAlignment="0" applyProtection="0"/>
    <xf numFmtId="0" fontId="106" fillId="58" borderId="0" applyNumberFormat="0" applyBorder="0" applyAlignment="0" applyProtection="0"/>
    <xf numFmtId="0" fontId="20" fillId="42" borderId="0" applyNumberFormat="0" applyBorder="0" applyAlignment="0" applyProtection="0"/>
    <xf numFmtId="0" fontId="106" fillId="58" borderId="0" applyNumberFormat="0" applyBorder="0" applyAlignment="0" applyProtection="0"/>
    <xf numFmtId="0" fontId="20" fillId="42" borderId="0" applyNumberFormat="0" applyBorder="0" applyAlignment="0" applyProtection="0"/>
    <xf numFmtId="0" fontId="106" fillId="58" borderId="0" applyNumberFormat="0" applyBorder="0" applyAlignment="0" applyProtection="0"/>
    <xf numFmtId="0" fontId="106" fillId="58" borderId="0" applyNumberFormat="0" applyBorder="0" applyAlignment="0" applyProtection="0"/>
    <xf numFmtId="0" fontId="106" fillId="58" borderId="0" applyNumberFormat="0" applyBorder="0" applyAlignment="0" applyProtection="0"/>
    <xf numFmtId="0" fontId="20" fillId="42" borderId="0" applyNumberFormat="0" applyBorder="0" applyAlignment="0" applyProtection="0"/>
    <xf numFmtId="0" fontId="106" fillId="5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0"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0"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0"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0"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0"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0"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0"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190" fontId="106"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20" fillId="46"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06" fillId="57" borderId="0" applyNumberFormat="0" applyBorder="0" applyAlignment="0" applyProtection="0"/>
    <xf numFmtId="0" fontId="13" fillId="57" borderId="0" applyNumberFormat="0" applyBorder="0" applyAlignment="0" applyProtection="0"/>
    <xf numFmtId="0" fontId="20" fillId="46"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06" fillId="57" borderId="0" applyNumberFormat="0" applyBorder="0" applyAlignment="0" applyProtection="0"/>
    <xf numFmtId="0" fontId="13" fillId="57" borderId="0" applyNumberFormat="0" applyBorder="0" applyAlignment="0" applyProtection="0"/>
    <xf numFmtId="0" fontId="106" fillId="57" borderId="0" applyNumberFormat="0" applyBorder="0" applyAlignment="0" applyProtection="0"/>
    <xf numFmtId="0" fontId="13" fillId="57" borderId="0" applyNumberFormat="0" applyBorder="0" applyAlignment="0" applyProtection="0"/>
    <xf numFmtId="0" fontId="106" fillId="57" borderId="0" applyNumberFormat="0" applyBorder="0" applyAlignment="0" applyProtection="0"/>
    <xf numFmtId="0" fontId="13" fillId="57" borderId="0" applyNumberFormat="0" applyBorder="0" applyAlignment="0" applyProtection="0"/>
    <xf numFmtId="0" fontId="106" fillId="57" borderId="0" applyNumberFormat="0" applyBorder="0" applyAlignment="0" applyProtection="0"/>
    <xf numFmtId="0" fontId="106" fillId="57" borderId="0" applyNumberFormat="0" applyBorder="0" applyAlignment="0" applyProtection="0"/>
    <xf numFmtId="0" fontId="106" fillId="57" borderId="0" applyNumberFormat="0" applyBorder="0" applyAlignment="0" applyProtection="0"/>
    <xf numFmtId="0" fontId="106" fillId="57" borderId="0" applyNumberFormat="0" applyBorder="0" applyAlignment="0" applyProtection="0"/>
    <xf numFmtId="0" fontId="106" fillId="57" borderId="0" applyNumberFormat="0" applyBorder="0" applyAlignment="0" applyProtection="0"/>
    <xf numFmtId="0" fontId="106" fillId="57" borderId="0" applyNumberFormat="0" applyBorder="0" applyAlignment="0" applyProtection="0"/>
    <xf numFmtId="0" fontId="106" fillId="57" borderId="0" applyNumberFormat="0" applyBorder="0" applyAlignment="0" applyProtection="0"/>
    <xf numFmtId="0" fontId="20" fillId="46"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06" fillId="57" borderId="0" applyNumberFormat="0" applyBorder="0" applyAlignment="0" applyProtection="0"/>
    <xf numFmtId="0" fontId="106" fillId="57" borderId="0" applyNumberFormat="0" applyBorder="0" applyAlignment="0" applyProtection="0"/>
    <xf numFmtId="0" fontId="106" fillId="57" borderId="0" applyNumberFormat="0" applyBorder="0" applyAlignment="0" applyProtection="0"/>
    <xf numFmtId="0" fontId="106" fillId="57" borderId="0" applyNumberFormat="0" applyBorder="0" applyAlignment="0" applyProtection="0"/>
    <xf numFmtId="0" fontId="106" fillId="57" borderId="0" applyNumberFormat="0" applyBorder="0" applyAlignment="0" applyProtection="0"/>
    <xf numFmtId="0" fontId="106" fillId="57" borderId="0" applyNumberFormat="0" applyBorder="0" applyAlignment="0" applyProtection="0"/>
    <xf numFmtId="0" fontId="106" fillId="57" borderId="0" applyNumberFormat="0" applyBorder="0" applyAlignment="0" applyProtection="0"/>
    <xf numFmtId="0" fontId="106" fillId="57" borderId="0" applyNumberFormat="0" applyBorder="0" applyAlignment="0" applyProtection="0"/>
    <xf numFmtId="0" fontId="106"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190" fontId="106" fillId="57" borderId="0" applyNumberFormat="0" applyBorder="0" applyAlignment="0" applyProtection="0"/>
    <xf numFmtId="0" fontId="20" fillId="46" borderId="0" applyNumberFormat="0" applyBorder="0" applyAlignment="0" applyProtection="0"/>
    <xf numFmtId="0" fontId="106" fillId="57" borderId="0" applyNumberFormat="0" applyBorder="0" applyAlignment="0" applyProtection="0"/>
    <xf numFmtId="0" fontId="20" fillId="46" borderId="0" applyNumberFormat="0" applyBorder="0" applyAlignment="0" applyProtection="0"/>
    <xf numFmtId="0" fontId="106" fillId="57" borderId="0" applyNumberFormat="0" applyBorder="0" applyAlignment="0" applyProtection="0"/>
    <xf numFmtId="0" fontId="20" fillId="46" borderId="0" applyNumberFormat="0" applyBorder="0" applyAlignment="0" applyProtection="0"/>
    <xf numFmtId="0" fontId="106" fillId="57" borderId="0" applyNumberFormat="0" applyBorder="0" applyAlignment="0" applyProtection="0"/>
    <xf numFmtId="0" fontId="106" fillId="57" borderId="0" applyNumberFormat="0" applyBorder="0" applyAlignment="0" applyProtection="0"/>
    <xf numFmtId="0" fontId="106" fillId="57" borderId="0" applyNumberFormat="0" applyBorder="0" applyAlignment="0" applyProtection="0"/>
    <xf numFmtId="0" fontId="20" fillId="46" borderId="0" applyNumberFormat="0" applyBorder="0" applyAlignment="0" applyProtection="0"/>
    <xf numFmtId="0" fontId="106" fillId="57"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190" fontId="106" fillId="57" borderId="0" applyNumberFormat="0" applyBorder="0" applyAlignment="0" applyProtection="0"/>
    <xf numFmtId="0" fontId="20" fillId="46" borderId="0" applyNumberFormat="0" applyBorder="0" applyAlignment="0" applyProtection="0"/>
    <xf numFmtId="0" fontId="106" fillId="57" borderId="0" applyNumberFormat="0" applyBorder="0" applyAlignment="0" applyProtection="0"/>
    <xf numFmtId="0" fontId="20" fillId="46" borderId="0" applyNumberFormat="0" applyBorder="0" applyAlignment="0" applyProtection="0"/>
    <xf numFmtId="0" fontId="106" fillId="57" borderId="0" applyNumberFormat="0" applyBorder="0" applyAlignment="0" applyProtection="0"/>
    <xf numFmtId="0" fontId="20" fillId="46" borderId="0" applyNumberFormat="0" applyBorder="0" applyAlignment="0" applyProtection="0"/>
    <xf numFmtId="0" fontId="106" fillId="57" borderId="0" applyNumberFormat="0" applyBorder="0" applyAlignment="0" applyProtection="0"/>
    <xf numFmtId="0" fontId="106" fillId="57" borderId="0" applyNumberFormat="0" applyBorder="0" applyAlignment="0" applyProtection="0"/>
    <xf numFmtId="0" fontId="106" fillId="57" borderId="0" applyNumberFormat="0" applyBorder="0" applyAlignment="0" applyProtection="0"/>
    <xf numFmtId="0" fontId="20" fillId="46" borderId="0" applyNumberFormat="0" applyBorder="0" applyAlignment="0" applyProtection="0"/>
    <xf numFmtId="0" fontId="106" fillId="57"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0"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0"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0"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0"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0"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0"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0"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190" fontId="106"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20" fillId="50"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06" fillId="59" borderId="0" applyNumberFormat="0" applyBorder="0" applyAlignment="0" applyProtection="0"/>
    <xf numFmtId="0" fontId="13" fillId="59" borderId="0" applyNumberFormat="0" applyBorder="0" applyAlignment="0" applyProtection="0"/>
    <xf numFmtId="0" fontId="20" fillId="50"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06" fillId="59" borderId="0" applyNumberFormat="0" applyBorder="0" applyAlignment="0" applyProtection="0"/>
    <xf numFmtId="0" fontId="13" fillId="59" borderId="0" applyNumberFormat="0" applyBorder="0" applyAlignment="0" applyProtection="0"/>
    <xf numFmtId="0" fontId="106" fillId="59" borderId="0" applyNumberFormat="0" applyBorder="0" applyAlignment="0" applyProtection="0"/>
    <xf numFmtId="0" fontId="13" fillId="59" borderId="0" applyNumberFormat="0" applyBorder="0" applyAlignment="0" applyProtection="0"/>
    <xf numFmtId="0" fontId="106" fillId="59" borderId="0" applyNumberFormat="0" applyBorder="0" applyAlignment="0" applyProtection="0"/>
    <xf numFmtId="0" fontId="13" fillId="59" borderId="0" applyNumberFormat="0" applyBorder="0" applyAlignment="0" applyProtection="0"/>
    <xf numFmtId="0" fontId="106" fillId="59" borderId="0" applyNumberFormat="0" applyBorder="0" applyAlignment="0" applyProtection="0"/>
    <xf numFmtId="0" fontId="106" fillId="59" borderId="0" applyNumberFormat="0" applyBorder="0" applyAlignment="0" applyProtection="0"/>
    <xf numFmtId="0" fontId="106" fillId="59" borderId="0" applyNumberFormat="0" applyBorder="0" applyAlignment="0" applyProtection="0"/>
    <xf numFmtId="0" fontId="106" fillId="59" borderId="0" applyNumberFormat="0" applyBorder="0" applyAlignment="0" applyProtection="0"/>
    <xf numFmtId="0" fontId="106" fillId="59" borderId="0" applyNumberFormat="0" applyBorder="0" applyAlignment="0" applyProtection="0"/>
    <xf numFmtId="0" fontId="106" fillId="59" borderId="0" applyNumberFormat="0" applyBorder="0" applyAlignment="0" applyProtection="0"/>
    <xf numFmtId="0" fontId="106" fillId="59" borderId="0" applyNumberFormat="0" applyBorder="0" applyAlignment="0" applyProtection="0"/>
    <xf numFmtId="0" fontId="20" fillId="50"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06" fillId="59" borderId="0" applyNumberFormat="0" applyBorder="0" applyAlignment="0" applyProtection="0"/>
    <xf numFmtId="0" fontId="106" fillId="59" borderId="0" applyNumberFormat="0" applyBorder="0" applyAlignment="0" applyProtection="0"/>
    <xf numFmtId="0" fontId="106" fillId="59" borderId="0" applyNumberFormat="0" applyBorder="0" applyAlignment="0" applyProtection="0"/>
    <xf numFmtId="0" fontId="106" fillId="59" borderId="0" applyNumberFormat="0" applyBorder="0" applyAlignment="0" applyProtection="0"/>
    <xf numFmtId="0" fontId="106" fillId="59" borderId="0" applyNumberFormat="0" applyBorder="0" applyAlignment="0" applyProtection="0"/>
    <xf numFmtId="0" fontId="106" fillId="59" borderId="0" applyNumberFormat="0" applyBorder="0" applyAlignment="0" applyProtection="0"/>
    <xf numFmtId="0" fontId="106" fillId="59" borderId="0" applyNumberFormat="0" applyBorder="0" applyAlignment="0" applyProtection="0"/>
    <xf numFmtId="0" fontId="106" fillId="59" borderId="0" applyNumberFormat="0" applyBorder="0" applyAlignment="0" applyProtection="0"/>
    <xf numFmtId="0" fontId="106"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190" fontId="106" fillId="59" borderId="0" applyNumberFormat="0" applyBorder="0" applyAlignment="0" applyProtection="0"/>
    <xf numFmtId="0" fontId="20" fillId="50" borderId="0" applyNumberFormat="0" applyBorder="0" applyAlignment="0" applyProtection="0"/>
    <xf numFmtId="0" fontId="106" fillId="59" borderId="0" applyNumberFormat="0" applyBorder="0" applyAlignment="0" applyProtection="0"/>
    <xf numFmtId="0" fontId="20" fillId="50" borderId="0" applyNumberFormat="0" applyBorder="0" applyAlignment="0" applyProtection="0"/>
    <xf numFmtId="0" fontId="106" fillId="59" borderId="0" applyNumberFormat="0" applyBorder="0" applyAlignment="0" applyProtection="0"/>
    <xf numFmtId="0" fontId="20" fillId="50" borderId="0" applyNumberFormat="0" applyBorder="0" applyAlignment="0" applyProtection="0"/>
    <xf numFmtId="0" fontId="106" fillId="59" borderId="0" applyNumberFormat="0" applyBorder="0" applyAlignment="0" applyProtection="0"/>
    <xf numFmtId="0" fontId="106" fillId="59" borderId="0" applyNumberFormat="0" applyBorder="0" applyAlignment="0" applyProtection="0"/>
    <xf numFmtId="0" fontId="106" fillId="59" borderId="0" applyNumberFormat="0" applyBorder="0" applyAlignment="0" applyProtection="0"/>
    <xf numFmtId="0" fontId="20" fillId="50" borderId="0" applyNumberFormat="0" applyBorder="0" applyAlignment="0" applyProtection="0"/>
    <xf numFmtId="0" fontId="106" fillId="59"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190" fontId="106" fillId="59" borderId="0" applyNumberFormat="0" applyBorder="0" applyAlignment="0" applyProtection="0"/>
    <xf numFmtId="0" fontId="20" fillId="50" borderId="0" applyNumberFormat="0" applyBorder="0" applyAlignment="0" applyProtection="0"/>
    <xf numFmtId="0" fontId="106" fillId="59" borderId="0" applyNumberFormat="0" applyBorder="0" applyAlignment="0" applyProtection="0"/>
    <xf numFmtId="0" fontId="20" fillId="50" borderId="0" applyNumberFormat="0" applyBorder="0" applyAlignment="0" applyProtection="0"/>
    <xf numFmtId="0" fontId="106" fillId="59" borderId="0" applyNumberFormat="0" applyBorder="0" applyAlignment="0" applyProtection="0"/>
    <xf numFmtId="0" fontId="20" fillId="50" borderId="0" applyNumberFormat="0" applyBorder="0" applyAlignment="0" applyProtection="0"/>
    <xf numFmtId="0" fontId="106" fillId="59" borderId="0" applyNumberFormat="0" applyBorder="0" applyAlignment="0" applyProtection="0"/>
    <xf numFmtId="0" fontId="106" fillId="59" borderId="0" applyNumberFormat="0" applyBorder="0" applyAlignment="0" applyProtection="0"/>
    <xf numFmtId="0" fontId="106" fillId="59" borderId="0" applyNumberFormat="0" applyBorder="0" applyAlignment="0" applyProtection="0"/>
    <xf numFmtId="0" fontId="20" fillId="50" borderId="0" applyNumberFormat="0" applyBorder="0" applyAlignment="0" applyProtection="0"/>
    <xf numFmtId="0" fontId="106" fillId="59"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0"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0"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0"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0"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190" fontId="106" fillId="61"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20" fillId="31"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06" fillId="61" borderId="0" applyNumberFormat="0" applyBorder="0" applyAlignment="0" applyProtection="0"/>
    <xf numFmtId="0" fontId="13" fillId="62" borderId="0" applyNumberFormat="0" applyBorder="0" applyAlignment="0" applyProtection="0"/>
    <xf numFmtId="0" fontId="20" fillId="31"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06" fillId="61" borderId="0" applyNumberFormat="0" applyBorder="0" applyAlignment="0" applyProtection="0"/>
    <xf numFmtId="0" fontId="13" fillId="62" borderId="0" applyNumberFormat="0" applyBorder="0" applyAlignment="0" applyProtection="0"/>
    <xf numFmtId="0" fontId="106" fillId="61" borderId="0" applyNumberFormat="0" applyBorder="0" applyAlignment="0" applyProtection="0"/>
    <xf numFmtId="0" fontId="13" fillId="62" borderId="0" applyNumberFormat="0" applyBorder="0" applyAlignment="0" applyProtection="0"/>
    <xf numFmtId="0" fontId="106" fillId="61" borderId="0" applyNumberFormat="0" applyBorder="0" applyAlignment="0" applyProtection="0"/>
    <xf numFmtId="0" fontId="13" fillId="62"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20" fillId="31"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190" fontId="106" fillId="61" borderId="0" applyNumberFormat="0" applyBorder="0" applyAlignment="0" applyProtection="0"/>
    <xf numFmtId="0" fontId="20" fillId="31" borderId="0" applyNumberFormat="0" applyBorder="0" applyAlignment="0" applyProtection="0"/>
    <xf numFmtId="0" fontId="106" fillId="61" borderId="0" applyNumberFormat="0" applyBorder="0" applyAlignment="0" applyProtection="0"/>
    <xf numFmtId="0" fontId="20" fillId="31" borderId="0" applyNumberFormat="0" applyBorder="0" applyAlignment="0" applyProtection="0"/>
    <xf numFmtId="0" fontId="106" fillId="61" borderId="0" applyNumberFormat="0" applyBorder="0" applyAlignment="0" applyProtection="0"/>
    <xf numFmtId="0" fontId="20" fillId="3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20" fillId="31" borderId="0" applyNumberFormat="0" applyBorder="0" applyAlignment="0" applyProtection="0"/>
    <xf numFmtId="0" fontId="106" fillId="6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190" fontId="106" fillId="61" borderId="0" applyNumberFormat="0" applyBorder="0" applyAlignment="0" applyProtection="0"/>
    <xf numFmtId="0" fontId="20" fillId="31" borderId="0" applyNumberFormat="0" applyBorder="0" applyAlignment="0" applyProtection="0"/>
    <xf numFmtId="0" fontId="106" fillId="61" borderId="0" applyNumberFormat="0" applyBorder="0" applyAlignment="0" applyProtection="0"/>
    <xf numFmtId="0" fontId="20" fillId="31" borderId="0" applyNumberFormat="0" applyBorder="0" applyAlignment="0" applyProtection="0"/>
    <xf numFmtId="0" fontId="106" fillId="61" borderId="0" applyNumberFormat="0" applyBorder="0" applyAlignment="0" applyProtection="0"/>
    <xf numFmtId="0" fontId="20" fillId="3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20" fillId="31" borderId="0" applyNumberFormat="0" applyBorder="0" applyAlignment="0" applyProtection="0"/>
    <xf numFmtId="0" fontId="106" fillId="6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190" fontId="106"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20" fillId="35"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06" fillId="63" borderId="0" applyNumberFormat="0" applyBorder="0" applyAlignment="0" applyProtection="0"/>
    <xf numFmtId="0" fontId="13" fillId="63" borderId="0" applyNumberFormat="0" applyBorder="0" applyAlignment="0" applyProtection="0"/>
    <xf numFmtId="0" fontId="20" fillId="35"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06" fillId="63" borderId="0" applyNumberFormat="0" applyBorder="0" applyAlignment="0" applyProtection="0"/>
    <xf numFmtId="0" fontId="13" fillId="63" borderId="0" applyNumberFormat="0" applyBorder="0" applyAlignment="0" applyProtection="0"/>
    <xf numFmtId="0" fontId="106" fillId="63" borderId="0" applyNumberFormat="0" applyBorder="0" applyAlignment="0" applyProtection="0"/>
    <xf numFmtId="0" fontId="13" fillId="63" borderId="0" applyNumberFormat="0" applyBorder="0" applyAlignment="0" applyProtection="0"/>
    <xf numFmtId="0" fontId="106" fillId="63" borderId="0" applyNumberFormat="0" applyBorder="0" applyAlignment="0" applyProtection="0"/>
    <xf numFmtId="0" fontId="13"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20" fillId="35"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190" fontId="106" fillId="63" borderId="0" applyNumberFormat="0" applyBorder="0" applyAlignment="0" applyProtection="0"/>
    <xf numFmtId="0" fontId="20" fillId="35" borderId="0" applyNumberFormat="0" applyBorder="0" applyAlignment="0" applyProtection="0"/>
    <xf numFmtId="0" fontId="106" fillId="63" borderId="0" applyNumberFormat="0" applyBorder="0" applyAlignment="0" applyProtection="0"/>
    <xf numFmtId="0" fontId="20" fillId="35" borderId="0" applyNumberFormat="0" applyBorder="0" applyAlignment="0" applyProtection="0"/>
    <xf numFmtId="0" fontId="106" fillId="63" borderId="0" applyNumberFormat="0" applyBorder="0" applyAlignment="0" applyProtection="0"/>
    <xf numFmtId="0" fontId="20" fillId="35"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20" fillId="35" borderId="0" applyNumberFormat="0" applyBorder="0" applyAlignment="0" applyProtection="0"/>
    <xf numFmtId="0" fontId="106" fillId="6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190" fontId="106" fillId="63" borderId="0" applyNumberFormat="0" applyBorder="0" applyAlignment="0" applyProtection="0"/>
    <xf numFmtId="0" fontId="20" fillId="35" borderId="0" applyNumberFormat="0" applyBorder="0" applyAlignment="0" applyProtection="0"/>
    <xf numFmtId="0" fontId="106" fillId="63" borderId="0" applyNumberFormat="0" applyBorder="0" applyAlignment="0" applyProtection="0"/>
    <xf numFmtId="0" fontId="20" fillId="35" borderId="0" applyNumberFormat="0" applyBorder="0" applyAlignment="0" applyProtection="0"/>
    <xf numFmtId="0" fontId="106" fillId="63" borderId="0" applyNumberFormat="0" applyBorder="0" applyAlignment="0" applyProtection="0"/>
    <xf numFmtId="0" fontId="20" fillId="35"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20" fillId="35" borderId="0" applyNumberFormat="0" applyBorder="0" applyAlignment="0" applyProtection="0"/>
    <xf numFmtId="0" fontId="106" fillId="6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0"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0"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0"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190" fontId="106" fillId="64"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20" fillId="39"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06" fillId="64" borderId="0" applyNumberFormat="0" applyBorder="0" applyAlignment="0" applyProtection="0"/>
    <xf numFmtId="0" fontId="13" fillId="65" borderId="0" applyNumberFormat="0" applyBorder="0" applyAlignment="0" applyProtection="0"/>
    <xf numFmtId="0" fontId="20" fillId="39"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06" fillId="64" borderId="0" applyNumberFormat="0" applyBorder="0" applyAlignment="0" applyProtection="0"/>
    <xf numFmtId="0" fontId="13" fillId="65" borderId="0" applyNumberFormat="0" applyBorder="0" applyAlignment="0" applyProtection="0"/>
    <xf numFmtId="0" fontId="106" fillId="64" borderId="0" applyNumberFormat="0" applyBorder="0" applyAlignment="0" applyProtection="0"/>
    <xf numFmtId="0" fontId="13" fillId="65" borderId="0" applyNumberFormat="0" applyBorder="0" applyAlignment="0" applyProtection="0"/>
    <xf numFmtId="0" fontId="106" fillId="64" borderId="0" applyNumberFormat="0" applyBorder="0" applyAlignment="0" applyProtection="0"/>
    <xf numFmtId="0" fontId="13" fillId="65" borderId="0" applyNumberFormat="0" applyBorder="0" applyAlignment="0" applyProtection="0"/>
    <xf numFmtId="0" fontId="106" fillId="64" borderId="0" applyNumberFormat="0" applyBorder="0" applyAlignment="0" applyProtection="0"/>
    <xf numFmtId="0" fontId="106" fillId="64" borderId="0" applyNumberFormat="0" applyBorder="0" applyAlignment="0" applyProtection="0"/>
    <xf numFmtId="0" fontId="106" fillId="64" borderId="0" applyNumberFormat="0" applyBorder="0" applyAlignment="0" applyProtection="0"/>
    <xf numFmtId="0" fontId="106" fillId="64" borderId="0" applyNumberFormat="0" applyBorder="0" applyAlignment="0" applyProtection="0"/>
    <xf numFmtId="0" fontId="106" fillId="64" borderId="0" applyNumberFormat="0" applyBorder="0" applyAlignment="0" applyProtection="0"/>
    <xf numFmtId="0" fontId="106" fillId="64" borderId="0" applyNumberFormat="0" applyBorder="0" applyAlignment="0" applyProtection="0"/>
    <xf numFmtId="0" fontId="106" fillId="64" borderId="0" applyNumberFormat="0" applyBorder="0" applyAlignment="0" applyProtection="0"/>
    <xf numFmtId="0" fontId="20" fillId="39"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06" fillId="64" borderId="0" applyNumberFormat="0" applyBorder="0" applyAlignment="0" applyProtection="0"/>
    <xf numFmtId="0" fontId="106" fillId="64" borderId="0" applyNumberFormat="0" applyBorder="0" applyAlignment="0" applyProtection="0"/>
    <xf numFmtId="0" fontId="106" fillId="64" borderId="0" applyNumberFormat="0" applyBorder="0" applyAlignment="0" applyProtection="0"/>
    <xf numFmtId="0" fontId="106" fillId="64" borderId="0" applyNumberFormat="0" applyBorder="0" applyAlignment="0" applyProtection="0"/>
    <xf numFmtId="0" fontId="106" fillId="64" borderId="0" applyNumberFormat="0" applyBorder="0" applyAlignment="0" applyProtection="0"/>
    <xf numFmtId="0" fontId="106" fillId="64" borderId="0" applyNumberFormat="0" applyBorder="0" applyAlignment="0" applyProtection="0"/>
    <xf numFmtId="0" fontId="106" fillId="64" borderId="0" applyNumberFormat="0" applyBorder="0" applyAlignment="0" applyProtection="0"/>
    <xf numFmtId="0" fontId="106" fillId="64" borderId="0" applyNumberFormat="0" applyBorder="0" applyAlignment="0" applyProtection="0"/>
    <xf numFmtId="0" fontId="106" fillId="64"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190" fontId="106" fillId="64" borderId="0" applyNumberFormat="0" applyBorder="0" applyAlignment="0" applyProtection="0"/>
    <xf numFmtId="0" fontId="20" fillId="39" borderId="0" applyNumberFormat="0" applyBorder="0" applyAlignment="0" applyProtection="0"/>
    <xf numFmtId="0" fontId="106" fillId="64" borderId="0" applyNumberFormat="0" applyBorder="0" applyAlignment="0" applyProtection="0"/>
    <xf numFmtId="0" fontId="20" fillId="39" borderId="0" applyNumberFormat="0" applyBorder="0" applyAlignment="0" applyProtection="0"/>
    <xf numFmtId="0" fontId="106" fillId="64" borderId="0" applyNumberFormat="0" applyBorder="0" applyAlignment="0" applyProtection="0"/>
    <xf numFmtId="0" fontId="20" fillId="39" borderId="0" applyNumberFormat="0" applyBorder="0" applyAlignment="0" applyProtection="0"/>
    <xf numFmtId="0" fontId="106" fillId="64" borderId="0" applyNumberFormat="0" applyBorder="0" applyAlignment="0" applyProtection="0"/>
    <xf numFmtId="0" fontId="106" fillId="64" borderId="0" applyNumberFormat="0" applyBorder="0" applyAlignment="0" applyProtection="0"/>
    <xf numFmtId="0" fontId="106" fillId="64" borderId="0" applyNumberFormat="0" applyBorder="0" applyAlignment="0" applyProtection="0"/>
    <xf numFmtId="0" fontId="20" fillId="39" borderId="0" applyNumberFormat="0" applyBorder="0" applyAlignment="0" applyProtection="0"/>
    <xf numFmtId="0" fontId="106" fillId="64"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190" fontId="106" fillId="64" borderId="0" applyNumberFormat="0" applyBorder="0" applyAlignment="0" applyProtection="0"/>
    <xf numFmtId="0" fontId="20" fillId="39" borderId="0" applyNumberFormat="0" applyBorder="0" applyAlignment="0" applyProtection="0"/>
    <xf numFmtId="0" fontId="106" fillId="64" borderId="0" applyNumberFormat="0" applyBorder="0" applyAlignment="0" applyProtection="0"/>
    <xf numFmtId="0" fontId="20" fillId="39" borderId="0" applyNumberFormat="0" applyBorder="0" applyAlignment="0" applyProtection="0"/>
    <xf numFmtId="0" fontId="106" fillId="64" borderId="0" applyNumberFormat="0" applyBorder="0" applyAlignment="0" applyProtection="0"/>
    <xf numFmtId="0" fontId="20" fillId="39" borderId="0" applyNumberFormat="0" applyBorder="0" applyAlignment="0" applyProtection="0"/>
    <xf numFmtId="0" fontId="106" fillId="64" borderId="0" applyNumberFormat="0" applyBorder="0" applyAlignment="0" applyProtection="0"/>
    <xf numFmtId="0" fontId="106" fillId="64" borderId="0" applyNumberFormat="0" applyBorder="0" applyAlignment="0" applyProtection="0"/>
    <xf numFmtId="0" fontId="106" fillId="64" borderId="0" applyNumberFormat="0" applyBorder="0" applyAlignment="0" applyProtection="0"/>
    <xf numFmtId="0" fontId="20" fillId="39" borderId="0" applyNumberFormat="0" applyBorder="0" applyAlignment="0" applyProtection="0"/>
    <xf numFmtId="0" fontId="106" fillId="64"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0"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0"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0"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0"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0"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0"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0"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190" fontId="106" fillId="61"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20" fillId="43"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06" fillId="61" borderId="0" applyNumberFormat="0" applyBorder="0" applyAlignment="0" applyProtection="0"/>
    <xf numFmtId="0" fontId="13" fillId="56" borderId="0" applyNumberFormat="0" applyBorder="0" applyAlignment="0" applyProtection="0"/>
    <xf numFmtId="0" fontId="20" fillId="43"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06" fillId="61" borderId="0" applyNumberFormat="0" applyBorder="0" applyAlignment="0" applyProtection="0"/>
    <xf numFmtId="0" fontId="13" fillId="56" borderId="0" applyNumberFormat="0" applyBorder="0" applyAlignment="0" applyProtection="0"/>
    <xf numFmtId="0" fontId="106" fillId="61" borderId="0" applyNumberFormat="0" applyBorder="0" applyAlignment="0" applyProtection="0"/>
    <xf numFmtId="0" fontId="13" fillId="56" borderId="0" applyNumberFormat="0" applyBorder="0" applyAlignment="0" applyProtection="0"/>
    <xf numFmtId="0" fontId="106" fillId="61" borderId="0" applyNumberFormat="0" applyBorder="0" applyAlignment="0" applyProtection="0"/>
    <xf numFmtId="0" fontId="13" fillId="56"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20" fillId="43"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190" fontId="106" fillId="61" borderId="0" applyNumberFormat="0" applyBorder="0" applyAlignment="0" applyProtection="0"/>
    <xf numFmtId="0" fontId="20" fillId="43" borderId="0" applyNumberFormat="0" applyBorder="0" applyAlignment="0" applyProtection="0"/>
    <xf numFmtId="0" fontId="106" fillId="61" borderId="0" applyNumberFormat="0" applyBorder="0" applyAlignment="0" applyProtection="0"/>
    <xf numFmtId="0" fontId="20" fillId="43" borderId="0" applyNumberFormat="0" applyBorder="0" applyAlignment="0" applyProtection="0"/>
    <xf numFmtId="0" fontId="106" fillId="61" borderId="0" applyNumberFormat="0" applyBorder="0" applyAlignment="0" applyProtection="0"/>
    <xf numFmtId="0" fontId="20" fillId="43"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20" fillId="43" borderId="0" applyNumberFormat="0" applyBorder="0" applyAlignment="0" applyProtection="0"/>
    <xf numFmtId="0" fontId="106" fillId="61"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190" fontId="106" fillId="61" borderId="0" applyNumberFormat="0" applyBorder="0" applyAlignment="0" applyProtection="0"/>
    <xf numFmtId="0" fontId="20" fillId="43" borderId="0" applyNumberFormat="0" applyBorder="0" applyAlignment="0" applyProtection="0"/>
    <xf numFmtId="0" fontId="106" fillId="61" borderId="0" applyNumberFormat="0" applyBorder="0" applyAlignment="0" applyProtection="0"/>
    <xf numFmtId="0" fontId="20" fillId="43" borderId="0" applyNumberFormat="0" applyBorder="0" applyAlignment="0" applyProtection="0"/>
    <xf numFmtId="0" fontId="106" fillId="61" borderId="0" applyNumberFormat="0" applyBorder="0" applyAlignment="0" applyProtection="0"/>
    <xf numFmtId="0" fontId="20" fillId="43"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20" fillId="43" borderId="0" applyNumberFormat="0" applyBorder="0" applyAlignment="0" applyProtection="0"/>
    <xf numFmtId="0" fontId="106" fillId="61"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0"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0"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0"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0"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0"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0"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0"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190" fontId="106"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20" fillId="47"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06" fillId="62" borderId="0" applyNumberFormat="0" applyBorder="0" applyAlignment="0" applyProtection="0"/>
    <xf numFmtId="0" fontId="13" fillId="62" borderId="0" applyNumberFormat="0" applyBorder="0" applyAlignment="0" applyProtection="0"/>
    <xf numFmtId="0" fontId="20" fillId="47"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06" fillId="62" borderId="0" applyNumberFormat="0" applyBorder="0" applyAlignment="0" applyProtection="0"/>
    <xf numFmtId="0" fontId="13" fillId="62" borderId="0" applyNumberFormat="0" applyBorder="0" applyAlignment="0" applyProtection="0"/>
    <xf numFmtId="0" fontId="106" fillId="62" borderId="0" applyNumberFormat="0" applyBorder="0" applyAlignment="0" applyProtection="0"/>
    <xf numFmtId="0" fontId="13" fillId="62" borderId="0" applyNumberFormat="0" applyBorder="0" applyAlignment="0" applyProtection="0"/>
    <xf numFmtId="0" fontId="106" fillId="62" borderId="0" applyNumberFormat="0" applyBorder="0" applyAlignment="0" applyProtection="0"/>
    <xf numFmtId="0" fontId="13" fillId="62" borderId="0" applyNumberFormat="0" applyBorder="0" applyAlignment="0" applyProtection="0"/>
    <xf numFmtId="0" fontId="106" fillId="62" borderId="0" applyNumberFormat="0" applyBorder="0" applyAlignment="0" applyProtection="0"/>
    <xf numFmtId="0" fontId="106" fillId="62" borderId="0" applyNumberFormat="0" applyBorder="0" applyAlignment="0" applyProtection="0"/>
    <xf numFmtId="0" fontId="106" fillId="62" borderId="0" applyNumberFormat="0" applyBorder="0" applyAlignment="0" applyProtection="0"/>
    <xf numFmtId="0" fontId="106" fillId="62" borderId="0" applyNumberFormat="0" applyBorder="0" applyAlignment="0" applyProtection="0"/>
    <xf numFmtId="0" fontId="106" fillId="62" borderId="0" applyNumberFormat="0" applyBorder="0" applyAlignment="0" applyProtection="0"/>
    <xf numFmtId="0" fontId="106" fillId="62" borderId="0" applyNumberFormat="0" applyBorder="0" applyAlignment="0" applyProtection="0"/>
    <xf numFmtId="0" fontId="106" fillId="62" borderId="0" applyNumberFormat="0" applyBorder="0" applyAlignment="0" applyProtection="0"/>
    <xf numFmtId="0" fontId="20" fillId="47"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06" fillId="62" borderId="0" applyNumberFormat="0" applyBorder="0" applyAlignment="0" applyProtection="0"/>
    <xf numFmtId="0" fontId="106" fillId="62" borderId="0" applyNumberFormat="0" applyBorder="0" applyAlignment="0" applyProtection="0"/>
    <xf numFmtId="0" fontId="106" fillId="62" borderId="0" applyNumberFormat="0" applyBorder="0" applyAlignment="0" applyProtection="0"/>
    <xf numFmtId="0" fontId="106" fillId="62" borderId="0" applyNumberFormat="0" applyBorder="0" applyAlignment="0" applyProtection="0"/>
    <xf numFmtId="0" fontId="106" fillId="62" borderId="0" applyNumberFormat="0" applyBorder="0" applyAlignment="0" applyProtection="0"/>
    <xf numFmtId="0" fontId="106" fillId="62" borderId="0" applyNumberFormat="0" applyBorder="0" applyAlignment="0" applyProtection="0"/>
    <xf numFmtId="0" fontId="106" fillId="62" borderId="0" applyNumberFormat="0" applyBorder="0" applyAlignment="0" applyProtection="0"/>
    <xf numFmtId="0" fontId="106" fillId="62" borderId="0" applyNumberFormat="0" applyBorder="0" applyAlignment="0" applyProtection="0"/>
    <xf numFmtId="0" fontId="106"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190" fontId="106" fillId="62" borderId="0" applyNumberFormat="0" applyBorder="0" applyAlignment="0" applyProtection="0"/>
    <xf numFmtId="0" fontId="20" fillId="47" borderId="0" applyNumberFormat="0" applyBorder="0" applyAlignment="0" applyProtection="0"/>
    <xf numFmtId="0" fontId="106" fillId="62" borderId="0" applyNumberFormat="0" applyBorder="0" applyAlignment="0" applyProtection="0"/>
    <xf numFmtId="0" fontId="20" fillId="47" borderId="0" applyNumberFormat="0" applyBorder="0" applyAlignment="0" applyProtection="0"/>
    <xf numFmtId="0" fontId="106" fillId="62" borderId="0" applyNumberFormat="0" applyBorder="0" applyAlignment="0" applyProtection="0"/>
    <xf numFmtId="0" fontId="20" fillId="47" borderId="0" applyNumberFormat="0" applyBorder="0" applyAlignment="0" applyProtection="0"/>
    <xf numFmtId="0" fontId="106" fillId="62" borderId="0" applyNumberFormat="0" applyBorder="0" applyAlignment="0" applyProtection="0"/>
    <xf numFmtId="0" fontId="106" fillId="62" borderId="0" applyNumberFormat="0" applyBorder="0" applyAlignment="0" applyProtection="0"/>
    <xf numFmtId="0" fontId="106" fillId="62" borderId="0" applyNumberFormat="0" applyBorder="0" applyAlignment="0" applyProtection="0"/>
    <xf numFmtId="0" fontId="20" fillId="47" borderId="0" applyNumberFormat="0" applyBorder="0" applyAlignment="0" applyProtection="0"/>
    <xf numFmtId="0" fontId="106" fillId="62"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190" fontId="106" fillId="62" borderId="0" applyNumberFormat="0" applyBorder="0" applyAlignment="0" applyProtection="0"/>
    <xf numFmtId="0" fontId="20" fillId="47" borderId="0" applyNumberFormat="0" applyBorder="0" applyAlignment="0" applyProtection="0"/>
    <xf numFmtId="0" fontId="106" fillId="62" borderId="0" applyNumberFormat="0" applyBorder="0" applyAlignment="0" applyProtection="0"/>
    <xf numFmtId="0" fontId="20" fillId="47" borderId="0" applyNumberFormat="0" applyBorder="0" applyAlignment="0" applyProtection="0"/>
    <xf numFmtId="0" fontId="106" fillId="62" borderId="0" applyNumberFormat="0" applyBorder="0" applyAlignment="0" applyProtection="0"/>
    <xf numFmtId="0" fontId="20" fillId="47" borderId="0" applyNumberFormat="0" applyBorder="0" applyAlignment="0" applyProtection="0"/>
    <xf numFmtId="0" fontId="106" fillId="62" borderId="0" applyNumberFormat="0" applyBorder="0" applyAlignment="0" applyProtection="0"/>
    <xf numFmtId="0" fontId="106" fillId="62" borderId="0" applyNumberFormat="0" applyBorder="0" applyAlignment="0" applyProtection="0"/>
    <xf numFmtId="0" fontId="106" fillId="62" borderId="0" applyNumberFormat="0" applyBorder="0" applyAlignment="0" applyProtection="0"/>
    <xf numFmtId="0" fontId="20" fillId="47" borderId="0" applyNumberFormat="0" applyBorder="0" applyAlignment="0" applyProtection="0"/>
    <xf numFmtId="0" fontId="106" fillId="62"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0"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0"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0"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0"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0"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0"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0"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190" fontId="106" fillId="59"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20" fillId="51"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06" fillId="59" borderId="0" applyNumberFormat="0" applyBorder="0" applyAlignment="0" applyProtection="0"/>
    <xf numFmtId="0" fontId="13" fillId="66" borderId="0" applyNumberFormat="0" applyBorder="0" applyAlignment="0" applyProtection="0"/>
    <xf numFmtId="0" fontId="20" fillId="51"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06" fillId="59" borderId="0" applyNumberFormat="0" applyBorder="0" applyAlignment="0" applyProtection="0"/>
    <xf numFmtId="0" fontId="13" fillId="66" borderId="0" applyNumberFormat="0" applyBorder="0" applyAlignment="0" applyProtection="0"/>
    <xf numFmtId="0" fontId="106" fillId="59" borderId="0" applyNumberFormat="0" applyBorder="0" applyAlignment="0" applyProtection="0"/>
    <xf numFmtId="0" fontId="13" fillId="66" borderId="0" applyNumberFormat="0" applyBorder="0" applyAlignment="0" applyProtection="0"/>
    <xf numFmtId="0" fontId="106" fillId="59" borderId="0" applyNumberFormat="0" applyBorder="0" applyAlignment="0" applyProtection="0"/>
    <xf numFmtId="0" fontId="13" fillId="66" borderId="0" applyNumberFormat="0" applyBorder="0" applyAlignment="0" applyProtection="0"/>
    <xf numFmtId="0" fontId="106" fillId="59" borderId="0" applyNumberFormat="0" applyBorder="0" applyAlignment="0" applyProtection="0"/>
    <xf numFmtId="0" fontId="106" fillId="59" borderId="0" applyNumberFormat="0" applyBorder="0" applyAlignment="0" applyProtection="0"/>
    <xf numFmtId="0" fontId="106" fillId="59" borderId="0" applyNumberFormat="0" applyBorder="0" applyAlignment="0" applyProtection="0"/>
    <xf numFmtId="0" fontId="106" fillId="59" borderId="0" applyNumberFormat="0" applyBorder="0" applyAlignment="0" applyProtection="0"/>
    <xf numFmtId="0" fontId="106" fillId="59" borderId="0" applyNumberFormat="0" applyBorder="0" applyAlignment="0" applyProtection="0"/>
    <xf numFmtId="0" fontId="106" fillId="59" borderId="0" applyNumberFormat="0" applyBorder="0" applyAlignment="0" applyProtection="0"/>
    <xf numFmtId="0" fontId="106" fillId="59" borderId="0" applyNumberFormat="0" applyBorder="0" applyAlignment="0" applyProtection="0"/>
    <xf numFmtId="0" fontId="20" fillId="51"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06" fillId="59" borderId="0" applyNumberFormat="0" applyBorder="0" applyAlignment="0" applyProtection="0"/>
    <xf numFmtId="0" fontId="106" fillId="59" borderId="0" applyNumberFormat="0" applyBorder="0" applyAlignment="0" applyProtection="0"/>
    <xf numFmtId="0" fontId="106" fillId="59" borderId="0" applyNumberFormat="0" applyBorder="0" applyAlignment="0" applyProtection="0"/>
    <xf numFmtId="0" fontId="106" fillId="59" borderId="0" applyNumberFormat="0" applyBorder="0" applyAlignment="0" applyProtection="0"/>
    <xf numFmtId="0" fontId="106" fillId="59" borderId="0" applyNumberFormat="0" applyBorder="0" applyAlignment="0" applyProtection="0"/>
    <xf numFmtId="0" fontId="106" fillId="59" borderId="0" applyNumberFormat="0" applyBorder="0" applyAlignment="0" applyProtection="0"/>
    <xf numFmtId="0" fontId="106" fillId="59" borderId="0" applyNumberFormat="0" applyBorder="0" applyAlignment="0" applyProtection="0"/>
    <xf numFmtId="0" fontId="106" fillId="59" borderId="0" applyNumberFormat="0" applyBorder="0" applyAlignment="0" applyProtection="0"/>
    <xf numFmtId="0" fontId="106" fillId="59"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190" fontId="106" fillId="59" borderId="0" applyNumberFormat="0" applyBorder="0" applyAlignment="0" applyProtection="0"/>
    <xf numFmtId="0" fontId="20" fillId="51" borderId="0" applyNumberFormat="0" applyBorder="0" applyAlignment="0" applyProtection="0"/>
    <xf numFmtId="0" fontId="106" fillId="59" borderId="0" applyNumberFormat="0" applyBorder="0" applyAlignment="0" applyProtection="0"/>
    <xf numFmtId="0" fontId="20" fillId="51" borderId="0" applyNumberFormat="0" applyBorder="0" applyAlignment="0" applyProtection="0"/>
    <xf numFmtId="0" fontId="106" fillId="59" borderId="0" applyNumberFormat="0" applyBorder="0" applyAlignment="0" applyProtection="0"/>
    <xf numFmtId="0" fontId="20" fillId="51" borderId="0" applyNumberFormat="0" applyBorder="0" applyAlignment="0" applyProtection="0"/>
    <xf numFmtId="0" fontId="106" fillId="59" borderId="0" applyNumberFormat="0" applyBorder="0" applyAlignment="0" applyProtection="0"/>
    <xf numFmtId="0" fontId="106" fillId="59" borderId="0" applyNumberFormat="0" applyBorder="0" applyAlignment="0" applyProtection="0"/>
    <xf numFmtId="0" fontId="106" fillId="59" borderId="0" applyNumberFormat="0" applyBorder="0" applyAlignment="0" applyProtection="0"/>
    <xf numFmtId="0" fontId="20" fillId="51" borderId="0" applyNumberFormat="0" applyBorder="0" applyAlignment="0" applyProtection="0"/>
    <xf numFmtId="0" fontId="106" fillId="59"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190" fontId="106" fillId="59" borderId="0" applyNumberFormat="0" applyBorder="0" applyAlignment="0" applyProtection="0"/>
    <xf numFmtId="0" fontId="20" fillId="51" borderId="0" applyNumberFormat="0" applyBorder="0" applyAlignment="0" applyProtection="0"/>
    <xf numFmtId="0" fontId="106" fillId="59" borderId="0" applyNumberFormat="0" applyBorder="0" applyAlignment="0" applyProtection="0"/>
    <xf numFmtId="0" fontId="20" fillId="51" borderId="0" applyNumberFormat="0" applyBorder="0" applyAlignment="0" applyProtection="0"/>
    <xf numFmtId="0" fontId="106" fillId="59" borderId="0" applyNumberFormat="0" applyBorder="0" applyAlignment="0" applyProtection="0"/>
    <xf numFmtId="0" fontId="20" fillId="51" borderId="0" applyNumberFormat="0" applyBorder="0" applyAlignment="0" applyProtection="0"/>
    <xf numFmtId="0" fontId="106" fillId="59" borderId="0" applyNumberFormat="0" applyBorder="0" applyAlignment="0" applyProtection="0"/>
    <xf numFmtId="0" fontId="106" fillId="59" borderId="0" applyNumberFormat="0" applyBorder="0" applyAlignment="0" applyProtection="0"/>
    <xf numFmtId="0" fontId="106" fillId="59" borderId="0" applyNumberFormat="0" applyBorder="0" applyAlignment="0" applyProtection="0"/>
    <xf numFmtId="0" fontId="20" fillId="51" borderId="0" applyNumberFormat="0" applyBorder="0" applyAlignment="0" applyProtection="0"/>
    <xf numFmtId="0" fontId="106" fillId="59"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0"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0"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0"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0"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190" fontId="13" fillId="67"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91" fillId="32"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3" fillId="67"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3" fillId="67" borderId="0" applyNumberFormat="0" applyBorder="0" applyAlignment="0" applyProtection="0"/>
    <xf numFmtId="0" fontId="106" fillId="68" borderId="0" applyNumberFormat="0" applyBorder="0" applyAlignment="0" applyProtection="0"/>
    <xf numFmtId="0" fontId="13" fillId="67" borderId="0" applyNumberFormat="0" applyBorder="0" applyAlignment="0" applyProtection="0"/>
    <xf numFmtId="0" fontId="106" fillId="68" borderId="0" applyNumberFormat="0" applyBorder="0" applyAlignment="0" applyProtection="0"/>
    <xf numFmtId="0" fontId="13" fillId="67" borderId="0" applyNumberFormat="0" applyBorder="0" applyAlignment="0" applyProtection="0"/>
    <xf numFmtId="0" fontId="106" fillId="68"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7" fillId="32"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0" fontId="106" fillId="68" borderId="0" applyNumberFormat="0" applyBorder="0" applyAlignment="0" applyProtection="0"/>
    <xf numFmtId="190" fontId="13" fillId="67" borderId="0" applyNumberFormat="0" applyBorder="0" applyAlignment="0" applyProtection="0"/>
    <xf numFmtId="0" fontId="106" fillId="68"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07" fillId="32" borderId="0" applyNumberFormat="0" applyBorder="0" applyAlignment="0" applyProtection="0"/>
    <xf numFmtId="0" fontId="13" fillId="67" borderId="0" applyNumberFormat="0" applyBorder="0" applyAlignment="0" applyProtection="0"/>
    <xf numFmtId="19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07" fillId="32" borderId="0" applyNumberFormat="0" applyBorder="0" applyAlignment="0" applyProtection="0"/>
    <xf numFmtId="0" fontId="13" fillId="67" borderId="0" applyNumberFormat="0" applyBorder="0" applyAlignment="0" applyProtection="0"/>
    <xf numFmtId="0" fontId="91" fillId="32" borderId="0" applyNumberFormat="0" applyBorder="0" applyAlignment="0" applyProtection="0"/>
    <xf numFmtId="0" fontId="107" fillId="32" borderId="0" applyNumberFormat="0" applyBorder="0" applyAlignment="0" applyProtection="0"/>
    <xf numFmtId="0" fontId="107" fillId="32" borderId="0" applyNumberFormat="0" applyBorder="0" applyAlignment="0" applyProtection="0"/>
    <xf numFmtId="0" fontId="107" fillId="32" borderId="0" applyNumberFormat="0" applyBorder="0" applyAlignment="0" applyProtection="0"/>
    <xf numFmtId="190" fontId="13"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91" fillId="36"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3"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3" fillId="63" borderId="0" applyNumberFormat="0" applyBorder="0" applyAlignment="0" applyProtection="0"/>
    <xf numFmtId="0" fontId="106" fillId="63" borderId="0" applyNumberFormat="0" applyBorder="0" applyAlignment="0" applyProtection="0"/>
    <xf numFmtId="0" fontId="13" fillId="63" borderId="0" applyNumberFormat="0" applyBorder="0" applyAlignment="0" applyProtection="0"/>
    <xf numFmtId="0" fontId="106" fillId="63" borderId="0" applyNumberFormat="0" applyBorder="0" applyAlignment="0" applyProtection="0"/>
    <xf numFmtId="0" fontId="13" fillId="63" borderId="0" applyNumberFormat="0" applyBorder="0" applyAlignment="0" applyProtection="0"/>
    <xf numFmtId="0" fontId="106"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7" fillId="36"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190" fontId="13" fillId="63" borderId="0" applyNumberFormat="0" applyBorder="0" applyAlignment="0" applyProtection="0"/>
    <xf numFmtId="0" fontId="106"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07" fillId="36" borderId="0" applyNumberFormat="0" applyBorder="0" applyAlignment="0" applyProtection="0"/>
    <xf numFmtId="0" fontId="13" fillId="63" borderId="0" applyNumberFormat="0" applyBorder="0" applyAlignment="0" applyProtection="0"/>
    <xf numFmtId="19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07" fillId="36" borderId="0" applyNumberFormat="0" applyBorder="0" applyAlignment="0" applyProtection="0"/>
    <xf numFmtId="0" fontId="13" fillId="63" borderId="0" applyNumberFormat="0" applyBorder="0" applyAlignment="0" applyProtection="0"/>
    <xf numFmtId="0" fontId="91" fillId="36" borderId="0" applyNumberFormat="0" applyBorder="0" applyAlignment="0" applyProtection="0"/>
    <xf numFmtId="0" fontId="107" fillId="36" borderId="0" applyNumberFormat="0" applyBorder="0" applyAlignment="0" applyProtection="0"/>
    <xf numFmtId="0" fontId="107" fillId="36" borderId="0" applyNumberFormat="0" applyBorder="0" applyAlignment="0" applyProtection="0"/>
    <xf numFmtId="0" fontId="107" fillId="36" borderId="0" applyNumberFormat="0" applyBorder="0" applyAlignment="0" applyProtection="0"/>
    <xf numFmtId="190" fontId="13" fillId="64"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91" fillId="40"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3" fillId="64"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3" fillId="64" borderId="0" applyNumberFormat="0" applyBorder="0" applyAlignment="0" applyProtection="0"/>
    <xf numFmtId="0" fontId="106" fillId="65" borderId="0" applyNumberFormat="0" applyBorder="0" applyAlignment="0" applyProtection="0"/>
    <xf numFmtId="0" fontId="13" fillId="64" borderId="0" applyNumberFormat="0" applyBorder="0" applyAlignment="0" applyProtection="0"/>
    <xf numFmtId="0" fontId="106" fillId="65" borderId="0" applyNumberFormat="0" applyBorder="0" applyAlignment="0" applyProtection="0"/>
    <xf numFmtId="0" fontId="13" fillId="64" borderId="0" applyNumberFormat="0" applyBorder="0" applyAlignment="0" applyProtection="0"/>
    <xf numFmtId="0" fontId="106" fillId="65" borderId="0" applyNumberFormat="0" applyBorder="0" applyAlignment="0" applyProtection="0"/>
    <xf numFmtId="0" fontId="13" fillId="64" borderId="0" applyNumberFormat="0" applyBorder="0" applyAlignment="0" applyProtection="0"/>
    <xf numFmtId="0" fontId="13" fillId="64" borderId="0" applyNumberFormat="0" applyBorder="0" applyAlignment="0" applyProtection="0"/>
    <xf numFmtId="0" fontId="13" fillId="64" borderId="0" applyNumberFormat="0" applyBorder="0" applyAlignment="0" applyProtection="0"/>
    <xf numFmtId="0" fontId="13" fillId="64" borderId="0" applyNumberFormat="0" applyBorder="0" applyAlignment="0" applyProtection="0"/>
    <xf numFmtId="0" fontId="13" fillId="64" borderId="0" applyNumberFormat="0" applyBorder="0" applyAlignment="0" applyProtection="0"/>
    <xf numFmtId="0" fontId="13" fillId="64" borderId="0" applyNumberFormat="0" applyBorder="0" applyAlignment="0" applyProtection="0"/>
    <xf numFmtId="0" fontId="13" fillId="64"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3" fillId="64" borderId="0" applyNumberFormat="0" applyBorder="0" applyAlignment="0" applyProtection="0"/>
    <xf numFmtId="0" fontId="13" fillId="64" borderId="0" applyNumberFormat="0" applyBorder="0" applyAlignment="0" applyProtection="0"/>
    <xf numFmtId="0" fontId="13" fillId="64" borderId="0" applyNumberFormat="0" applyBorder="0" applyAlignment="0" applyProtection="0"/>
    <xf numFmtId="0" fontId="13" fillId="64" borderId="0" applyNumberFormat="0" applyBorder="0" applyAlignment="0" applyProtection="0"/>
    <xf numFmtId="0" fontId="13" fillId="64" borderId="0" applyNumberFormat="0" applyBorder="0" applyAlignment="0" applyProtection="0"/>
    <xf numFmtId="0" fontId="13" fillId="64" borderId="0" applyNumberFormat="0" applyBorder="0" applyAlignment="0" applyProtection="0"/>
    <xf numFmtId="0" fontId="13" fillId="64" borderId="0" applyNumberFormat="0" applyBorder="0" applyAlignment="0" applyProtection="0"/>
    <xf numFmtId="0" fontId="13" fillId="64" borderId="0" applyNumberFormat="0" applyBorder="0" applyAlignment="0" applyProtection="0"/>
    <xf numFmtId="0" fontId="13" fillId="64"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7" fillId="40"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0" fontId="106" fillId="65" borderId="0" applyNumberFormat="0" applyBorder="0" applyAlignment="0" applyProtection="0"/>
    <xf numFmtId="190" fontId="13" fillId="64" borderId="0" applyNumberFormat="0" applyBorder="0" applyAlignment="0" applyProtection="0"/>
    <xf numFmtId="0" fontId="106" fillId="65" borderId="0" applyNumberFormat="0" applyBorder="0" applyAlignment="0" applyProtection="0"/>
    <xf numFmtId="0" fontId="13" fillId="64" borderId="0" applyNumberFormat="0" applyBorder="0" applyAlignment="0" applyProtection="0"/>
    <xf numFmtId="0" fontId="13" fillId="64" borderId="0" applyNumberFormat="0" applyBorder="0" applyAlignment="0" applyProtection="0"/>
    <xf numFmtId="0" fontId="13" fillId="64" borderId="0" applyNumberFormat="0" applyBorder="0" applyAlignment="0" applyProtection="0"/>
    <xf numFmtId="0" fontId="13" fillId="64" borderId="0" applyNumberFormat="0" applyBorder="0" applyAlignment="0" applyProtection="0"/>
    <xf numFmtId="0" fontId="13" fillId="64" borderId="0" applyNumberFormat="0" applyBorder="0" applyAlignment="0" applyProtection="0"/>
    <xf numFmtId="0" fontId="107" fillId="40" borderId="0" applyNumberFormat="0" applyBorder="0" applyAlignment="0" applyProtection="0"/>
    <xf numFmtId="0" fontId="13" fillId="64" borderId="0" applyNumberFormat="0" applyBorder="0" applyAlignment="0" applyProtection="0"/>
    <xf numFmtId="190" fontId="13" fillId="64" borderId="0" applyNumberFormat="0" applyBorder="0" applyAlignment="0" applyProtection="0"/>
    <xf numFmtId="0" fontId="13" fillId="64" borderId="0" applyNumberFormat="0" applyBorder="0" applyAlignment="0" applyProtection="0"/>
    <xf numFmtId="0" fontId="13" fillId="64" borderId="0" applyNumberFormat="0" applyBorder="0" applyAlignment="0" applyProtection="0"/>
    <xf numFmtId="0" fontId="13" fillId="64" borderId="0" applyNumberFormat="0" applyBorder="0" applyAlignment="0" applyProtection="0"/>
    <xf numFmtId="0" fontId="13" fillId="64" borderId="0" applyNumberFormat="0" applyBorder="0" applyAlignment="0" applyProtection="0"/>
    <xf numFmtId="0" fontId="13" fillId="64" borderId="0" applyNumberFormat="0" applyBorder="0" applyAlignment="0" applyProtection="0"/>
    <xf numFmtId="0" fontId="107" fillId="40" borderId="0" applyNumberFormat="0" applyBorder="0" applyAlignment="0" applyProtection="0"/>
    <xf numFmtId="0" fontId="13" fillId="64" borderId="0" applyNumberFormat="0" applyBorder="0" applyAlignment="0" applyProtection="0"/>
    <xf numFmtId="0" fontId="91" fillId="40" borderId="0" applyNumberFormat="0" applyBorder="0" applyAlignment="0" applyProtection="0"/>
    <xf numFmtId="0" fontId="107" fillId="40" borderId="0" applyNumberFormat="0" applyBorder="0" applyAlignment="0" applyProtection="0"/>
    <xf numFmtId="0" fontId="107" fillId="40" borderId="0" applyNumberFormat="0" applyBorder="0" applyAlignment="0" applyProtection="0"/>
    <xf numFmtId="0" fontId="107" fillId="40" borderId="0" applyNumberFormat="0" applyBorder="0" applyAlignment="0" applyProtection="0"/>
    <xf numFmtId="190" fontId="13" fillId="61"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91" fillId="44"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3" fillId="61"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3" fillId="61" borderId="0" applyNumberFormat="0" applyBorder="0" applyAlignment="0" applyProtection="0"/>
    <xf numFmtId="0" fontId="106" fillId="69" borderId="0" applyNumberFormat="0" applyBorder="0" applyAlignment="0" applyProtection="0"/>
    <xf numFmtId="0" fontId="13" fillId="61" borderId="0" applyNumberFormat="0" applyBorder="0" applyAlignment="0" applyProtection="0"/>
    <xf numFmtId="0" fontId="106" fillId="69" borderId="0" applyNumberFormat="0" applyBorder="0" applyAlignment="0" applyProtection="0"/>
    <xf numFmtId="0" fontId="13" fillId="61" borderId="0" applyNumberFormat="0" applyBorder="0" applyAlignment="0" applyProtection="0"/>
    <xf numFmtId="0" fontId="106" fillId="69"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7" fillId="44"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190" fontId="13" fillId="61" borderId="0" applyNumberFormat="0" applyBorder="0" applyAlignment="0" applyProtection="0"/>
    <xf numFmtId="0" fontId="106" fillId="69"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07" fillId="44" borderId="0" applyNumberFormat="0" applyBorder="0" applyAlignment="0" applyProtection="0"/>
    <xf numFmtId="0" fontId="13" fillId="61" borderId="0" applyNumberFormat="0" applyBorder="0" applyAlignment="0" applyProtection="0"/>
    <xf numFmtId="19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07" fillId="44" borderId="0" applyNumberFormat="0" applyBorder="0" applyAlignment="0" applyProtection="0"/>
    <xf numFmtId="0" fontId="13" fillId="61" borderId="0" applyNumberFormat="0" applyBorder="0" applyAlignment="0" applyProtection="0"/>
    <xf numFmtId="0" fontId="91" fillId="44" borderId="0" applyNumberFormat="0" applyBorder="0" applyAlignment="0" applyProtection="0"/>
    <xf numFmtId="0" fontId="107" fillId="44" borderId="0" applyNumberFormat="0" applyBorder="0" applyAlignment="0" applyProtection="0"/>
    <xf numFmtId="0" fontId="107" fillId="44" borderId="0" applyNumberFormat="0" applyBorder="0" applyAlignment="0" applyProtection="0"/>
    <xf numFmtId="0" fontId="107" fillId="44" borderId="0" applyNumberFormat="0" applyBorder="0" applyAlignment="0" applyProtection="0"/>
    <xf numFmtId="190" fontId="13"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91" fillId="48"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3"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3" fillId="67" borderId="0" applyNumberFormat="0" applyBorder="0" applyAlignment="0" applyProtection="0"/>
    <xf numFmtId="0" fontId="106" fillId="67" borderId="0" applyNumberFormat="0" applyBorder="0" applyAlignment="0" applyProtection="0"/>
    <xf numFmtId="0" fontId="13" fillId="67" borderId="0" applyNumberFormat="0" applyBorder="0" applyAlignment="0" applyProtection="0"/>
    <xf numFmtId="0" fontId="106" fillId="67" borderId="0" applyNumberFormat="0" applyBorder="0" applyAlignment="0" applyProtection="0"/>
    <xf numFmtId="0" fontId="13" fillId="67" borderId="0" applyNumberFormat="0" applyBorder="0" applyAlignment="0" applyProtection="0"/>
    <xf numFmtId="0" fontId="106"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7" fillId="48"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190" fontId="13" fillId="67" borderId="0" applyNumberFormat="0" applyBorder="0" applyAlignment="0" applyProtection="0"/>
    <xf numFmtId="0" fontId="106"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07" fillId="48" borderId="0" applyNumberFormat="0" applyBorder="0" applyAlignment="0" applyProtection="0"/>
    <xf numFmtId="0" fontId="13" fillId="67" borderId="0" applyNumberFormat="0" applyBorder="0" applyAlignment="0" applyProtection="0"/>
    <xf numFmtId="19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07" fillId="48" borderId="0" applyNumberFormat="0" applyBorder="0" applyAlignment="0" applyProtection="0"/>
    <xf numFmtId="0" fontId="13" fillId="67" borderId="0" applyNumberFormat="0" applyBorder="0" applyAlignment="0" applyProtection="0"/>
    <xf numFmtId="0" fontId="91" fillId="48" borderId="0" applyNumberFormat="0" applyBorder="0" applyAlignment="0" applyProtection="0"/>
    <xf numFmtId="0" fontId="107" fillId="48" borderId="0" applyNumberFormat="0" applyBorder="0" applyAlignment="0" applyProtection="0"/>
    <xf numFmtId="0" fontId="107" fillId="48" borderId="0" applyNumberFormat="0" applyBorder="0" applyAlignment="0" applyProtection="0"/>
    <xf numFmtId="0" fontId="107" fillId="48" borderId="0" applyNumberFormat="0" applyBorder="0" applyAlignment="0" applyProtection="0"/>
    <xf numFmtId="190" fontId="13" fillId="59"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91" fillId="52"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3" fillId="59"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3" fillId="59" borderId="0" applyNumberFormat="0" applyBorder="0" applyAlignment="0" applyProtection="0"/>
    <xf numFmtId="0" fontId="106" fillId="70" borderId="0" applyNumberFormat="0" applyBorder="0" applyAlignment="0" applyProtection="0"/>
    <xf numFmtId="0" fontId="13" fillId="59" borderId="0" applyNumberFormat="0" applyBorder="0" applyAlignment="0" applyProtection="0"/>
    <xf numFmtId="0" fontId="106" fillId="70" borderId="0" applyNumberFormat="0" applyBorder="0" applyAlignment="0" applyProtection="0"/>
    <xf numFmtId="0" fontId="13" fillId="59" borderId="0" applyNumberFormat="0" applyBorder="0" applyAlignment="0" applyProtection="0"/>
    <xf numFmtId="0" fontId="106" fillId="70"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7" fillId="52"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0" fontId="106" fillId="70" borderId="0" applyNumberFormat="0" applyBorder="0" applyAlignment="0" applyProtection="0"/>
    <xf numFmtId="190" fontId="13" fillId="59" borderId="0" applyNumberFormat="0" applyBorder="0" applyAlignment="0" applyProtection="0"/>
    <xf numFmtId="0" fontId="106" fillId="70"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07" fillId="52" borderId="0" applyNumberFormat="0" applyBorder="0" applyAlignment="0" applyProtection="0"/>
    <xf numFmtId="0" fontId="13" fillId="59" borderId="0" applyNumberFormat="0" applyBorder="0" applyAlignment="0" applyProtection="0"/>
    <xf numFmtId="19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07" fillId="52" borderId="0" applyNumberFormat="0" applyBorder="0" applyAlignment="0" applyProtection="0"/>
    <xf numFmtId="0" fontId="13" fillId="59" borderId="0" applyNumberFormat="0" applyBorder="0" applyAlignment="0" applyProtection="0"/>
    <xf numFmtId="0" fontId="91" fillId="5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108" fillId="71" borderId="0">
      <alignment horizontal="left" vertical="top"/>
    </xf>
    <xf numFmtId="194" fontId="104" fillId="0" borderId="0" applyFont="0" applyFill="0" applyBorder="0" applyAlignment="0" applyProtection="0"/>
    <xf numFmtId="190" fontId="13" fillId="67"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91" fillId="29"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3" fillId="67"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3" fillId="67" borderId="0" applyNumberFormat="0" applyBorder="0" applyAlignment="0" applyProtection="0"/>
    <xf numFmtId="0" fontId="106" fillId="72" borderId="0" applyNumberFormat="0" applyBorder="0" applyAlignment="0" applyProtection="0"/>
    <xf numFmtId="0" fontId="13" fillId="67" borderId="0" applyNumberFormat="0" applyBorder="0" applyAlignment="0" applyProtection="0"/>
    <xf numFmtId="0" fontId="106" fillId="72" borderId="0" applyNumberFormat="0" applyBorder="0" applyAlignment="0" applyProtection="0"/>
    <xf numFmtId="0" fontId="13" fillId="67" borderId="0" applyNumberFormat="0" applyBorder="0" applyAlignment="0" applyProtection="0"/>
    <xf numFmtId="0" fontId="106" fillId="72"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7" fillId="29"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190" fontId="13" fillId="67" borderId="0" applyNumberFormat="0" applyBorder="0" applyAlignment="0" applyProtection="0"/>
    <xf numFmtId="0" fontId="106" fillId="72"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07" fillId="29" borderId="0" applyNumberFormat="0" applyBorder="0" applyAlignment="0" applyProtection="0"/>
    <xf numFmtId="0" fontId="13" fillId="67" borderId="0" applyNumberFormat="0" applyBorder="0" applyAlignment="0" applyProtection="0"/>
    <xf numFmtId="19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07" fillId="29" borderId="0" applyNumberFormat="0" applyBorder="0" applyAlignment="0" applyProtection="0"/>
    <xf numFmtId="0" fontId="13" fillId="67" borderId="0" applyNumberFormat="0" applyBorder="0" applyAlignment="0" applyProtection="0"/>
    <xf numFmtId="0" fontId="91" fillId="29" borderId="0" applyNumberFormat="0" applyBorder="0" applyAlignment="0" applyProtection="0"/>
    <xf numFmtId="0" fontId="107" fillId="29" borderId="0" applyNumberFormat="0" applyBorder="0" applyAlignment="0" applyProtection="0"/>
    <xf numFmtId="0" fontId="107" fillId="29" borderId="0" applyNumberFormat="0" applyBorder="0" applyAlignment="0" applyProtection="0"/>
    <xf numFmtId="0" fontId="107" fillId="29" borderId="0" applyNumberFormat="0" applyBorder="0" applyAlignment="0" applyProtection="0"/>
    <xf numFmtId="190" fontId="13" fillId="65"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91" fillId="33"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3" fillId="65"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3" fillId="65" borderId="0" applyNumberFormat="0" applyBorder="0" applyAlignment="0" applyProtection="0"/>
    <xf numFmtId="0" fontId="106" fillId="61" borderId="0" applyNumberFormat="0" applyBorder="0" applyAlignment="0" applyProtection="0"/>
    <xf numFmtId="0" fontId="13" fillId="65" borderId="0" applyNumberFormat="0" applyBorder="0" applyAlignment="0" applyProtection="0"/>
    <xf numFmtId="0" fontId="106" fillId="61" borderId="0" applyNumberFormat="0" applyBorder="0" applyAlignment="0" applyProtection="0"/>
    <xf numFmtId="0" fontId="13" fillId="65" borderId="0" applyNumberFormat="0" applyBorder="0" applyAlignment="0" applyProtection="0"/>
    <xf numFmtId="0" fontId="106" fillId="61"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7" fillId="33"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190" fontId="13" fillId="65" borderId="0" applyNumberFormat="0" applyBorder="0" applyAlignment="0" applyProtection="0"/>
    <xf numFmtId="0" fontId="106" fillId="61"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07" fillId="33" borderId="0" applyNumberFormat="0" applyBorder="0" applyAlignment="0" applyProtection="0"/>
    <xf numFmtId="0" fontId="13" fillId="65" borderId="0" applyNumberFormat="0" applyBorder="0" applyAlignment="0" applyProtection="0"/>
    <xf numFmtId="19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07" fillId="33" borderId="0" applyNumberFormat="0" applyBorder="0" applyAlignment="0" applyProtection="0"/>
    <xf numFmtId="0" fontId="13" fillId="65" borderId="0" applyNumberFormat="0" applyBorder="0" applyAlignment="0" applyProtection="0"/>
    <xf numFmtId="0" fontId="91" fillId="33" borderId="0" applyNumberFormat="0" applyBorder="0" applyAlignment="0" applyProtection="0"/>
    <xf numFmtId="0" fontId="107" fillId="33" borderId="0" applyNumberFormat="0" applyBorder="0" applyAlignment="0" applyProtection="0"/>
    <xf numFmtId="0" fontId="107" fillId="33" borderId="0" applyNumberFormat="0" applyBorder="0" applyAlignment="0" applyProtection="0"/>
    <xf numFmtId="0" fontId="107" fillId="33" borderId="0" applyNumberFormat="0" applyBorder="0" applyAlignment="0" applyProtection="0"/>
    <xf numFmtId="190" fontId="13"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91" fillId="37"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3"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3" fillId="73" borderId="0" applyNumberFormat="0" applyBorder="0" applyAlignment="0" applyProtection="0"/>
    <xf numFmtId="0" fontId="106" fillId="73" borderId="0" applyNumberFormat="0" applyBorder="0" applyAlignment="0" applyProtection="0"/>
    <xf numFmtId="0" fontId="13" fillId="73" borderId="0" applyNumberFormat="0" applyBorder="0" applyAlignment="0" applyProtection="0"/>
    <xf numFmtId="0" fontId="106" fillId="73" borderId="0" applyNumberFormat="0" applyBorder="0" applyAlignment="0" applyProtection="0"/>
    <xf numFmtId="0" fontId="13" fillId="73" borderId="0" applyNumberFormat="0" applyBorder="0" applyAlignment="0" applyProtection="0"/>
    <xf numFmtId="0" fontId="106"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7" fillId="37"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0" fontId="106" fillId="73" borderId="0" applyNumberFormat="0" applyBorder="0" applyAlignment="0" applyProtection="0"/>
    <xf numFmtId="190" fontId="13" fillId="73" borderId="0" applyNumberFormat="0" applyBorder="0" applyAlignment="0" applyProtection="0"/>
    <xf numFmtId="0" fontId="106"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07" fillId="37" borderId="0" applyNumberFormat="0" applyBorder="0" applyAlignment="0" applyProtection="0"/>
    <xf numFmtId="0" fontId="13" fillId="73" borderId="0" applyNumberFormat="0" applyBorder="0" applyAlignment="0" applyProtection="0"/>
    <xf numFmtId="19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07" fillId="37" borderId="0" applyNumberFormat="0" applyBorder="0" applyAlignment="0" applyProtection="0"/>
    <xf numFmtId="0" fontId="13" fillId="73" borderId="0" applyNumberFormat="0" applyBorder="0" applyAlignment="0" applyProtection="0"/>
    <xf numFmtId="0" fontId="91" fillId="37" borderId="0" applyNumberFormat="0" applyBorder="0" applyAlignment="0" applyProtection="0"/>
    <xf numFmtId="0" fontId="107" fillId="37" borderId="0" applyNumberFormat="0" applyBorder="0" applyAlignment="0" applyProtection="0"/>
    <xf numFmtId="0" fontId="107" fillId="37" borderId="0" applyNumberFormat="0" applyBorder="0" applyAlignment="0" applyProtection="0"/>
    <xf numFmtId="0" fontId="107" fillId="37" borderId="0" applyNumberFormat="0" applyBorder="0" applyAlignment="0" applyProtection="0"/>
    <xf numFmtId="190" fontId="13" fillId="74"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91" fillId="41"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3" fillId="74"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3" fillId="74" borderId="0" applyNumberFormat="0" applyBorder="0" applyAlignment="0" applyProtection="0"/>
    <xf numFmtId="0" fontId="106" fillId="69" borderId="0" applyNumberFormat="0" applyBorder="0" applyAlignment="0" applyProtection="0"/>
    <xf numFmtId="0" fontId="13" fillId="74" borderId="0" applyNumberFormat="0" applyBorder="0" applyAlignment="0" applyProtection="0"/>
    <xf numFmtId="0" fontId="106" fillId="69" borderId="0" applyNumberFormat="0" applyBorder="0" applyAlignment="0" applyProtection="0"/>
    <xf numFmtId="0" fontId="13" fillId="74" borderId="0" applyNumberFormat="0" applyBorder="0" applyAlignment="0" applyProtection="0"/>
    <xf numFmtId="0" fontId="106" fillId="69" borderId="0" applyNumberFormat="0" applyBorder="0" applyAlignment="0" applyProtection="0"/>
    <xf numFmtId="0" fontId="13" fillId="74" borderId="0" applyNumberFormat="0" applyBorder="0" applyAlignment="0" applyProtection="0"/>
    <xf numFmtId="0" fontId="13" fillId="74" borderId="0" applyNumberFormat="0" applyBorder="0" applyAlignment="0" applyProtection="0"/>
    <xf numFmtId="0" fontId="13" fillId="74" borderId="0" applyNumberFormat="0" applyBorder="0" applyAlignment="0" applyProtection="0"/>
    <xf numFmtId="0" fontId="13" fillId="74" borderId="0" applyNumberFormat="0" applyBorder="0" applyAlignment="0" applyProtection="0"/>
    <xf numFmtId="0" fontId="13" fillId="74" borderId="0" applyNumberFormat="0" applyBorder="0" applyAlignment="0" applyProtection="0"/>
    <xf numFmtId="0" fontId="13" fillId="74" borderId="0" applyNumberFormat="0" applyBorder="0" applyAlignment="0" applyProtection="0"/>
    <xf numFmtId="0" fontId="13" fillId="74"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3" fillId="74" borderId="0" applyNumberFormat="0" applyBorder="0" applyAlignment="0" applyProtection="0"/>
    <xf numFmtId="0" fontId="13" fillId="74" borderId="0" applyNumberFormat="0" applyBorder="0" applyAlignment="0" applyProtection="0"/>
    <xf numFmtId="0" fontId="13" fillId="74" borderId="0" applyNumberFormat="0" applyBorder="0" applyAlignment="0" applyProtection="0"/>
    <xf numFmtId="0" fontId="13" fillId="74" borderId="0" applyNumberFormat="0" applyBorder="0" applyAlignment="0" applyProtection="0"/>
    <xf numFmtId="0" fontId="13" fillId="74" borderId="0" applyNumberFormat="0" applyBorder="0" applyAlignment="0" applyProtection="0"/>
    <xf numFmtId="0" fontId="13" fillId="74" borderId="0" applyNumberFormat="0" applyBorder="0" applyAlignment="0" applyProtection="0"/>
    <xf numFmtId="0" fontId="13" fillId="74" borderId="0" applyNumberFormat="0" applyBorder="0" applyAlignment="0" applyProtection="0"/>
    <xf numFmtId="0" fontId="13" fillId="74" borderId="0" applyNumberFormat="0" applyBorder="0" applyAlignment="0" applyProtection="0"/>
    <xf numFmtId="0" fontId="13" fillId="74"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7" fillId="41"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0" fontId="106" fillId="69" borderId="0" applyNumberFormat="0" applyBorder="0" applyAlignment="0" applyProtection="0"/>
    <xf numFmtId="190" fontId="13" fillId="74" borderId="0" applyNumberFormat="0" applyBorder="0" applyAlignment="0" applyProtection="0"/>
    <xf numFmtId="0" fontId="106" fillId="69" borderId="0" applyNumberFormat="0" applyBorder="0" applyAlignment="0" applyProtection="0"/>
    <xf numFmtId="0" fontId="13" fillId="74" borderId="0" applyNumberFormat="0" applyBorder="0" applyAlignment="0" applyProtection="0"/>
    <xf numFmtId="0" fontId="13" fillId="74" borderId="0" applyNumberFormat="0" applyBorder="0" applyAlignment="0" applyProtection="0"/>
    <xf numFmtId="0" fontId="13" fillId="74" borderId="0" applyNumberFormat="0" applyBorder="0" applyAlignment="0" applyProtection="0"/>
    <xf numFmtId="0" fontId="13" fillId="74" borderId="0" applyNumberFormat="0" applyBorder="0" applyAlignment="0" applyProtection="0"/>
    <xf numFmtId="0" fontId="13" fillId="74" borderId="0" applyNumberFormat="0" applyBorder="0" applyAlignment="0" applyProtection="0"/>
    <xf numFmtId="0" fontId="107" fillId="41" borderId="0" applyNumberFormat="0" applyBorder="0" applyAlignment="0" applyProtection="0"/>
    <xf numFmtId="0" fontId="13" fillId="74" borderId="0" applyNumberFormat="0" applyBorder="0" applyAlignment="0" applyProtection="0"/>
    <xf numFmtId="190" fontId="13" fillId="74" borderId="0" applyNumberFormat="0" applyBorder="0" applyAlignment="0" applyProtection="0"/>
    <xf numFmtId="0" fontId="13" fillId="74" borderId="0" applyNumberFormat="0" applyBorder="0" applyAlignment="0" applyProtection="0"/>
    <xf numFmtId="0" fontId="13" fillId="74" borderId="0" applyNumberFormat="0" applyBorder="0" applyAlignment="0" applyProtection="0"/>
    <xf numFmtId="0" fontId="13" fillId="74" borderId="0" applyNumberFormat="0" applyBorder="0" applyAlignment="0" applyProtection="0"/>
    <xf numFmtId="0" fontId="13" fillId="74" borderId="0" applyNumberFormat="0" applyBorder="0" applyAlignment="0" applyProtection="0"/>
    <xf numFmtId="0" fontId="13" fillId="74" borderId="0" applyNumberFormat="0" applyBorder="0" applyAlignment="0" applyProtection="0"/>
    <xf numFmtId="0" fontId="107" fillId="41" borderId="0" applyNumberFormat="0" applyBorder="0" applyAlignment="0" applyProtection="0"/>
    <xf numFmtId="0" fontId="13" fillId="74" borderId="0" applyNumberFormat="0" applyBorder="0" applyAlignment="0" applyProtection="0"/>
    <xf numFmtId="0" fontId="91" fillId="41" borderId="0" applyNumberFormat="0" applyBorder="0" applyAlignment="0" applyProtection="0"/>
    <xf numFmtId="0" fontId="107" fillId="41" borderId="0" applyNumberFormat="0" applyBorder="0" applyAlignment="0" applyProtection="0"/>
    <xf numFmtId="0" fontId="107" fillId="41" borderId="0" applyNumberFormat="0" applyBorder="0" applyAlignment="0" applyProtection="0"/>
    <xf numFmtId="0" fontId="107" fillId="41" borderId="0" applyNumberFormat="0" applyBorder="0" applyAlignment="0" applyProtection="0"/>
    <xf numFmtId="190" fontId="13"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91" fillId="45"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3"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3" fillId="67" borderId="0" applyNumberFormat="0" applyBorder="0" applyAlignment="0" applyProtection="0"/>
    <xf numFmtId="0" fontId="106" fillId="67" borderId="0" applyNumberFormat="0" applyBorder="0" applyAlignment="0" applyProtection="0"/>
    <xf numFmtId="0" fontId="13" fillId="67" borderId="0" applyNumberFormat="0" applyBorder="0" applyAlignment="0" applyProtection="0"/>
    <xf numFmtId="0" fontId="106" fillId="67" borderId="0" applyNumberFormat="0" applyBorder="0" applyAlignment="0" applyProtection="0"/>
    <xf numFmtId="0" fontId="13" fillId="67" borderId="0" applyNumberFormat="0" applyBorder="0" applyAlignment="0" applyProtection="0"/>
    <xf numFmtId="0" fontId="106"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7" fillId="45"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190" fontId="13" fillId="67" borderId="0" applyNumberFormat="0" applyBorder="0" applyAlignment="0" applyProtection="0"/>
    <xf numFmtId="0" fontId="106"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07" fillId="45" borderId="0" applyNumberFormat="0" applyBorder="0" applyAlignment="0" applyProtection="0"/>
    <xf numFmtId="0" fontId="13" fillId="67" borderId="0" applyNumberFormat="0" applyBorder="0" applyAlignment="0" applyProtection="0"/>
    <xf numFmtId="19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07" fillId="45" borderId="0" applyNumberFormat="0" applyBorder="0" applyAlignment="0" applyProtection="0"/>
    <xf numFmtId="0" fontId="13" fillId="67" borderId="0" applyNumberFormat="0" applyBorder="0" applyAlignment="0" applyProtection="0"/>
    <xf numFmtId="0" fontId="91" fillId="45" borderId="0" applyNumberFormat="0" applyBorder="0" applyAlignment="0" applyProtection="0"/>
    <xf numFmtId="0" fontId="107" fillId="45" borderId="0" applyNumberFormat="0" applyBorder="0" applyAlignment="0" applyProtection="0"/>
    <xf numFmtId="0" fontId="107" fillId="45" borderId="0" applyNumberFormat="0" applyBorder="0" applyAlignment="0" applyProtection="0"/>
    <xf numFmtId="0" fontId="107" fillId="45" borderId="0" applyNumberFormat="0" applyBorder="0" applyAlignment="0" applyProtection="0"/>
    <xf numFmtId="190" fontId="13"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91" fillId="49"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3"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3" fillId="75" borderId="0" applyNumberFormat="0" applyBorder="0" applyAlignment="0" applyProtection="0"/>
    <xf numFmtId="0" fontId="106" fillId="75" borderId="0" applyNumberFormat="0" applyBorder="0" applyAlignment="0" applyProtection="0"/>
    <xf numFmtId="0" fontId="13" fillId="75" borderId="0" applyNumberFormat="0" applyBorder="0" applyAlignment="0" applyProtection="0"/>
    <xf numFmtId="0" fontId="106" fillId="75" borderId="0" applyNumberFormat="0" applyBorder="0" applyAlignment="0" applyProtection="0"/>
    <xf numFmtId="0" fontId="13" fillId="75" borderId="0" applyNumberFormat="0" applyBorder="0" applyAlignment="0" applyProtection="0"/>
    <xf numFmtId="0" fontId="106" fillId="75" borderId="0" applyNumberFormat="0" applyBorder="0" applyAlignment="0" applyProtection="0"/>
    <xf numFmtId="0" fontId="13" fillId="75" borderId="0" applyNumberFormat="0" applyBorder="0" applyAlignment="0" applyProtection="0"/>
    <xf numFmtId="0" fontId="13" fillId="75" borderId="0" applyNumberFormat="0" applyBorder="0" applyAlignment="0" applyProtection="0"/>
    <xf numFmtId="0" fontId="13" fillId="75" borderId="0" applyNumberFormat="0" applyBorder="0" applyAlignment="0" applyProtection="0"/>
    <xf numFmtId="0" fontId="13" fillId="75" borderId="0" applyNumberFormat="0" applyBorder="0" applyAlignment="0" applyProtection="0"/>
    <xf numFmtId="0" fontId="13" fillId="75" borderId="0" applyNumberFormat="0" applyBorder="0" applyAlignment="0" applyProtection="0"/>
    <xf numFmtId="0" fontId="13" fillId="75" borderId="0" applyNumberFormat="0" applyBorder="0" applyAlignment="0" applyProtection="0"/>
    <xf numFmtId="0" fontId="13"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3" fillId="75" borderId="0" applyNumberFormat="0" applyBorder="0" applyAlignment="0" applyProtection="0"/>
    <xf numFmtId="0" fontId="13" fillId="75" borderId="0" applyNumberFormat="0" applyBorder="0" applyAlignment="0" applyProtection="0"/>
    <xf numFmtId="0" fontId="13" fillId="75" borderId="0" applyNumberFormat="0" applyBorder="0" applyAlignment="0" applyProtection="0"/>
    <xf numFmtId="0" fontId="13" fillId="75" borderId="0" applyNumberFormat="0" applyBorder="0" applyAlignment="0" applyProtection="0"/>
    <xf numFmtId="0" fontId="13" fillId="75" borderId="0" applyNumberFormat="0" applyBorder="0" applyAlignment="0" applyProtection="0"/>
    <xf numFmtId="0" fontId="13" fillId="75" borderId="0" applyNumberFormat="0" applyBorder="0" applyAlignment="0" applyProtection="0"/>
    <xf numFmtId="0" fontId="13" fillId="75" borderId="0" applyNumberFormat="0" applyBorder="0" applyAlignment="0" applyProtection="0"/>
    <xf numFmtId="0" fontId="13" fillId="75" borderId="0" applyNumberFormat="0" applyBorder="0" applyAlignment="0" applyProtection="0"/>
    <xf numFmtId="0" fontId="13"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7" fillId="49"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0" fontId="106" fillId="75" borderId="0" applyNumberFormat="0" applyBorder="0" applyAlignment="0" applyProtection="0"/>
    <xf numFmtId="190" fontId="13" fillId="75" borderId="0" applyNumberFormat="0" applyBorder="0" applyAlignment="0" applyProtection="0"/>
    <xf numFmtId="0" fontId="106" fillId="75" borderId="0" applyNumberFormat="0" applyBorder="0" applyAlignment="0" applyProtection="0"/>
    <xf numFmtId="0" fontId="13" fillId="75" borderId="0" applyNumberFormat="0" applyBorder="0" applyAlignment="0" applyProtection="0"/>
    <xf numFmtId="0" fontId="13" fillId="75" borderId="0" applyNumberFormat="0" applyBorder="0" applyAlignment="0" applyProtection="0"/>
    <xf numFmtId="0" fontId="13" fillId="75" borderId="0" applyNumberFormat="0" applyBorder="0" applyAlignment="0" applyProtection="0"/>
    <xf numFmtId="0" fontId="13" fillId="75" borderId="0" applyNumberFormat="0" applyBorder="0" applyAlignment="0" applyProtection="0"/>
    <xf numFmtId="0" fontId="13" fillId="75" borderId="0" applyNumberFormat="0" applyBorder="0" applyAlignment="0" applyProtection="0"/>
    <xf numFmtId="0" fontId="107" fillId="49" borderId="0" applyNumberFormat="0" applyBorder="0" applyAlignment="0" applyProtection="0"/>
    <xf numFmtId="0" fontId="13" fillId="75" borderId="0" applyNumberFormat="0" applyBorder="0" applyAlignment="0" applyProtection="0"/>
    <xf numFmtId="190" fontId="13" fillId="75" borderId="0" applyNumberFormat="0" applyBorder="0" applyAlignment="0" applyProtection="0"/>
    <xf numFmtId="0" fontId="13" fillId="75" borderId="0" applyNumberFormat="0" applyBorder="0" applyAlignment="0" applyProtection="0"/>
    <xf numFmtId="0" fontId="13" fillId="75" borderId="0" applyNumberFormat="0" applyBorder="0" applyAlignment="0" applyProtection="0"/>
    <xf numFmtId="0" fontId="13" fillId="75" borderId="0" applyNumberFormat="0" applyBorder="0" applyAlignment="0" applyProtection="0"/>
    <xf numFmtId="0" fontId="13" fillId="75" borderId="0" applyNumberFormat="0" applyBorder="0" applyAlignment="0" applyProtection="0"/>
    <xf numFmtId="0" fontId="13" fillId="75" borderId="0" applyNumberFormat="0" applyBorder="0" applyAlignment="0" applyProtection="0"/>
    <xf numFmtId="0" fontId="107" fillId="49" borderId="0" applyNumberFormat="0" applyBorder="0" applyAlignment="0" applyProtection="0"/>
    <xf numFmtId="0" fontId="13" fillId="75" borderId="0" applyNumberFormat="0" applyBorder="0" applyAlignment="0" applyProtection="0"/>
    <xf numFmtId="0" fontId="91" fillId="49" borderId="0" applyNumberFormat="0" applyBorder="0" applyAlignment="0" applyProtection="0"/>
    <xf numFmtId="0" fontId="107" fillId="49" borderId="0" applyNumberFormat="0" applyBorder="0" applyAlignment="0" applyProtection="0"/>
    <xf numFmtId="0" fontId="107" fillId="49" borderId="0" applyNumberFormat="0" applyBorder="0" applyAlignment="0" applyProtection="0"/>
    <xf numFmtId="0" fontId="107" fillId="49" borderId="0" applyNumberFormat="0" applyBorder="0" applyAlignment="0" applyProtection="0"/>
    <xf numFmtId="195" fontId="95" fillId="0" borderId="0" applyFill="0" applyBorder="0" applyAlignment="0"/>
    <xf numFmtId="43" fontId="95" fillId="0" borderId="0" applyFont="0" applyFill="0" applyBorder="0" applyAlignment="0" applyProtection="0"/>
    <xf numFmtId="19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84" fillId="25" borderId="42"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10" fillId="25" borderId="42"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09" fillId="59" borderId="48" applyNumberFormat="0" applyAlignment="0" applyProtection="0"/>
    <xf numFmtId="190" fontId="109" fillId="59" borderId="48" applyNumberFormat="0" applyAlignment="0" applyProtection="0"/>
    <xf numFmtId="0" fontId="109" fillId="59" borderId="48"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10" fillId="25" borderId="42" applyNumberFormat="0" applyAlignment="0" applyProtection="0"/>
    <xf numFmtId="0" fontId="13" fillId="0" borderId="0" applyNumberFormat="0" applyFont="0" applyFill="0" applyBorder="0" applyAlignment="0" applyProtection="0"/>
    <xf numFmtId="190" fontId="109" fillId="59" borderId="48"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09" fillId="59" borderId="48" applyNumberFormat="0" applyAlignment="0" applyProtection="0"/>
    <xf numFmtId="0" fontId="109" fillId="59" borderId="48" applyNumberFormat="0" applyAlignment="0" applyProtection="0"/>
    <xf numFmtId="0" fontId="110" fillId="25" borderId="42" applyNumberFormat="0" applyAlignment="0" applyProtection="0"/>
    <xf numFmtId="0" fontId="13" fillId="0" borderId="0" applyNumberFormat="0" applyFont="0" applyFill="0" applyBorder="0" applyAlignment="0" applyProtection="0"/>
    <xf numFmtId="0" fontId="84" fillId="25" borderId="42" applyNumberFormat="0" applyAlignment="0" applyProtection="0"/>
    <xf numFmtId="0" fontId="110" fillId="25" borderId="42" applyNumberFormat="0" applyAlignment="0" applyProtection="0"/>
    <xf numFmtId="0" fontId="110" fillId="25" borderId="42" applyNumberFormat="0" applyAlignment="0" applyProtection="0"/>
    <xf numFmtId="0" fontId="110" fillId="25" borderId="42" applyNumberFormat="0" applyAlignment="0" applyProtection="0"/>
    <xf numFmtId="190" fontId="111" fillId="58" borderId="4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85" fillId="26" borderId="43"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58"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58"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2" fillId="26" borderId="43" applyNumberFormat="0" applyAlignment="0" applyProtection="0"/>
    <xf numFmtId="0" fontId="113" fillId="0" borderId="43"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11" fillId="76" borderId="49" applyNumberFormat="0" applyAlignment="0" applyProtection="0"/>
    <xf numFmtId="0" fontId="111" fillId="76" borderId="49" applyNumberFormat="0" applyAlignment="0" applyProtection="0"/>
    <xf numFmtId="0" fontId="111" fillId="76" borderId="49" applyNumberFormat="0" applyAlignment="0" applyProtection="0"/>
    <xf numFmtId="190" fontId="111" fillId="58" borderId="49" applyNumberFormat="0" applyAlignment="0" applyProtection="0"/>
    <xf numFmtId="0" fontId="111" fillId="76" borderId="4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1" fillId="58" borderId="49" applyNumberFormat="0" applyAlignment="0" applyProtection="0"/>
    <xf numFmtId="0" fontId="111" fillId="58" borderId="49" applyNumberFormat="0" applyAlignment="0" applyProtection="0"/>
    <xf numFmtId="0" fontId="112" fillId="26" borderId="43" applyNumberFormat="0" applyAlignment="0" applyProtection="0"/>
    <xf numFmtId="0" fontId="13" fillId="0" borderId="0" applyNumberFormat="0" applyFont="0" applyFill="0" applyBorder="0" applyAlignment="0" applyProtection="0"/>
    <xf numFmtId="190" fontId="111" fillId="58" borderId="4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1" fillId="58" borderId="49" applyNumberFormat="0" applyAlignment="0" applyProtection="0"/>
    <xf numFmtId="0" fontId="111" fillId="58" borderId="49" applyNumberFormat="0" applyAlignment="0" applyProtection="0"/>
    <xf numFmtId="0" fontId="112" fillId="26" borderId="43" applyNumberFormat="0" applyAlignment="0" applyProtection="0"/>
    <xf numFmtId="0" fontId="13" fillId="0" borderId="0" applyNumberFormat="0" applyFont="0" applyFill="0" applyBorder="0" applyAlignment="0" applyProtection="0"/>
    <xf numFmtId="0" fontId="85" fillId="26" borderId="43" applyNumberFormat="0" applyAlignment="0" applyProtection="0"/>
    <xf numFmtId="0" fontId="112" fillId="26" borderId="43" applyNumberFormat="0" applyAlignment="0" applyProtection="0"/>
    <xf numFmtId="0" fontId="113" fillId="0" borderId="43" applyNumberFormat="0" applyFill="0" applyAlignment="0" applyProtection="0"/>
    <xf numFmtId="0" fontId="113" fillId="0" borderId="43" applyNumberFormat="0" applyFill="0" applyAlignment="0" applyProtection="0"/>
    <xf numFmtId="0" fontId="112" fillId="26" borderId="43" applyNumberFormat="0" applyAlignment="0" applyProtection="0"/>
    <xf numFmtId="0" fontId="113" fillId="0" borderId="43" applyNumberFormat="0" applyFill="0" applyAlignment="0" applyProtection="0"/>
    <xf numFmtId="190" fontId="114" fillId="55"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81" fillId="22"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3" fillId="0" borderId="0" applyNumberFormat="0" applyFont="0" applyFill="0" applyBorder="0" applyAlignment="0" applyProtection="0"/>
    <xf numFmtId="0" fontId="114" fillId="55"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3" fillId="0" borderId="0" applyNumberFormat="0" applyFont="0" applyFill="0" applyBorder="0" applyAlignment="0" applyProtection="0"/>
    <xf numFmtId="0" fontId="114" fillId="55" borderId="0" applyNumberFormat="0" applyBorder="0" applyAlignment="0" applyProtection="0"/>
    <xf numFmtId="0" fontId="13" fillId="0" borderId="0" applyNumberFormat="0" applyFont="0" applyFill="0" applyBorder="0" applyAlignment="0" applyProtection="0"/>
    <xf numFmtId="0" fontId="114" fillId="55" borderId="0" applyNumberFormat="0" applyBorder="0" applyAlignment="0" applyProtection="0"/>
    <xf numFmtId="0" fontId="13" fillId="0" borderId="0" applyNumberFormat="0" applyFont="0" applyFill="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5" fillId="22" borderId="0" applyNumberFormat="0" applyBorder="0" applyAlignment="0" applyProtection="0"/>
    <xf numFmtId="0" fontId="115"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4" fillId="55" borderId="0" applyNumberFormat="0" applyBorder="0" applyAlignment="0" applyProtection="0"/>
    <xf numFmtId="0" fontId="114" fillId="55" borderId="0" applyNumberFormat="0" applyBorder="0" applyAlignment="0" applyProtection="0"/>
    <xf numFmtId="190" fontId="114" fillId="55" borderId="0" applyNumberFormat="0" applyBorder="0" applyAlignment="0" applyProtection="0"/>
    <xf numFmtId="0" fontId="114" fillId="55"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5" fillId="22" borderId="0" applyNumberFormat="0" applyBorder="0" applyAlignment="0" applyProtection="0"/>
    <xf numFmtId="0" fontId="13" fillId="0" borderId="0" applyNumberFormat="0" applyFont="0" applyFill="0" applyBorder="0" applyAlignment="0" applyProtection="0"/>
    <xf numFmtId="190" fontId="114" fillId="55"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5" fillId="22" borderId="0" applyNumberFormat="0" applyBorder="0" applyAlignment="0" applyProtection="0"/>
    <xf numFmtId="0" fontId="13" fillId="0" borderId="0" applyNumberFormat="0" applyFont="0" applyFill="0" applyBorder="0" applyAlignment="0" applyProtection="0"/>
    <xf numFmtId="0" fontId="81" fillId="22" borderId="0" applyNumberFormat="0" applyBorder="0" applyAlignment="0" applyProtection="0"/>
    <xf numFmtId="0" fontId="115" fillId="22" borderId="0" applyNumberFormat="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22" borderId="0" applyNumberFormat="0" applyBorder="0" applyAlignment="0" applyProtection="0"/>
    <xf numFmtId="0" fontId="115" fillId="0" borderId="0" applyNumberFormat="0" applyFill="0" applyBorder="0" applyAlignment="0" applyProtection="0"/>
    <xf numFmtId="196" fontId="116" fillId="0" borderId="0">
      <alignment horizontal="center"/>
    </xf>
    <xf numFmtId="197" fontId="99" fillId="0" borderId="0" applyFont="0" applyFill="0" applyBorder="0" applyAlignment="0" applyProtection="0"/>
    <xf numFmtId="198" fontId="9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99" fillId="0" borderId="0" applyFont="0" applyFill="0" applyBorder="0" applyAlignment="0" applyProtection="0"/>
    <xf numFmtId="0" fontId="13" fillId="0" borderId="0" applyNumberFormat="0" applyFont="0" applyFill="0" applyBorder="0" applyAlignment="0" applyProtection="0"/>
    <xf numFmtId="43" fontId="99" fillId="0" borderId="0" applyFont="0" applyFill="0" applyBorder="0" applyAlignment="0" applyProtection="0"/>
    <xf numFmtId="0" fontId="13" fillId="0" borderId="0" applyNumberFormat="0" applyFont="0" applyFill="0" applyBorder="0" applyAlignment="0" applyProtection="0"/>
    <xf numFmtId="43" fontId="99" fillId="0" borderId="0" applyFont="0" applyFill="0" applyBorder="0" applyAlignment="0" applyProtection="0"/>
    <xf numFmtId="0" fontId="13" fillId="0" borderId="0" applyNumberFormat="0" applyFont="0" applyFill="0" applyBorder="0" applyAlignment="0" applyProtection="0"/>
    <xf numFmtId="43" fontId="99" fillId="0" borderId="0" applyFont="0" applyFill="0" applyBorder="0" applyAlignment="0" applyProtection="0"/>
    <xf numFmtId="0" fontId="13" fillId="0" borderId="0" applyNumberFormat="0" applyFont="0" applyFill="0" applyBorder="0" applyAlignment="0" applyProtection="0"/>
    <xf numFmtId="43" fontId="99" fillId="0" borderId="0" applyFont="0" applyFill="0" applyBorder="0" applyAlignment="0" applyProtection="0"/>
    <xf numFmtId="0" fontId="13" fillId="0" borderId="0" applyNumberFormat="0" applyFont="0" applyFill="0" applyBorder="0" applyAlignment="0" applyProtection="0"/>
    <xf numFmtId="43" fontId="99" fillId="0" borderId="0" applyFont="0" applyFill="0" applyBorder="0" applyAlignment="0" applyProtection="0"/>
    <xf numFmtId="0" fontId="13" fillId="0" borderId="0" applyNumberFormat="0" applyFont="0" applyFill="0" applyBorder="0" applyAlignment="0" applyProtection="0"/>
    <xf numFmtId="43" fontId="99" fillId="0" borderId="0" applyFont="0" applyFill="0" applyBorder="0" applyAlignment="0" applyProtection="0"/>
    <xf numFmtId="0" fontId="13" fillId="0" borderId="0" applyNumberFormat="0" applyFont="0" applyFill="0" applyBorder="0" applyAlignment="0" applyProtection="0"/>
    <xf numFmtId="43" fontId="99" fillId="0" borderId="0" applyFont="0" applyFill="0" applyBorder="0" applyAlignment="0" applyProtection="0"/>
    <xf numFmtId="0" fontId="13" fillId="0" borderId="0" applyNumberFormat="0" applyFont="0" applyFill="0" applyBorder="0" applyAlignment="0" applyProtection="0"/>
    <xf numFmtId="43" fontId="99" fillId="0" borderId="0" applyFont="0" applyFill="0" applyBorder="0" applyAlignment="0" applyProtection="0"/>
    <xf numFmtId="43" fontId="117" fillId="0" borderId="0" applyFont="0" applyFill="0" applyBorder="0" applyAlignment="0" applyProtection="0"/>
    <xf numFmtId="43" fontId="99" fillId="0" borderId="0" applyFont="0" applyFill="0" applyBorder="0" applyAlignment="0" applyProtection="0"/>
    <xf numFmtId="0" fontId="13" fillId="0" borderId="0" applyNumberFormat="0" applyFont="0" applyFill="0" applyBorder="0" applyAlignment="0" applyProtection="0"/>
    <xf numFmtId="43" fontId="9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43" fontId="96" fillId="0" borderId="0" applyFont="0" applyFill="0" applyBorder="0" applyAlignment="0" applyProtection="0"/>
    <xf numFmtId="0" fontId="13" fillId="0" borderId="0" applyNumberFormat="0" applyFont="0" applyFill="0" applyBorder="0" applyAlignment="0" applyProtection="0"/>
    <xf numFmtId="43" fontId="95"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43" fontId="96"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43" fontId="96" fillId="0" borderId="0" applyFont="0" applyFill="0" applyBorder="0" applyAlignment="0" applyProtection="0"/>
    <xf numFmtId="0" fontId="13" fillId="0" borderId="0" applyNumberFormat="0" applyFont="0" applyFill="0" applyBorder="0" applyAlignment="0" applyProtection="0"/>
    <xf numFmtId="43" fontId="96" fillId="0" borderId="0" applyFont="0" applyFill="0" applyBorder="0" applyAlignment="0" applyProtection="0"/>
    <xf numFmtId="43" fontId="117"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13"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43" fontId="99" fillId="0" borderId="0" applyFont="0" applyFill="0" applyBorder="0" applyAlignment="0" applyProtection="0"/>
    <xf numFmtId="0" fontId="13" fillId="0" borderId="0" applyNumberFormat="0" applyFont="0" applyFill="0" applyBorder="0" applyAlignment="0" applyProtection="0"/>
    <xf numFmtId="43" fontId="99"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165" fontId="99" fillId="0" borderId="0" applyFont="0" applyFill="0" applyBorder="0" applyAlignment="0" applyProtection="0"/>
    <xf numFmtId="43" fontId="95"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applyNumberFormat="0" applyFont="0" applyFill="0" applyBorder="0" applyAlignment="0" applyProtection="0"/>
    <xf numFmtId="43" fontId="99"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13" fillId="0" borderId="0" applyFont="0" applyFill="0" applyBorder="0" applyAlignment="0" applyProtection="0"/>
    <xf numFmtId="0" fontId="13" fillId="0" borderId="0" applyNumberFormat="0" applyFont="0" applyFill="0" applyBorder="0" applyAlignment="0" applyProtection="0"/>
    <xf numFmtId="43" fontId="9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applyNumberFormat="0" applyFont="0" applyFill="0" applyBorder="0" applyAlignment="0" applyProtection="0"/>
    <xf numFmtId="43" fontId="96" fillId="0" borderId="0" applyFont="0" applyFill="0" applyBorder="0" applyAlignment="0" applyProtection="0"/>
    <xf numFmtId="0" fontId="13" fillId="0" borderId="0" applyNumberFormat="0" applyFont="0" applyFill="0" applyBorder="0" applyAlignment="0" applyProtection="0"/>
    <xf numFmtId="43" fontId="96" fillId="0" borderId="0" applyFont="0" applyFill="0" applyBorder="0" applyAlignment="0" applyProtection="0"/>
    <xf numFmtId="0" fontId="13" fillId="0" borderId="0" applyNumberFormat="0" applyFont="0" applyFill="0" applyBorder="0" applyAlignment="0" applyProtection="0"/>
    <xf numFmtId="43" fontId="99" fillId="0" borderId="0" applyFont="0" applyFill="0" applyBorder="0" applyAlignment="0" applyProtection="0"/>
    <xf numFmtId="0" fontId="13" fillId="0" borderId="0" applyNumberFormat="0" applyFont="0" applyFill="0" applyBorder="0" applyAlignment="0" applyProtection="0"/>
    <xf numFmtId="43" fontId="99" fillId="0" borderId="0" applyFont="0" applyFill="0" applyBorder="0" applyAlignment="0" applyProtection="0"/>
    <xf numFmtId="43" fontId="6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67" fillId="0" borderId="0" applyFont="0" applyFill="0" applyBorder="0" applyAlignment="0" applyProtection="0"/>
    <xf numFmtId="43" fontId="99" fillId="0" borderId="0" applyFont="0" applyFill="0" applyBorder="0" applyAlignment="0" applyProtection="0"/>
    <xf numFmtId="0" fontId="13" fillId="0" borderId="0" applyNumberFormat="0" applyFont="0" applyFill="0" applyBorder="0" applyAlignment="0" applyProtection="0"/>
    <xf numFmtId="43" fontId="67" fillId="0" borderId="0" applyFont="0" applyFill="0" applyBorder="0" applyAlignment="0" applyProtection="0"/>
    <xf numFmtId="43" fontId="99" fillId="0" borderId="0" applyFont="0" applyFill="0" applyBorder="0" applyAlignment="0" applyProtection="0"/>
    <xf numFmtId="0" fontId="13" fillId="0" borderId="0" applyNumberFormat="0" applyFont="0" applyFill="0" applyBorder="0" applyAlignment="0" applyProtection="0"/>
    <xf numFmtId="43" fontId="99" fillId="0" borderId="0" applyFont="0" applyFill="0" applyBorder="0" applyAlignment="0" applyProtection="0"/>
    <xf numFmtId="0" fontId="13" fillId="0" borderId="0" applyNumberFormat="0" applyFont="0" applyFill="0" applyBorder="0" applyAlignment="0" applyProtection="0"/>
    <xf numFmtId="43" fontId="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43" fontId="67"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9" fillId="0" borderId="0" applyFont="0" applyFill="0" applyBorder="0" applyAlignment="0" applyProtection="0"/>
    <xf numFmtId="43" fontId="67" fillId="0" borderId="0" applyFont="0" applyFill="0" applyBorder="0" applyAlignment="0" applyProtection="0"/>
    <xf numFmtId="43" fontId="99"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applyNumberFormat="0" applyFont="0" applyFill="0" applyBorder="0" applyAlignment="0" applyProtection="0"/>
    <xf numFmtId="165" fontId="99" fillId="0" borderId="0" applyFont="0" applyFill="0" applyBorder="0" applyAlignment="0" applyProtection="0"/>
    <xf numFmtId="43" fontId="99"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119" fillId="0" borderId="0" applyFont="0" applyFill="0" applyBorder="0" applyAlignment="0" applyProtection="0"/>
    <xf numFmtId="0" fontId="120" fillId="0" borderId="0" applyNumberFormat="0" applyFill="0" applyBorder="0" applyAlignment="0" applyProtection="0"/>
    <xf numFmtId="190" fontId="99" fillId="0" borderId="0" applyFont="0" applyFill="0" applyBorder="0" applyAlignment="0" applyProtection="0"/>
    <xf numFmtId="177" fontId="95" fillId="0" borderId="0" applyFont="0" applyFill="0" applyBorder="0" applyAlignment="0" applyProtection="0"/>
    <xf numFmtId="177" fontId="99" fillId="0" borderId="0" applyFont="0" applyFill="0" applyBorder="0" applyAlignment="0" applyProtection="0"/>
    <xf numFmtId="0" fontId="99" fillId="0" borderId="0" applyFont="0" applyFill="0" applyBorder="0" applyAlignment="0" applyProtection="0"/>
    <xf numFmtId="177" fontId="99"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21" fillId="0" borderId="0" applyNumberFormat="0" applyFill="0" applyBorder="0" applyProtection="0">
      <alignment vertical="top"/>
    </xf>
    <xf numFmtId="3" fontId="122" fillId="77" borderId="0" applyNumberFormat="0" applyFont="0" applyBorder="0" applyAlignment="0">
      <protection hidden="1"/>
    </xf>
    <xf numFmtId="0" fontId="118" fillId="0" borderId="1">
      <alignment horizontal="center"/>
    </xf>
    <xf numFmtId="38" fontId="123" fillId="78" borderId="0" applyNumberFormat="0" applyBorder="0" applyAlignment="0" applyProtection="0"/>
    <xf numFmtId="3" fontId="124" fillId="0" borderId="0"/>
    <xf numFmtId="0" fontId="125" fillId="0" borderId="7" applyNumberFormat="0" applyAlignment="0" applyProtection="0">
      <alignment horizontal="left" vertical="center"/>
    </xf>
    <xf numFmtId="0" fontId="125" fillId="0" borderId="50">
      <alignment horizontal="left" vertical="center"/>
    </xf>
    <xf numFmtId="0" fontId="126" fillId="0" borderId="0"/>
    <xf numFmtId="0" fontId="127" fillId="0" borderId="0"/>
    <xf numFmtId="0" fontId="128" fillId="0" borderId="0"/>
    <xf numFmtId="0" fontId="129" fillId="0" borderId="0"/>
    <xf numFmtId="0" fontId="130" fillId="0" borderId="0"/>
    <xf numFmtId="190" fontId="131" fillId="0" borderId="0" applyNumberFormat="0" applyFill="0" applyBorder="0" applyAlignment="0" applyProtection="0">
      <alignment vertical="top"/>
      <protection locked="0"/>
    </xf>
    <xf numFmtId="199" fontId="132" fillId="0" borderId="0"/>
    <xf numFmtId="0" fontId="133" fillId="0" borderId="0" applyNumberFormat="0" applyFill="0" applyBorder="0" applyAlignment="0" applyProtection="0"/>
    <xf numFmtId="10" fontId="123" fillId="79" borderId="51" applyNumberFormat="0" applyBorder="0" applyAlignment="0" applyProtection="0"/>
    <xf numFmtId="42" fontId="134" fillId="0" borderId="0">
      <alignment horizontal="center"/>
    </xf>
    <xf numFmtId="200" fontId="135" fillId="0" borderId="0" applyFont="0" applyFill="0" applyBorder="0" applyAlignment="0" applyProtection="0"/>
    <xf numFmtId="201" fontId="101" fillId="0" borderId="0"/>
    <xf numFmtId="202" fontId="136" fillId="0" borderId="0"/>
    <xf numFmtId="203" fontId="132" fillId="0" borderId="0"/>
    <xf numFmtId="204" fontId="132" fillId="0" borderId="0"/>
    <xf numFmtId="190" fontId="137" fillId="0" borderId="52"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0" borderId="52" applyNumberFormat="0" applyFill="0" applyAlignment="0" applyProtection="0"/>
    <xf numFmtId="0" fontId="137" fillId="0" borderId="52"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0" borderId="52" applyNumberFormat="0" applyFill="0" applyAlignment="0" applyProtection="0"/>
    <xf numFmtId="0" fontId="137" fillId="0" borderId="52"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0" borderId="52" applyNumberFormat="0" applyFill="0" applyAlignment="0" applyProtection="0"/>
    <xf numFmtId="0" fontId="137" fillId="0" borderId="52"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0" borderId="52" applyNumberFormat="0" applyFill="0" applyAlignment="0" applyProtection="0"/>
    <xf numFmtId="0" fontId="137" fillId="0" borderId="52"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0" borderId="52" applyNumberFormat="0" applyFill="0" applyAlignment="0" applyProtection="0"/>
    <xf numFmtId="0" fontId="137" fillId="0" borderId="52"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0" borderId="52" applyNumberFormat="0" applyFill="0" applyAlignment="0" applyProtection="0"/>
    <xf numFmtId="0" fontId="137" fillId="0" borderId="52"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0" borderId="52" applyNumberFormat="0" applyFill="0" applyAlignment="0" applyProtection="0"/>
    <xf numFmtId="0" fontId="137" fillId="0" borderId="52"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0" borderId="52" applyNumberFormat="0" applyFill="0" applyAlignment="0" applyProtection="0"/>
    <xf numFmtId="0" fontId="137" fillId="0" borderId="52"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0" borderId="52" applyNumberFormat="0" applyFill="0" applyAlignment="0" applyProtection="0"/>
    <xf numFmtId="0" fontId="137" fillId="0" borderId="52"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0" borderId="52" applyNumberFormat="0" applyFill="0" applyAlignment="0" applyProtection="0"/>
    <xf numFmtId="0" fontId="137" fillId="0" borderId="52" applyNumberFormat="0" applyFill="0" applyAlignment="0" applyProtection="0"/>
    <xf numFmtId="0" fontId="87" fillId="0" borderId="44"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0" borderId="52" applyNumberFormat="0" applyFill="0" applyAlignment="0" applyProtection="0"/>
    <xf numFmtId="0" fontId="137" fillId="0" borderId="52"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0" borderId="52" applyNumberFormat="0" applyFill="0" applyAlignment="0" applyProtection="0"/>
    <xf numFmtId="0" fontId="137" fillId="0" borderId="52"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0" borderId="52" applyNumberFormat="0" applyFill="0" applyAlignment="0" applyProtection="0"/>
    <xf numFmtId="0" fontId="137" fillId="0" borderId="52"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0" borderId="52" applyNumberFormat="0" applyFill="0" applyAlignment="0" applyProtection="0"/>
    <xf numFmtId="0" fontId="137" fillId="0" borderId="52"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0" borderId="52" applyNumberFormat="0" applyFill="0" applyAlignment="0" applyProtection="0"/>
    <xf numFmtId="0" fontId="137" fillId="0" borderId="52"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0" borderId="52" applyNumberFormat="0" applyFill="0" applyAlignment="0" applyProtection="0"/>
    <xf numFmtId="0" fontId="137" fillId="0" borderId="52"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0" borderId="52" applyNumberFormat="0" applyFill="0" applyAlignment="0" applyProtection="0"/>
    <xf numFmtId="0" fontId="137" fillId="0" borderId="52"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0" borderId="52" applyNumberFormat="0" applyFill="0" applyAlignment="0" applyProtection="0"/>
    <xf numFmtId="0" fontId="137" fillId="0" borderId="52"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0" borderId="52" applyNumberFormat="0" applyFill="0" applyAlignment="0" applyProtection="0"/>
    <xf numFmtId="0" fontId="137" fillId="0" borderId="52"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0" borderId="52" applyNumberFormat="0" applyFill="0" applyAlignment="0" applyProtection="0"/>
    <xf numFmtId="0" fontId="137" fillId="0" borderId="52" applyNumberFormat="0" applyFill="0" applyAlignment="0" applyProtection="0"/>
    <xf numFmtId="0" fontId="13" fillId="0" borderId="0" applyNumberFormat="0" applyFont="0" applyFill="0" applyBorder="0" applyAlignment="0" applyProtection="0"/>
    <xf numFmtId="0" fontId="137" fillId="0" borderId="52"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0" borderId="52" applyNumberFormat="0" applyFill="0" applyAlignment="0" applyProtection="0"/>
    <xf numFmtId="0" fontId="137" fillId="0" borderId="52" applyNumberFormat="0" applyFill="0" applyAlignment="0" applyProtection="0"/>
    <xf numFmtId="0" fontId="13" fillId="0" borderId="0" applyNumberFormat="0" applyFont="0" applyFill="0" applyBorder="0" applyAlignment="0" applyProtection="0"/>
    <xf numFmtId="0" fontId="137" fillId="0" borderId="52" applyNumberFormat="0" applyFill="0" applyAlignment="0" applyProtection="0"/>
    <xf numFmtId="0" fontId="13" fillId="0" borderId="0" applyNumberFormat="0" applyFont="0" applyFill="0" applyBorder="0" applyAlignment="0" applyProtection="0"/>
    <xf numFmtId="0" fontId="137" fillId="0" borderId="52" applyNumberFormat="0" applyFill="0" applyAlignment="0" applyProtection="0"/>
    <xf numFmtId="0" fontId="13" fillId="0" borderId="0" applyNumberFormat="0" applyFont="0" applyFill="0" applyBorder="0" applyAlignment="0" applyProtection="0"/>
    <xf numFmtId="0" fontId="137" fillId="0" borderId="52" applyNumberFormat="0" applyFill="0" applyAlignment="0" applyProtection="0"/>
    <xf numFmtId="0" fontId="137" fillId="0" borderId="52" applyNumberFormat="0" applyFill="0" applyAlignment="0" applyProtection="0"/>
    <xf numFmtId="0" fontId="137" fillId="0" borderId="52"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8" fillId="0" borderId="44"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0" borderId="52" applyNumberFormat="0" applyFill="0" applyAlignment="0" applyProtection="0"/>
    <xf numFmtId="0" fontId="137" fillId="0" borderId="52"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0" borderId="52" applyNumberFormat="0" applyFill="0" applyAlignment="0" applyProtection="0"/>
    <xf numFmtId="0" fontId="137" fillId="0" borderId="52"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0" borderId="52" applyNumberFormat="0" applyFill="0" applyAlignment="0" applyProtection="0"/>
    <xf numFmtId="0" fontId="137" fillId="0" borderId="52"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0" borderId="52" applyNumberFormat="0" applyFill="0" applyAlignment="0" applyProtection="0"/>
    <xf numFmtId="0" fontId="137" fillId="0" borderId="52"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0" borderId="52" applyNumberFormat="0" applyFill="0" applyAlignment="0" applyProtection="0"/>
    <xf numFmtId="0" fontId="137" fillId="0" borderId="52"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0" borderId="52" applyNumberFormat="0" applyFill="0" applyAlignment="0" applyProtection="0"/>
    <xf numFmtId="0" fontId="137" fillId="0" borderId="52" applyNumberFormat="0" applyFill="0" applyAlignment="0" applyProtection="0"/>
    <xf numFmtId="190" fontId="137" fillId="0" borderId="52" applyNumberFormat="0" applyFill="0" applyAlignment="0" applyProtection="0"/>
    <xf numFmtId="0" fontId="137" fillId="0" borderId="52"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0" borderId="52" applyNumberFormat="0" applyFill="0" applyAlignment="0" applyProtection="0"/>
    <xf numFmtId="0" fontId="137" fillId="0" borderId="52" applyNumberFormat="0" applyFill="0" applyAlignment="0" applyProtection="0"/>
    <xf numFmtId="0" fontId="138" fillId="0" borderId="44" applyNumberFormat="0" applyFill="0" applyAlignment="0" applyProtection="0"/>
    <xf numFmtId="0" fontId="13" fillId="0" borderId="0" applyNumberFormat="0" applyFont="0" applyFill="0" applyBorder="0" applyAlignment="0" applyProtection="0"/>
    <xf numFmtId="190" fontId="137" fillId="0" borderId="52"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0" borderId="52" applyNumberFormat="0" applyFill="0" applyAlignment="0" applyProtection="0"/>
    <xf numFmtId="0" fontId="137" fillId="0" borderId="52" applyNumberFormat="0" applyFill="0" applyAlignment="0" applyProtection="0"/>
    <xf numFmtId="0" fontId="138" fillId="0" borderId="44" applyNumberFormat="0" applyFill="0" applyAlignment="0" applyProtection="0"/>
    <xf numFmtId="0" fontId="13" fillId="0" borderId="0" applyNumberFormat="0" applyFont="0" applyFill="0" applyBorder="0" applyAlignment="0" applyProtection="0"/>
    <xf numFmtId="0" fontId="87" fillId="0" borderId="44"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190" fontId="139" fillId="80" borderId="53"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0" fillId="80" borderId="53" applyNumberFormat="0" applyAlignment="0" applyProtection="0"/>
    <xf numFmtId="0" fontId="140" fillId="80" borderId="53"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0" fillId="80" borderId="53" applyNumberFormat="0" applyAlignment="0" applyProtection="0"/>
    <xf numFmtId="0" fontId="140" fillId="80" borderId="53"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0" fillId="80" borderId="53" applyNumberFormat="0" applyAlignment="0" applyProtection="0"/>
    <xf numFmtId="0" fontId="140" fillId="80" borderId="53"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0" fillId="80" borderId="53" applyNumberFormat="0" applyAlignment="0" applyProtection="0"/>
    <xf numFmtId="0" fontId="140" fillId="80" borderId="53"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0" fillId="80" borderId="53" applyNumberFormat="0" applyAlignment="0" applyProtection="0"/>
    <xf numFmtId="0" fontId="140" fillId="80" borderId="53"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0" fillId="80" borderId="53" applyNumberFormat="0" applyAlignment="0" applyProtection="0"/>
    <xf numFmtId="0" fontId="140" fillId="80" borderId="53"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0" fillId="80" borderId="53" applyNumberFormat="0" applyAlignment="0" applyProtection="0"/>
    <xf numFmtId="0" fontId="140" fillId="80" borderId="53"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0" fillId="80" borderId="53" applyNumberFormat="0" applyAlignment="0" applyProtection="0"/>
    <xf numFmtId="0" fontId="140" fillId="80" borderId="53"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0" fillId="80" borderId="53" applyNumberFormat="0" applyAlignment="0" applyProtection="0"/>
    <xf numFmtId="0" fontId="140" fillId="80" borderId="53"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0" fillId="80" borderId="53" applyNumberFormat="0" applyAlignment="0" applyProtection="0"/>
    <xf numFmtId="0" fontId="140" fillId="80" borderId="53" applyNumberFormat="0" applyAlignment="0" applyProtection="0"/>
    <xf numFmtId="0" fontId="88" fillId="27" borderId="45"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0" fillId="80" borderId="53" applyNumberFormat="0" applyAlignment="0" applyProtection="0"/>
    <xf numFmtId="0" fontId="140" fillId="80" borderId="53"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0" fillId="80" borderId="53" applyNumberFormat="0" applyAlignment="0" applyProtection="0"/>
    <xf numFmtId="0" fontId="140" fillId="80" borderId="53"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0" fillId="80" borderId="53" applyNumberFormat="0" applyAlignment="0" applyProtection="0"/>
    <xf numFmtId="0" fontId="140" fillId="80" borderId="53"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0" fillId="80" borderId="53" applyNumberFormat="0" applyAlignment="0" applyProtection="0"/>
    <xf numFmtId="0" fontId="140" fillId="80" borderId="53"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0" fillId="80" borderId="53" applyNumberFormat="0" applyAlignment="0" applyProtection="0"/>
    <xf numFmtId="0" fontId="140" fillId="80" borderId="53"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0" fillId="80" borderId="53" applyNumberFormat="0" applyAlignment="0" applyProtection="0"/>
    <xf numFmtId="0" fontId="140" fillId="80" borderId="53"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0" fillId="80" borderId="53" applyNumberFormat="0" applyAlignment="0" applyProtection="0"/>
    <xf numFmtId="0" fontId="140" fillId="80" borderId="53"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0" fillId="80" borderId="53" applyNumberFormat="0" applyAlignment="0" applyProtection="0"/>
    <xf numFmtId="0" fontId="140" fillId="80" borderId="53"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0" fillId="80" borderId="53" applyNumberFormat="0" applyAlignment="0" applyProtection="0"/>
    <xf numFmtId="0" fontId="140" fillId="80" borderId="53"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0" fillId="80" borderId="53" applyNumberFormat="0" applyAlignment="0" applyProtection="0"/>
    <xf numFmtId="0" fontId="140" fillId="80" borderId="53" applyNumberFormat="0" applyAlignment="0" applyProtection="0"/>
    <xf numFmtId="0" fontId="13" fillId="0" borderId="0" applyNumberFormat="0" applyFont="0" applyFill="0" applyBorder="0" applyAlignment="0" applyProtection="0"/>
    <xf numFmtId="0" fontId="140" fillId="80" borderId="53"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0" fillId="80" borderId="53" applyNumberFormat="0" applyAlignment="0" applyProtection="0"/>
    <xf numFmtId="0" fontId="140" fillId="80" borderId="53" applyNumberFormat="0" applyAlignment="0" applyProtection="0"/>
    <xf numFmtId="0" fontId="13" fillId="0" borderId="0" applyNumberFormat="0" applyFont="0" applyFill="0" applyBorder="0" applyAlignment="0" applyProtection="0"/>
    <xf numFmtId="0" fontId="140" fillId="80" borderId="53" applyNumberFormat="0" applyAlignment="0" applyProtection="0"/>
    <xf numFmtId="0" fontId="13" fillId="0" borderId="0" applyNumberFormat="0" applyFont="0" applyFill="0" applyBorder="0" applyAlignment="0" applyProtection="0"/>
    <xf numFmtId="0" fontId="140" fillId="80" borderId="53" applyNumberFormat="0" applyAlignment="0" applyProtection="0"/>
    <xf numFmtId="0" fontId="13" fillId="0" borderId="0" applyNumberFormat="0" applyFont="0" applyFill="0" applyBorder="0" applyAlignment="0" applyProtection="0"/>
    <xf numFmtId="0" fontId="140" fillId="80" borderId="53"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0" fillId="80" borderId="53" applyNumberFormat="0" applyAlignment="0" applyProtection="0"/>
    <xf numFmtId="0" fontId="140" fillId="80" borderId="53"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9" fillId="80" borderId="53" applyNumberFormat="0" applyAlignment="0" applyProtection="0"/>
    <xf numFmtId="0" fontId="139" fillId="80" borderId="53"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0" fillId="80" borderId="53" applyNumberFormat="0" applyAlignment="0" applyProtection="0"/>
    <xf numFmtId="0" fontId="140" fillId="80" borderId="53"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1" fillId="27" borderId="45" applyNumberFormat="0" applyAlignment="0" applyProtection="0"/>
    <xf numFmtId="0" fontId="107" fillId="0" borderId="45" applyNumberFormat="0" applyFill="0" applyAlignment="0" applyProtection="0"/>
    <xf numFmtId="190" fontId="139" fillId="80" borderId="53"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0" fillId="80" borderId="53" applyNumberFormat="0" applyAlignment="0" applyProtection="0"/>
    <xf numFmtId="0" fontId="140" fillId="80" borderId="53"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0" fillId="80" borderId="53" applyNumberFormat="0" applyAlignment="0" applyProtection="0"/>
    <xf numFmtId="0" fontId="140" fillId="80" borderId="53"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0" fillId="80" borderId="53" applyNumberFormat="0" applyAlignment="0" applyProtection="0"/>
    <xf numFmtId="0" fontId="140" fillId="80" borderId="53"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0" fillId="80" borderId="53" applyNumberFormat="0" applyAlignment="0" applyProtection="0"/>
    <xf numFmtId="0" fontId="140" fillId="80" borderId="53" applyNumberFormat="0" applyAlignment="0" applyProtection="0"/>
    <xf numFmtId="190" fontId="139" fillId="80" borderId="53" applyNumberFormat="0" applyAlignment="0" applyProtection="0"/>
    <xf numFmtId="190" fontId="139" fillId="80" borderId="53" applyNumberFormat="0" applyAlignment="0" applyProtection="0"/>
    <xf numFmtId="0" fontId="140" fillId="80" borderId="53" applyNumberFormat="0" applyAlignment="0" applyProtection="0"/>
    <xf numFmtId="0" fontId="13" fillId="0" borderId="0" applyNumberFormat="0" applyFont="0" applyFill="0" applyBorder="0" applyAlignment="0" applyProtection="0"/>
    <xf numFmtId="0" fontId="140" fillId="80" borderId="53"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9" fillId="80" borderId="53" applyNumberFormat="0" applyAlignment="0" applyProtection="0"/>
    <xf numFmtId="0" fontId="139" fillId="80" borderId="53" applyNumberFormat="0" applyAlignment="0" applyProtection="0"/>
    <xf numFmtId="0" fontId="141" fillId="27" borderId="45" applyNumberFormat="0" applyAlignment="0" applyProtection="0"/>
    <xf numFmtId="0" fontId="13" fillId="0" borderId="0" applyNumberFormat="0" applyFont="0" applyFill="0" applyBorder="0" applyAlignment="0" applyProtection="0"/>
    <xf numFmtId="190" fontId="139" fillId="80" borderId="53" applyNumberFormat="0" applyAlignment="0" applyProtection="0"/>
    <xf numFmtId="190" fontId="139" fillId="80" borderId="53"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9" fillId="80" borderId="53" applyNumberFormat="0" applyAlignment="0" applyProtection="0"/>
    <xf numFmtId="0" fontId="139" fillId="80" borderId="53" applyNumberFormat="0" applyAlignment="0" applyProtection="0"/>
    <xf numFmtId="0" fontId="141" fillId="27" borderId="45" applyNumberFormat="0" applyAlignment="0" applyProtection="0"/>
    <xf numFmtId="0" fontId="13" fillId="0" borderId="0" applyNumberFormat="0" applyFont="0" applyFill="0" applyBorder="0" applyAlignment="0" applyProtection="0"/>
    <xf numFmtId="0" fontId="88" fillId="27" borderId="45" applyNumberFormat="0" applyAlignment="0" applyProtection="0"/>
    <xf numFmtId="0" fontId="141" fillId="27" borderId="45" applyNumberFormat="0" applyAlignment="0" applyProtection="0"/>
    <xf numFmtId="0" fontId="107" fillId="0" borderId="45" applyNumberFormat="0" applyFill="0" applyAlignment="0" applyProtection="0"/>
    <xf numFmtId="0" fontId="107" fillId="0" borderId="45" applyNumberFormat="0" applyFill="0" applyAlignment="0" applyProtection="0"/>
    <xf numFmtId="0" fontId="141" fillId="27" borderId="45" applyNumberFormat="0" applyAlignment="0" applyProtection="0"/>
    <xf numFmtId="0" fontId="107" fillId="0" borderId="45" applyNumberFormat="0" applyFill="0" applyAlignment="0" applyProtection="0"/>
    <xf numFmtId="1" fontId="142" fillId="81" borderId="0"/>
    <xf numFmtId="205" fontId="95" fillId="0" borderId="0" applyFont="0" applyFill="0" applyBorder="0" applyAlignment="0" applyProtection="0"/>
    <xf numFmtId="196" fontId="143" fillId="0" borderId="0"/>
    <xf numFmtId="38" fontId="104" fillId="0" borderId="0" applyFont="0" applyFill="0" applyBorder="0" applyAlignment="0" applyProtection="0"/>
    <xf numFmtId="206" fontId="144" fillId="0" borderId="0" applyFont="0" applyFill="0" applyBorder="0" applyAlignment="0" applyProtection="0"/>
    <xf numFmtId="207" fontId="144" fillId="0" borderId="0" applyFont="0" applyFill="0" applyBorder="0" applyAlignment="0" applyProtection="0"/>
    <xf numFmtId="208" fontId="144" fillId="0" borderId="0" applyFont="0" applyFill="0" applyBorder="0" applyAlignment="0" applyProtection="0"/>
    <xf numFmtId="209" fontId="144" fillId="0" borderId="0" applyFont="0" applyFill="0" applyBorder="0" applyAlignment="0" applyProtection="0"/>
    <xf numFmtId="190" fontId="145" fillId="0" borderId="54"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6" fillId="0" borderId="55" applyNumberFormat="0" applyFill="0" applyAlignment="0" applyProtection="0"/>
    <xf numFmtId="0" fontId="146" fillId="0" borderId="55"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6" fillId="0" borderId="55" applyNumberFormat="0" applyFill="0" applyAlignment="0" applyProtection="0"/>
    <xf numFmtId="0" fontId="146" fillId="0" borderId="55"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6" fillId="0" borderId="55" applyNumberFormat="0" applyFill="0" applyAlignment="0" applyProtection="0"/>
    <xf numFmtId="0" fontId="146" fillId="0" borderId="55"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6" fillId="0" borderId="55" applyNumberFormat="0" applyFill="0" applyAlignment="0" applyProtection="0"/>
    <xf numFmtId="0" fontId="146" fillId="0" borderId="55"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6" fillId="0" borderId="55" applyNumberFormat="0" applyFill="0" applyAlignment="0" applyProtection="0"/>
    <xf numFmtId="0" fontId="146" fillId="0" borderId="55"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6" fillId="0" borderId="55" applyNumberFormat="0" applyFill="0" applyAlignment="0" applyProtection="0"/>
    <xf numFmtId="0" fontId="146" fillId="0" borderId="55"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6" fillId="0" borderId="55" applyNumberFormat="0" applyFill="0" applyAlignment="0" applyProtection="0"/>
    <xf numFmtId="0" fontId="146" fillId="0" borderId="55"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6" fillId="0" borderId="55" applyNumberFormat="0" applyFill="0" applyAlignment="0" applyProtection="0"/>
    <xf numFmtId="0" fontId="146" fillId="0" borderId="55"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6" fillId="0" borderId="55" applyNumberFormat="0" applyFill="0" applyAlignment="0" applyProtection="0"/>
    <xf numFmtId="0" fontId="146" fillId="0" borderId="55"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6" fillId="0" borderId="55" applyNumberFormat="0" applyFill="0" applyAlignment="0" applyProtection="0"/>
    <xf numFmtId="0" fontId="146" fillId="0" borderId="55" applyNumberFormat="0" applyFill="0" applyAlignment="0" applyProtection="0"/>
    <xf numFmtId="0" fontId="78" fillId="0" borderId="39"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6" fillId="0" borderId="55" applyNumberFormat="0" applyFill="0" applyAlignment="0" applyProtection="0"/>
    <xf numFmtId="0" fontId="146" fillId="0" borderId="55"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6" fillId="0" borderId="55" applyNumberFormat="0" applyFill="0" applyAlignment="0" applyProtection="0"/>
    <xf numFmtId="0" fontId="146" fillId="0" borderId="55"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6" fillId="0" borderId="55" applyNumberFormat="0" applyFill="0" applyAlignment="0" applyProtection="0"/>
    <xf numFmtId="0" fontId="146" fillId="0" borderId="55"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6" fillId="0" borderId="55" applyNumberFormat="0" applyFill="0" applyAlignment="0" applyProtection="0"/>
    <xf numFmtId="0" fontId="146" fillId="0" borderId="55"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6" fillId="0" borderId="55" applyNumberFormat="0" applyFill="0" applyAlignment="0" applyProtection="0"/>
    <xf numFmtId="0" fontId="146" fillId="0" borderId="55"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6" fillId="0" borderId="55" applyNumberFormat="0" applyFill="0" applyAlignment="0" applyProtection="0"/>
    <xf numFmtId="0" fontId="146" fillId="0" borderId="55"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6" fillId="0" borderId="55" applyNumberFormat="0" applyFill="0" applyAlignment="0" applyProtection="0"/>
    <xf numFmtId="0" fontId="146" fillId="0" borderId="55"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6" fillId="0" borderId="55" applyNumberFormat="0" applyFill="0" applyAlignment="0" applyProtection="0"/>
    <xf numFmtId="0" fontId="146" fillId="0" borderId="55"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6" fillId="0" borderId="55" applyNumberFormat="0" applyFill="0" applyAlignment="0" applyProtection="0"/>
    <xf numFmtId="0" fontId="146" fillId="0" borderId="55"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6" fillId="0" borderId="55" applyNumberFormat="0" applyFill="0" applyAlignment="0" applyProtection="0"/>
    <xf numFmtId="0" fontId="146" fillId="0" borderId="55" applyNumberFormat="0" applyFill="0" applyAlignment="0" applyProtection="0"/>
    <xf numFmtId="0" fontId="13" fillId="0" borderId="0" applyNumberFormat="0" applyFont="0" applyFill="0" applyBorder="0" applyAlignment="0" applyProtection="0"/>
    <xf numFmtId="0" fontId="146" fillId="0" borderId="55"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6" fillId="0" borderId="55" applyNumberFormat="0" applyFill="0" applyAlignment="0" applyProtection="0"/>
    <xf numFmtId="0" fontId="146" fillId="0" borderId="55" applyNumberFormat="0" applyFill="0" applyAlignment="0" applyProtection="0"/>
    <xf numFmtId="0" fontId="13" fillId="0" borderId="0" applyNumberFormat="0" applyFont="0" applyFill="0" applyBorder="0" applyAlignment="0" applyProtection="0"/>
    <xf numFmtId="0" fontId="146" fillId="0" borderId="55" applyNumberFormat="0" applyFill="0" applyAlignment="0" applyProtection="0"/>
    <xf numFmtId="0" fontId="13" fillId="0" borderId="0" applyNumberFormat="0" applyFont="0" applyFill="0" applyBorder="0" applyAlignment="0" applyProtection="0"/>
    <xf numFmtId="0" fontId="146" fillId="0" borderId="55" applyNumberFormat="0" applyFill="0" applyAlignment="0" applyProtection="0"/>
    <xf numFmtId="0" fontId="13" fillId="0" borderId="0" applyNumberFormat="0" applyFont="0" applyFill="0" applyBorder="0" applyAlignment="0" applyProtection="0"/>
    <xf numFmtId="0" fontId="146" fillId="0" borderId="55"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6" fillId="0" borderId="55" applyNumberFormat="0" applyFill="0" applyAlignment="0" applyProtection="0"/>
    <xf numFmtId="0" fontId="146" fillId="0" borderId="55"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5" fillId="0" borderId="54" applyNumberFormat="0" applyFill="0" applyAlignment="0" applyProtection="0"/>
    <xf numFmtId="0" fontId="145" fillId="0" borderId="54"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6" fillId="0" borderId="55" applyNumberFormat="0" applyFill="0" applyAlignment="0" applyProtection="0"/>
    <xf numFmtId="0" fontId="146" fillId="0" borderId="55"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7" fillId="0" borderId="39" applyNumberFormat="0" applyFill="0" applyAlignment="0" applyProtection="0"/>
    <xf numFmtId="0" fontId="148" fillId="0" borderId="39"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6" fillId="0" borderId="55" applyNumberFormat="0" applyFill="0" applyAlignment="0" applyProtection="0"/>
    <xf numFmtId="0" fontId="146" fillId="0" borderId="55"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6" fillId="0" borderId="55" applyNumberFormat="0" applyFill="0" applyAlignment="0" applyProtection="0"/>
    <xf numFmtId="0" fontId="146" fillId="0" borderId="55"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6" fillId="0" borderId="55" applyNumberFormat="0" applyFill="0" applyAlignment="0" applyProtection="0"/>
    <xf numFmtId="0" fontId="146" fillId="0" borderId="55"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6" fillId="0" borderId="55" applyNumberFormat="0" applyFill="0" applyAlignment="0" applyProtection="0"/>
    <xf numFmtId="0" fontId="146" fillId="0" borderId="55" applyNumberFormat="0" applyFill="0" applyAlignment="0" applyProtection="0"/>
    <xf numFmtId="190" fontId="145" fillId="0" borderId="54" applyNumberFormat="0" applyFill="0" applyAlignment="0" applyProtection="0"/>
    <xf numFmtId="0" fontId="146" fillId="0" borderId="55" applyNumberFormat="0" applyFill="0" applyAlignment="0" applyProtection="0"/>
    <xf numFmtId="0" fontId="145" fillId="0" borderId="54" applyNumberFormat="0" applyFill="0" applyAlignment="0" applyProtection="0"/>
    <xf numFmtId="0" fontId="145" fillId="0" borderId="54" applyNumberFormat="0" applyFill="0" applyAlignment="0" applyProtection="0"/>
    <xf numFmtId="0" fontId="147" fillId="0" borderId="39" applyNumberFormat="0" applyFill="0" applyAlignment="0" applyProtection="0"/>
    <xf numFmtId="0" fontId="13" fillId="0" borderId="0" applyNumberFormat="0" applyFont="0" applyFill="0" applyBorder="0" applyAlignment="0" applyProtection="0"/>
    <xf numFmtId="190" fontId="145" fillId="0" borderId="54" applyNumberFormat="0" applyFill="0" applyAlignment="0" applyProtection="0"/>
    <xf numFmtId="0" fontId="145" fillId="0" borderId="54" applyNumberFormat="0" applyFill="0" applyAlignment="0" applyProtection="0"/>
    <xf numFmtId="0" fontId="145" fillId="0" borderId="54" applyNumberFormat="0" applyFill="0" applyAlignment="0" applyProtection="0"/>
    <xf numFmtId="0" fontId="147" fillId="0" borderId="39" applyNumberFormat="0" applyFill="0" applyAlignment="0" applyProtection="0"/>
    <xf numFmtId="0" fontId="13" fillId="0" borderId="0" applyNumberFormat="0" applyFont="0" applyFill="0" applyBorder="0" applyAlignment="0" applyProtection="0"/>
    <xf numFmtId="0" fontId="78" fillId="0" borderId="39" applyNumberFormat="0" applyFill="0" applyAlignment="0" applyProtection="0"/>
    <xf numFmtId="0" fontId="147" fillId="0" borderId="39" applyNumberFormat="0" applyFill="0" applyAlignment="0" applyProtection="0"/>
    <xf numFmtId="0" fontId="148" fillId="0" borderId="39" applyNumberFormat="0" applyFill="0" applyAlignment="0" applyProtection="0"/>
    <xf numFmtId="0" fontId="148" fillId="0" borderId="39" applyNumberFormat="0" applyFill="0" applyAlignment="0" applyProtection="0"/>
    <xf numFmtId="0" fontId="147" fillId="0" borderId="39" applyNumberFormat="0" applyFill="0" applyAlignment="0" applyProtection="0"/>
    <xf numFmtId="0" fontId="148" fillId="0" borderId="39" applyNumberFormat="0" applyFill="0" applyAlignment="0" applyProtection="0"/>
    <xf numFmtId="190" fontId="149" fillId="0" borderId="56"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0" fillId="0" borderId="57" applyNumberFormat="0" applyFill="0" applyAlignment="0" applyProtection="0"/>
    <xf numFmtId="0" fontId="150" fillId="0" borderId="57"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0" fillId="0" borderId="57" applyNumberFormat="0" applyFill="0" applyAlignment="0" applyProtection="0"/>
    <xf numFmtId="0" fontId="150" fillId="0" borderId="57"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0" fillId="0" borderId="57" applyNumberFormat="0" applyFill="0" applyAlignment="0" applyProtection="0"/>
    <xf numFmtId="0" fontId="150" fillId="0" borderId="57"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0" fillId="0" borderId="57" applyNumberFormat="0" applyFill="0" applyAlignment="0" applyProtection="0"/>
    <xf numFmtId="0" fontId="150" fillId="0" borderId="57"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0" fillId="0" borderId="57" applyNumberFormat="0" applyFill="0" applyAlignment="0" applyProtection="0"/>
    <xf numFmtId="0" fontId="150" fillId="0" borderId="57"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0" fillId="0" borderId="57" applyNumberFormat="0" applyFill="0" applyAlignment="0" applyProtection="0"/>
    <xf numFmtId="0" fontId="150" fillId="0" borderId="57"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0" fillId="0" borderId="57" applyNumberFormat="0" applyFill="0" applyAlignment="0" applyProtection="0"/>
    <xf numFmtId="0" fontId="150" fillId="0" borderId="57"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0" fillId="0" borderId="57" applyNumberFormat="0" applyFill="0" applyAlignment="0" applyProtection="0"/>
    <xf numFmtId="0" fontId="150" fillId="0" borderId="57"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0" fillId="0" borderId="57" applyNumberFormat="0" applyFill="0" applyAlignment="0" applyProtection="0"/>
    <xf numFmtId="0" fontId="150" fillId="0" borderId="57"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0" fillId="0" borderId="57" applyNumberFormat="0" applyFill="0" applyAlignment="0" applyProtection="0"/>
    <xf numFmtId="0" fontId="150" fillId="0" borderId="57" applyNumberFormat="0" applyFill="0" applyAlignment="0" applyProtection="0"/>
    <xf numFmtId="0" fontId="79" fillId="0" borderId="40"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0" fillId="0" borderId="57" applyNumberFormat="0" applyFill="0" applyAlignment="0" applyProtection="0"/>
    <xf numFmtId="0" fontId="150" fillId="0" borderId="57"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0" fillId="0" borderId="57" applyNumberFormat="0" applyFill="0" applyAlignment="0" applyProtection="0"/>
    <xf numFmtId="0" fontId="150" fillId="0" borderId="57"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0" fillId="0" borderId="57" applyNumberFormat="0" applyFill="0" applyAlignment="0" applyProtection="0"/>
    <xf numFmtId="0" fontId="150" fillId="0" borderId="57"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0" fillId="0" borderId="57" applyNumberFormat="0" applyFill="0" applyAlignment="0" applyProtection="0"/>
    <xf numFmtId="0" fontId="150" fillId="0" borderId="57"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0" fillId="0" borderId="57" applyNumberFormat="0" applyFill="0" applyAlignment="0" applyProtection="0"/>
    <xf numFmtId="0" fontId="150" fillId="0" borderId="57"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0" fillId="0" borderId="57" applyNumberFormat="0" applyFill="0" applyAlignment="0" applyProtection="0"/>
    <xf numFmtId="0" fontId="150" fillId="0" borderId="57"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0" fillId="0" borderId="57" applyNumberFormat="0" applyFill="0" applyAlignment="0" applyProtection="0"/>
    <xf numFmtId="0" fontId="150" fillId="0" borderId="57"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0" fillId="0" borderId="57" applyNumberFormat="0" applyFill="0" applyAlignment="0" applyProtection="0"/>
    <xf numFmtId="0" fontId="150" fillId="0" borderId="57"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0" fillId="0" borderId="57" applyNumberFormat="0" applyFill="0" applyAlignment="0" applyProtection="0"/>
    <xf numFmtId="0" fontId="150" fillId="0" borderId="57"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0" fillId="0" borderId="57" applyNumberFormat="0" applyFill="0" applyAlignment="0" applyProtection="0"/>
    <xf numFmtId="0" fontId="150" fillId="0" borderId="57" applyNumberFormat="0" applyFill="0" applyAlignment="0" applyProtection="0"/>
    <xf numFmtId="0" fontId="13" fillId="0" borderId="0" applyNumberFormat="0" applyFont="0" applyFill="0" applyBorder="0" applyAlignment="0" applyProtection="0"/>
    <xf numFmtId="0" fontId="150" fillId="0" borderId="57"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0" fillId="0" borderId="57" applyNumberFormat="0" applyFill="0" applyAlignment="0" applyProtection="0"/>
    <xf numFmtId="0" fontId="150" fillId="0" borderId="57" applyNumberFormat="0" applyFill="0" applyAlignment="0" applyProtection="0"/>
    <xf numFmtId="0" fontId="13" fillId="0" borderId="0" applyNumberFormat="0" applyFont="0" applyFill="0" applyBorder="0" applyAlignment="0" applyProtection="0"/>
    <xf numFmtId="0" fontId="150" fillId="0" borderId="57" applyNumberFormat="0" applyFill="0" applyAlignment="0" applyProtection="0"/>
    <xf numFmtId="0" fontId="13" fillId="0" borderId="0" applyNumberFormat="0" applyFont="0" applyFill="0" applyBorder="0" applyAlignment="0" applyProtection="0"/>
    <xf numFmtId="0" fontId="150" fillId="0" borderId="57" applyNumberFormat="0" applyFill="0" applyAlignment="0" applyProtection="0"/>
    <xf numFmtId="0" fontId="13" fillId="0" borderId="0" applyNumberFormat="0" applyFont="0" applyFill="0" applyBorder="0" applyAlignment="0" applyProtection="0"/>
    <xf numFmtId="0" fontId="150" fillId="0" borderId="57"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0" fillId="0" borderId="57" applyNumberFormat="0" applyFill="0" applyAlignment="0" applyProtection="0"/>
    <xf numFmtId="0" fontId="150" fillId="0" borderId="57"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49" fillId="0" borderId="56" applyNumberFormat="0" applyFill="0" applyAlignment="0" applyProtection="0"/>
    <xf numFmtId="0" fontId="149" fillId="0" borderId="56"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0" fillId="0" borderId="57" applyNumberFormat="0" applyFill="0" applyAlignment="0" applyProtection="0"/>
    <xf numFmtId="0" fontId="150" fillId="0" borderId="57"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1" fillId="0" borderId="40" applyNumberFormat="0" applyFill="0" applyAlignment="0" applyProtection="0"/>
    <xf numFmtId="0" fontId="148" fillId="0" borderId="40"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0" fillId="0" borderId="57" applyNumberFormat="0" applyFill="0" applyAlignment="0" applyProtection="0"/>
    <xf numFmtId="0" fontId="150" fillId="0" borderId="57"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0" fillId="0" borderId="57" applyNumberFormat="0" applyFill="0" applyAlignment="0" applyProtection="0"/>
    <xf numFmtId="0" fontId="150" fillId="0" borderId="57"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0" fillId="0" borderId="57" applyNumberFormat="0" applyFill="0" applyAlignment="0" applyProtection="0"/>
    <xf numFmtId="0" fontId="150" fillId="0" borderId="57"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0" fillId="0" borderId="57" applyNumberFormat="0" applyFill="0" applyAlignment="0" applyProtection="0"/>
    <xf numFmtId="0" fontId="150" fillId="0" borderId="57" applyNumberFormat="0" applyFill="0" applyAlignment="0" applyProtection="0"/>
    <xf numFmtId="190" fontId="149" fillId="0" borderId="56" applyNumberFormat="0" applyFill="0" applyAlignment="0" applyProtection="0"/>
    <xf numFmtId="0" fontId="150" fillId="0" borderId="57" applyNumberFormat="0" applyFill="0" applyAlignment="0" applyProtection="0"/>
    <xf numFmtId="0" fontId="149" fillId="0" borderId="56" applyNumberFormat="0" applyFill="0" applyAlignment="0" applyProtection="0"/>
    <xf numFmtId="0" fontId="149" fillId="0" borderId="56" applyNumberFormat="0" applyFill="0" applyAlignment="0" applyProtection="0"/>
    <xf numFmtId="0" fontId="151" fillId="0" borderId="40" applyNumberFormat="0" applyFill="0" applyAlignment="0" applyProtection="0"/>
    <xf numFmtId="0" fontId="13" fillId="0" borderId="0" applyNumberFormat="0" applyFont="0" applyFill="0" applyBorder="0" applyAlignment="0" applyProtection="0"/>
    <xf numFmtId="190" fontId="149" fillId="0" borderId="56" applyNumberFormat="0" applyFill="0" applyAlignment="0" applyProtection="0"/>
    <xf numFmtId="0" fontId="149" fillId="0" borderId="56" applyNumberFormat="0" applyFill="0" applyAlignment="0" applyProtection="0"/>
    <xf numFmtId="0" fontId="149" fillId="0" borderId="56" applyNumberFormat="0" applyFill="0" applyAlignment="0" applyProtection="0"/>
    <xf numFmtId="0" fontId="151" fillId="0" borderId="40" applyNumberFormat="0" applyFill="0" applyAlignment="0" applyProtection="0"/>
    <xf numFmtId="0" fontId="13" fillId="0" borderId="0" applyNumberFormat="0" applyFont="0" applyFill="0" applyBorder="0" applyAlignment="0" applyProtection="0"/>
    <xf numFmtId="0" fontId="79" fillId="0" borderId="40" applyNumberFormat="0" applyFill="0" applyAlignment="0" applyProtection="0"/>
    <xf numFmtId="0" fontId="151" fillId="0" borderId="40" applyNumberFormat="0" applyFill="0" applyAlignment="0" applyProtection="0"/>
    <xf numFmtId="0" fontId="148" fillId="0" borderId="40" applyNumberFormat="0" applyFill="0" applyAlignment="0" applyProtection="0"/>
    <xf numFmtId="0" fontId="148" fillId="0" borderId="40" applyNumberFormat="0" applyFill="0" applyAlignment="0" applyProtection="0"/>
    <xf numFmtId="0" fontId="151" fillId="0" borderId="40" applyNumberFormat="0" applyFill="0" applyAlignment="0" applyProtection="0"/>
    <xf numFmtId="0" fontId="148" fillId="0" borderId="40" applyNumberFormat="0" applyFill="0" applyAlignment="0" applyProtection="0"/>
    <xf numFmtId="190" fontId="152" fillId="0" borderId="58"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3" fillId="0" borderId="59" applyNumberFormat="0" applyFill="0" applyAlignment="0" applyProtection="0"/>
    <xf numFmtId="0" fontId="153" fillId="0" borderId="59"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3" fillId="0" borderId="59" applyNumberFormat="0" applyFill="0" applyAlignment="0" applyProtection="0"/>
    <xf numFmtId="0" fontId="153" fillId="0" borderId="59"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3" fillId="0" borderId="59" applyNumberFormat="0" applyFill="0" applyAlignment="0" applyProtection="0"/>
    <xf numFmtId="0" fontId="153" fillId="0" borderId="59"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3" fillId="0" borderId="59" applyNumberFormat="0" applyFill="0" applyAlignment="0" applyProtection="0"/>
    <xf numFmtId="0" fontId="153" fillId="0" borderId="59"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3" fillId="0" borderId="59" applyNumberFormat="0" applyFill="0" applyAlignment="0" applyProtection="0"/>
    <xf numFmtId="0" fontId="153" fillId="0" borderId="59"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3" fillId="0" borderId="59" applyNumberFormat="0" applyFill="0" applyAlignment="0" applyProtection="0"/>
    <xf numFmtId="0" fontId="153" fillId="0" borderId="59"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3" fillId="0" borderId="59" applyNumberFormat="0" applyFill="0" applyAlignment="0" applyProtection="0"/>
    <xf numFmtId="0" fontId="153" fillId="0" borderId="59"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3" fillId="0" borderId="59" applyNumberFormat="0" applyFill="0" applyAlignment="0" applyProtection="0"/>
    <xf numFmtId="0" fontId="153" fillId="0" borderId="59"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3" fillId="0" borderId="59" applyNumberFormat="0" applyFill="0" applyAlignment="0" applyProtection="0"/>
    <xf numFmtId="0" fontId="153" fillId="0" borderId="59"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3" fillId="0" borderId="59" applyNumberFormat="0" applyFill="0" applyAlignment="0" applyProtection="0"/>
    <xf numFmtId="0" fontId="153" fillId="0" borderId="59" applyNumberFormat="0" applyFill="0" applyAlignment="0" applyProtection="0"/>
    <xf numFmtId="0" fontId="80" fillId="0" borderId="41"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3" fillId="0" borderId="59" applyNumberFormat="0" applyFill="0" applyAlignment="0" applyProtection="0"/>
    <xf numFmtId="0" fontId="153" fillId="0" borderId="59"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3" fillId="0" borderId="59" applyNumberFormat="0" applyFill="0" applyAlignment="0" applyProtection="0"/>
    <xf numFmtId="0" fontId="153" fillId="0" borderId="59"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3" fillId="0" borderId="59" applyNumberFormat="0" applyFill="0" applyAlignment="0" applyProtection="0"/>
    <xf numFmtId="0" fontId="153" fillId="0" borderId="59"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3" fillId="0" borderId="59" applyNumberFormat="0" applyFill="0" applyAlignment="0" applyProtection="0"/>
    <xf numFmtId="0" fontId="153" fillId="0" borderId="59"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3" fillId="0" borderId="59" applyNumberFormat="0" applyFill="0" applyAlignment="0" applyProtection="0"/>
    <xf numFmtId="0" fontId="153" fillId="0" borderId="59"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3" fillId="0" borderId="59" applyNumberFormat="0" applyFill="0" applyAlignment="0" applyProtection="0"/>
    <xf numFmtId="0" fontId="153" fillId="0" borderId="59"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3" fillId="0" borderId="59" applyNumberFormat="0" applyFill="0" applyAlignment="0" applyProtection="0"/>
    <xf numFmtId="0" fontId="153" fillId="0" borderId="59"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3" fillId="0" borderId="59" applyNumberFormat="0" applyFill="0" applyAlignment="0" applyProtection="0"/>
    <xf numFmtId="0" fontId="153" fillId="0" borderId="59"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3" fillId="0" borderId="59" applyNumberFormat="0" applyFill="0" applyAlignment="0" applyProtection="0"/>
    <xf numFmtId="0" fontId="153" fillId="0" borderId="59"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3" fillId="0" borderId="59" applyNumberFormat="0" applyFill="0" applyAlignment="0" applyProtection="0"/>
    <xf numFmtId="0" fontId="153" fillId="0" borderId="59" applyNumberFormat="0" applyFill="0" applyAlignment="0" applyProtection="0"/>
    <xf numFmtId="0" fontId="13" fillId="0" borderId="0" applyNumberFormat="0" applyFont="0" applyFill="0" applyBorder="0" applyAlignment="0" applyProtection="0"/>
    <xf numFmtId="0" fontId="153" fillId="0" borderId="59"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3" fillId="0" borderId="59" applyNumberFormat="0" applyFill="0" applyAlignment="0" applyProtection="0"/>
    <xf numFmtId="0" fontId="153" fillId="0" borderId="59" applyNumberFormat="0" applyFill="0" applyAlignment="0" applyProtection="0"/>
    <xf numFmtId="0" fontId="13" fillId="0" borderId="0" applyNumberFormat="0" applyFont="0" applyFill="0" applyBorder="0" applyAlignment="0" applyProtection="0"/>
    <xf numFmtId="0" fontId="153" fillId="0" borderId="59" applyNumberFormat="0" applyFill="0" applyAlignment="0" applyProtection="0"/>
    <xf numFmtId="0" fontId="13" fillId="0" borderId="0" applyNumberFormat="0" applyFont="0" applyFill="0" applyBorder="0" applyAlignment="0" applyProtection="0"/>
    <xf numFmtId="0" fontId="153" fillId="0" borderId="59" applyNumberFormat="0" applyFill="0" applyAlignment="0" applyProtection="0"/>
    <xf numFmtId="0" fontId="13" fillId="0" borderId="0" applyNumberFormat="0" applyFont="0" applyFill="0" applyBorder="0" applyAlignment="0" applyProtection="0"/>
    <xf numFmtId="0" fontId="153" fillId="0" borderId="59"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3" fillId="0" borderId="59" applyNumberFormat="0" applyFill="0" applyAlignment="0" applyProtection="0"/>
    <xf numFmtId="0" fontId="153" fillId="0" borderId="59"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2" fillId="0" borderId="58" applyNumberFormat="0" applyFill="0" applyAlignment="0" applyProtection="0"/>
    <xf numFmtId="0" fontId="152" fillId="0" borderId="58"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3" fillId="0" borderId="59" applyNumberFormat="0" applyFill="0" applyAlignment="0" applyProtection="0"/>
    <xf numFmtId="0" fontId="153" fillId="0" borderId="59"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4" fillId="0" borderId="41" applyNumberFormat="0" applyFill="0" applyAlignment="0" applyProtection="0"/>
    <xf numFmtId="0" fontId="148" fillId="0" borderId="41"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3" fillId="0" borderId="59" applyNumberFormat="0" applyFill="0" applyAlignment="0" applyProtection="0"/>
    <xf numFmtId="0" fontId="153" fillId="0" borderId="59"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3" fillId="0" borderId="59" applyNumberFormat="0" applyFill="0" applyAlignment="0" applyProtection="0"/>
    <xf numFmtId="0" fontId="153" fillId="0" borderId="59"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3" fillId="0" borderId="59" applyNumberFormat="0" applyFill="0" applyAlignment="0" applyProtection="0"/>
    <xf numFmtId="0" fontId="153" fillId="0" borderId="59"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3" fillId="0" borderId="59" applyNumberFormat="0" applyFill="0" applyAlignment="0" applyProtection="0"/>
    <xf numFmtId="0" fontId="153" fillId="0" borderId="59" applyNumberFormat="0" applyFill="0" applyAlignment="0" applyProtection="0"/>
    <xf numFmtId="190" fontId="152" fillId="0" borderId="58" applyNumberFormat="0" applyFill="0" applyAlignment="0" applyProtection="0"/>
    <xf numFmtId="0" fontId="153" fillId="0" borderId="59" applyNumberFormat="0" applyFill="0" applyAlignment="0" applyProtection="0"/>
    <xf numFmtId="0" fontId="152" fillId="0" borderId="58" applyNumberFormat="0" applyFill="0" applyAlignment="0" applyProtection="0"/>
    <xf numFmtId="0" fontId="152" fillId="0" borderId="58" applyNumberFormat="0" applyFill="0" applyAlignment="0" applyProtection="0"/>
    <xf numFmtId="0" fontId="154" fillId="0" borderId="41" applyNumberFormat="0" applyFill="0" applyAlignment="0" applyProtection="0"/>
    <xf numFmtId="0" fontId="13" fillId="0" borderId="0" applyNumberFormat="0" applyFont="0" applyFill="0" applyBorder="0" applyAlignment="0" applyProtection="0"/>
    <xf numFmtId="190" fontId="152" fillId="0" borderId="58" applyNumberFormat="0" applyFill="0" applyAlignment="0" applyProtection="0"/>
    <xf numFmtId="0" fontId="152" fillId="0" borderId="58" applyNumberFormat="0" applyFill="0" applyAlignment="0" applyProtection="0"/>
    <xf numFmtId="0" fontId="152" fillId="0" borderId="58" applyNumberFormat="0" applyFill="0" applyAlignment="0" applyProtection="0"/>
    <xf numFmtId="0" fontId="154" fillId="0" borderId="41" applyNumberFormat="0" applyFill="0" applyAlignment="0" applyProtection="0"/>
    <xf numFmtId="0" fontId="13" fillId="0" borderId="0" applyNumberFormat="0" applyFont="0" applyFill="0" applyBorder="0" applyAlignment="0" applyProtection="0"/>
    <xf numFmtId="0" fontId="80" fillId="0" borderId="41" applyNumberFormat="0" applyFill="0" applyAlignment="0" applyProtection="0"/>
    <xf numFmtId="0" fontId="154" fillId="0" borderId="41" applyNumberFormat="0" applyFill="0" applyAlignment="0" applyProtection="0"/>
    <xf numFmtId="0" fontId="148" fillId="0" borderId="41" applyNumberFormat="0" applyFill="0" applyAlignment="0" applyProtection="0"/>
    <xf numFmtId="0" fontId="148" fillId="0" borderId="41" applyNumberFormat="0" applyFill="0" applyAlignment="0" applyProtection="0"/>
    <xf numFmtId="0" fontId="154" fillId="0" borderId="41" applyNumberFormat="0" applyFill="0" applyAlignment="0" applyProtection="0"/>
    <xf numFmtId="0" fontId="148" fillId="0" borderId="41" applyNumberFormat="0" applyFill="0" applyAlignment="0" applyProtection="0"/>
    <xf numFmtId="190" fontId="152"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80"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3" fillId="0" borderId="0" applyNumberFormat="0" applyFont="0" applyFill="0" applyBorder="0" applyAlignment="0" applyProtection="0"/>
    <xf numFmtId="0" fontId="153"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3" fillId="0" borderId="0" applyNumberFormat="0" applyFont="0" applyFill="0" applyBorder="0" applyAlignment="0" applyProtection="0"/>
    <xf numFmtId="0" fontId="153" fillId="0" borderId="0" applyNumberFormat="0" applyFill="0" applyBorder="0" applyAlignment="0" applyProtection="0"/>
    <xf numFmtId="0" fontId="13" fillId="0" borderId="0" applyNumberFormat="0" applyFont="0" applyFill="0" applyBorder="0" applyAlignment="0" applyProtection="0"/>
    <xf numFmtId="0" fontId="153" fillId="0" borderId="0" applyNumberFormat="0" applyFill="0" applyBorder="0" applyAlignment="0" applyProtection="0"/>
    <xf numFmtId="0" fontId="13" fillId="0" borderId="0" applyNumberFormat="0" applyFont="0" applyFill="0" applyBorder="0" applyAlignment="0" applyProtection="0"/>
    <xf numFmtId="0" fontId="153"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4" fillId="0" borderId="0" applyNumberFormat="0" applyFill="0" applyBorder="0" applyAlignment="0" applyProtection="0"/>
    <xf numFmtId="0" fontId="148"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190" fontId="152" fillId="0" borderId="0" applyNumberFormat="0" applyFill="0" applyBorder="0" applyAlignment="0" applyProtection="0"/>
    <xf numFmtId="0" fontId="153"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4" fillId="0" borderId="0" applyNumberFormat="0" applyFill="0" applyBorder="0" applyAlignment="0" applyProtection="0"/>
    <xf numFmtId="0" fontId="13" fillId="0" borderId="0" applyNumberFormat="0" applyFont="0" applyFill="0" applyBorder="0" applyAlignment="0" applyProtection="0"/>
    <xf numFmtId="19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4" fillId="0" borderId="0" applyNumberFormat="0" applyFill="0" applyBorder="0" applyAlignment="0" applyProtection="0"/>
    <xf numFmtId="0" fontId="13" fillId="0" borderId="0" applyNumberFormat="0" applyFont="0" applyFill="0" applyBorder="0" applyAlignment="0" applyProtection="0"/>
    <xf numFmtId="0" fontId="80" fillId="0" borderId="0" applyNumberFormat="0" applyFill="0" applyBorder="0" applyAlignment="0" applyProtection="0"/>
    <xf numFmtId="0" fontId="154"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54" fillId="0" borderId="0" applyNumberFormat="0" applyFill="0" applyBorder="0" applyAlignment="0" applyProtection="0"/>
    <xf numFmtId="0" fontId="148" fillId="0" borderId="0" applyNumberFormat="0" applyFill="0" applyBorder="0" applyAlignment="0" applyProtection="0"/>
    <xf numFmtId="190" fontId="155" fillId="64"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5" fillId="64" borderId="0" applyNumberFormat="0" applyBorder="0" applyAlignment="0" applyProtection="0"/>
    <xf numFmtId="0" fontId="155" fillId="64"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5" fillId="64" borderId="0" applyNumberFormat="0" applyBorder="0" applyAlignment="0" applyProtection="0"/>
    <xf numFmtId="0" fontId="155" fillId="64"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5" fillId="64" borderId="0" applyNumberFormat="0" applyBorder="0" applyAlignment="0" applyProtection="0"/>
    <xf numFmtId="0" fontId="155" fillId="64"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5" fillId="64" borderId="0" applyNumberFormat="0" applyBorder="0" applyAlignment="0" applyProtection="0"/>
    <xf numFmtId="0" fontId="155" fillId="64"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5" fillId="64" borderId="0" applyNumberFormat="0" applyBorder="0" applyAlignment="0" applyProtection="0"/>
    <xf numFmtId="0" fontId="155" fillId="64"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5" fillId="64" borderId="0" applyNumberFormat="0" applyBorder="0" applyAlignment="0" applyProtection="0"/>
    <xf numFmtId="0" fontId="155" fillId="64"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5" fillId="64" borderId="0" applyNumberFormat="0" applyBorder="0" applyAlignment="0" applyProtection="0"/>
    <xf numFmtId="0" fontId="155" fillId="64"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5" fillId="64" borderId="0" applyNumberFormat="0" applyBorder="0" applyAlignment="0" applyProtection="0"/>
    <xf numFmtId="0" fontId="155" fillId="64"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5" fillId="64" borderId="0" applyNumberFormat="0" applyBorder="0" applyAlignment="0" applyProtection="0"/>
    <xf numFmtId="0" fontId="155" fillId="64"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5" fillId="64" borderId="0" applyNumberFormat="0" applyBorder="0" applyAlignment="0" applyProtection="0"/>
    <xf numFmtId="0" fontId="155" fillId="64" borderId="0" applyNumberFormat="0" applyBorder="0" applyAlignment="0" applyProtection="0"/>
    <xf numFmtId="0" fontId="83" fillId="24"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5" fillId="64" borderId="0" applyNumberFormat="0" applyBorder="0" applyAlignment="0" applyProtection="0"/>
    <xf numFmtId="0" fontId="155" fillId="64"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5" fillId="64" borderId="0" applyNumberFormat="0" applyBorder="0" applyAlignment="0" applyProtection="0"/>
    <xf numFmtId="0" fontId="155" fillId="64"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5" fillId="64" borderId="0" applyNumberFormat="0" applyBorder="0" applyAlignment="0" applyProtection="0"/>
    <xf numFmtId="0" fontId="155" fillId="64"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5" fillId="64" borderId="0" applyNumberFormat="0" applyBorder="0" applyAlignment="0" applyProtection="0"/>
    <xf numFmtId="0" fontId="155" fillId="64"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5" fillId="64" borderId="0" applyNumberFormat="0" applyBorder="0" applyAlignment="0" applyProtection="0"/>
    <xf numFmtId="0" fontId="155" fillId="64"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5" fillId="64" borderId="0" applyNumberFormat="0" applyBorder="0" applyAlignment="0" applyProtection="0"/>
    <xf numFmtId="0" fontId="155" fillId="64"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5" fillId="64" borderId="0" applyNumberFormat="0" applyBorder="0" applyAlignment="0" applyProtection="0"/>
    <xf numFmtId="0" fontId="155" fillId="64"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5" fillId="64" borderId="0" applyNumberFormat="0" applyBorder="0" applyAlignment="0" applyProtection="0"/>
    <xf numFmtId="0" fontId="155" fillId="64"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5" fillId="64" borderId="0" applyNumberFormat="0" applyBorder="0" applyAlignment="0" applyProtection="0"/>
    <xf numFmtId="0" fontId="155" fillId="64"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5" fillId="64" borderId="0" applyNumberFormat="0" applyBorder="0" applyAlignment="0" applyProtection="0"/>
    <xf numFmtId="0" fontId="155" fillId="64" borderId="0" applyNumberFormat="0" applyBorder="0" applyAlignment="0" applyProtection="0"/>
    <xf numFmtId="0" fontId="13" fillId="0" borderId="0" applyNumberFormat="0" applyFont="0" applyFill="0" applyBorder="0" applyAlignment="0" applyProtection="0"/>
    <xf numFmtId="0" fontId="155" fillId="64"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5" fillId="64" borderId="0" applyNumberFormat="0" applyBorder="0" applyAlignment="0" applyProtection="0"/>
    <xf numFmtId="0" fontId="155" fillId="64" borderId="0" applyNumberFormat="0" applyBorder="0" applyAlignment="0" applyProtection="0"/>
    <xf numFmtId="0" fontId="13" fillId="0" borderId="0" applyNumberFormat="0" applyFont="0" applyFill="0" applyBorder="0" applyAlignment="0" applyProtection="0"/>
    <xf numFmtId="0" fontId="155" fillId="64" borderId="0" applyNumberFormat="0" applyBorder="0" applyAlignment="0" applyProtection="0"/>
    <xf numFmtId="0" fontId="13" fillId="0" borderId="0" applyNumberFormat="0" applyFont="0" applyFill="0" applyBorder="0" applyAlignment="0" applyProtection="0"/>
    <xf numFmtId="0" fontId="155" fillId="64" borderId="0" applyNumberFormat="0" applyBorder="0" applyAlignment="0" applyProtection="0"/>
    <xf numFmtId="0" fontId="13" fillId="0" borderId="0" applyNumberFormat="0" applyFont="0" applyFill="0" applyBorder="0" applyAlignment="0" applyProtection="0"/>
    <xf numFmtId="0" fontId="155" fillId="64" borderId="0" applyNumberFormat="0" applyBorder="0" applyAlignment="0" applyProtection="0"/>
    <xf numFmtId="0" fontId="155" fillId="64" borderId="0" applyNumberFormat="0" applyBorder="0" applyAlignment="0" applyProtection="0"/>
    <xf numFmtId="0" fontId="155" fillId="64"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6" fillId="24" borderId="0" applyNumberFormat="0" applyBorder="0" applyAlignment="0" applyProtection="0"/>
    <xf numFmtId="0" fontId="156"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5" fillId="64" borderId="0" applyNumberFormat="0" applyBorder="0" applyAlignment="0" applyProtection="0"/>
    <xf numFmtId="0" fontId="155" fillId="64"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5" fillId="64" borderId="0" applyNumberFormat="0" applyBorder="0" applyAlignment="0" applyProtection="0"/>
    <xf numFmtId="0" fontId="155" fillId="64"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5" fillId="64" borderId="0" applyNumberFormat="0" applyBorder="0" applyAlignment="0" applyProtection="0"/>
    <xf numFmtId="0" fontId="155" fillId="64"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5" fillId="64" borderId="0" applyNumberFormat="0" applyBorder="0" applyAlignment="0" applyProtection="0"/>
    <xf numFmtId="0" fontId="155" fillId="64"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5" fillId="64" borderId="0" applyNumberFormat="0" applyBorder="0" applyAlignment="0" applyProtection="0"/>
    <xf numFmtId="0" fontId="155" fillId="64"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5" fillId="64" borderId="0" applyNumberFormat="0" applyBorder="0" applyAlignment="0" applyProtection="0"/>
    <xf numFmtId="0" fontId="155" fillId="64" borderId="0" applyNumberFormat="0" applyBorder="0" applyAlignment="0" applyProtection="0"/>
    <xf numFmtId="190" fontId="155" fillId="64" borderId="0" applyNumberFormat="0" applyBorder="0" applyAlignment="0" applyProtection="0"/>
    <xf numFmtId="0" fontId="155" fillId="64"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5" fillId="64" borderId="0" applyNumberFormat="0" applyBorder="0" applyAlignment="0" applyProtection="0"/>
    <xf numFmtId="0" fontId="155" fillId="64" borderId="0" applyNumberFormat="0" applyBorder="0" applyAlignment="0" applyProtection="0"/>
    <xf numFmtId="0" fontId="156" fillId="24" borderId="0" applyNumberFormat="0" applyBorder="0" applyAlignment="0" applyProtection="0"/>
    <xf numFmtId="0" fontId="13" fillId="0" borderId="0" applyNumberFormat="0" applyFont="0" applyFill="0" applyBorder="0" applyAlignment="0" applyProtection="0"/>
    <xf numFmtId="190" fontId="155" fillId="64"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5" fillId="64" borderId="0" applyNumberFormat="0" applyBorder="0" applyAlignment="0" applyProtection="0"/>
    <xf numFmtId="0" fontId="155" fillId="64" borderId="0" applyNumberFormat="0" applyBorder="0" applyAlignment="0" applyProtection="0"/>
    <xf numFmtId="0" fontId="156" fillId="24" borderId="0" applyNumberFormat="0" applyBorder="0" applyAlignment="0" applyProtection="0"/>
    <xf numFmtId="0" fontId="13" fillId="0" borderId="0" applyNumberFormat="0" applyFont="0" applyFill="0" applyBorder="0" applyAlignment="0" applyProtection="0"/>
    <xf numFmtId="0" fontId="83" fillId="24" borderId="0" applyNumberFormat="0" applyBorder="0" applyAlignment="0" applyProtection="0"/>
    <xf numFmtId="0" fontId="156" fillId="24" borderId="0" applyNumberFormat="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24" borderId="0" applyNumberFormat="0" applyBorder="0" applyAlignment="0" applyProtection="0"/>
    <xf numFmtId="0" fontId="156" fillId="0" borderId="0" applyNumberFormat="0" applyFill="0" applyBorder="0" applyAlignment="0" applyProtection="0"/>
    <xf numFmtId="0" fontId="95" fillId="0" borderId="0"/>
    <xf numFmtId="0" fontId="99" fillId="0" borderId="0"/>
    <xf numFmtId="0" fontId="20" fillId="0" borderId="0"/>
    <xf numFmtId="0" fontId="20"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95" fillId="0" borderId="0"/>
    <xf numFmtId="0" fontId="157" fillId="0" borderId="0"/>
    <xf numFmtId="0" fontId="158" fillId="0" borderId="0" applyNumberFormat="0" applyFont="0" applyFill="0" applyBorder="0" applyAlignment="0" applyProtection="0">
      <protection locked="0"/>
    </xf>
    <xf numFmtId="190" fontId="67" fillId="0" borderId="0"/>
    <xf numFmtId="0" fontId="20" fillId="0" borderId="0" applyNumberFormat="0" applyFont="0" applyFill="0" applyBorder="0" applyAlignment="0" applyProtection="0"/>
    <xf numFmtId="0" fontId="99" fillId="0" borderId="0"/>
    <xf numFmtId="0" fontId="20" fillId="0" borderId="0" applyNumberFormat="0" applyFont="0" applyFill="0" applyBorder="0" applyAlignment="0" applyProtection="0"/>
    <xf numFmtId="0" fontId="99" fillId="0" borderId="0"/>
    <xf numFmtId="0" fontId="20" fillId="0" borderId="0" applyNumberFormat="0" applyFont="0" applyFill="0" applyBorder="0" applyAlignment="0" applyProtection="0"/>
    <xf numFmtId="0" fontId="99" fillId="0" borderId="0"/>
    <xf numFmtId="0" fontId="20" fillId="0" borderId="0" applyNumberFormat="0" applyFont="0" applyFill="0" applyBorder="0" applyAlignment="0" applyProtection="0"/>
    <xf numFmtId="0" fontId="99" fillId="0" borderId="0"/>
    <xf numFmtId="0" fontId="20" fillId="0" borderId="0" applyNumberFormat="0" applyFont="0" applyFill="0" applyBorder="0" applyAlignment="0" applyProtection="0"/>
    <xf numFmtId="0" fontId="99" fillId="0" borderId="0"/>
    <xf numFmtId="0" fontId="20" fillId="0" borderId="0" applyNumberFormat="0" applyFont="0" applyFill="0" applyBorder="0" applyAlignment="0" applyProtection="0"/>
    <xf numFmtId="0" fontId="99" fillId="0" borderId="0"/>
    <xf numFmtId="0" fontId="20" fillId="0" borderId="0" applyNumberFormat="0" applyFont="0" applyFill="0" applyBorder="0" applyAlignment="0" applyProtection="0"/>
    <xf numFmtId="0" fontId="99" fillId="0" borderId="0"/>
    <xf numFmtId="0" fontId="20" fillId="0" borderId="0" applyNumberFormat="0" applyFont="0" applyFill="0" applyBorder="0" applyAlignment="0" applyProtection="0"/>
    <xf numFmtId="0" fontId="99" fillId="0" borderId="0"/>
    <xf numFmtId="0" fontId="20" fillId="0" borderId="0" applyNumberFormat="0" applyFont="0" applyFill="0" applyBorder="0" applyAlignment="0" applyProtection="0"/>
    <xf numFmtId="0" fontId="99" fillId="0" borderId="0"/>
    <xf numFmtId="0" fontId="20" fillId="0" borderId="0" applyNumberFormat="0" applyFont="0" applyFill="0" applyBorder="0" applyAlignment="0" applyProtection="0"/>
    <xf numFmtId="0" fontId="99" fillId="0" borderId="0"/>
    <xf numFmtId="190" fontId="67" fillId="0" borderId="0"/>
    <xf numFmtId="0" fontId="99" fillId="0" borderId="0"/>
    <xf numFmtId="0" fontId="99"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99" fillId="0" borderId="0"/>
    <xf numFmtId="0" fontId="20" fillId="0" borderId="0" applyNumberFormat="0" applyFont="0" applyFill="0" applyBorder="0" applyAlignment="0" applyProtection="0"/>
    <xf numFmtId="0" fontId="99" fillId="0" borderId="0"/>
    <xf numFmtId="0" fontId="20" fillId="0" borderId="0" applyNumberFormat="0" applyFont="0" applyFill="0" applyBorder="0" applyAlignment="0" applyProtection="0"/>
    <xf numFmtId="0" fontId="99" fillId="0" borderId="0"/>
    <xf numFmtId="0" fontId="20" fillId="0" borderId="0" applyNumberFormat="0" applyFont="0" applyFill="0" applyBorder="0" applyAlignment="0" applyProtection="0"/>
    <xf numFmtId="0" fontId="99" fillId="0" borderId="0"/>
    <xf numFmtId="0" fontId="20" fillId="0" borderId="0" applyNumberFormat="0" applyFont="0" applyFill="0" applyBorder="0" applyAlignment="0" applyProtection="0"/>
    <xf numFmtId="0" fontId="99" fillId="0" borderId="0"/>
    <xf numFmtId="0" fontId="20" fillId="0" borderId="0" applyNumberFormat="0" applyFont="0" applyFill="0" applyBorder="0" applyAlignment="0" applyProtection="0"/>
    <xf numFmtId="0" fontId="99" fillId="0" borderId="0"/>
    <xf numFmtId="0" fontId="20" fillId="0" borderId="0" applyNumberFormat="0" applyFont="0" applyFill="0" applyBorder="0" applyAlignment="0" applyProtection="0"/>
    <xf numFmtId="0" fontId="99" fillId="0" borderId="0"/>
    <xf numFmtId="0" fontId="20" fillId="0" borderId="0" applyNumberFormat="0" applyFont="0" applyFill="0" applyBorder="0" applyAlignment="0" applyProtection="0"/>
    <xf numFmtId="0" fontId="99" fillId="0" borderId="0"/>
    <xf numFmtId="0" fontId="99" fillId="0" borderId="0"/>
    <xf numFmtId="0" fontId="99" fillId="0" borderId="0"/>
    <xf numFmtId="0" fontId="20" fillId="0" borderId="0"/>
    <xf numFmtId="0" fontId="99" fillId="0" borderId="0"/>
    <xf numFmtId="0" fontId="99" fillId="0" borderId="0"/>
    <xf numFmtId="0" fontId="20" fillId="0" borderId="0" applyNumberFormat="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20" fillId="0" borderId="0" applyNumberFormat="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20" fillId="0" borderId="0" applyNumberFormat="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20" fillId="0" borderId="0" applyNumberFormat="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20" fillId="0" borderId="0" applyNumberFormat="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0" fontId="99"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99" fillId="0" borderId="0"/>
    <xf numFmtId="0" fontId="20" fillId="0" borderId="0" applyNumberFormat="0" applyFont="0" applyFill="0" applyBorder="0" applyAlignment="0" applyProtection="0"/>
    <xf numFmtId="0" fontId="9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0" fontId="67" fillId="0" borderId="0"/>
    <xf numFmtId="190" fontId="67" fillId="0" borderId="0"/>
    <xf numFmtId="0" fontId="20" fillId="0" borderId="0"/>
    <xf numFmtId="0" fontId="99" fillId="0" borderId="0"/>
    <xf numFmtId="0" fontId="99" fillId="0" borderId="0"/>
    <xf numFmtId="0" fontId="20" fillId="0" borderId="0"/>
    <xf numFmtId="0" fontId="20" fillId="0" borderId="0"/>
    <xf numFmtId="0" fontId="20"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0" fontId="99" fillId="0" borderId="0"/>
    <xf numFmtId="0" fontId="20" fillId="0" borderId="0" applyNumberFormat="0" applyFont="0" applyFill="0" applyBorder="0" applyAlignment="0" applyProtection="0"/>
    <xf numFmtId="0" fontId="99" fillId="0" borderId="0"/>
    <xf numFmtId="0" fontId="20" fillId="0" borderId="0" applyNumberFormat="0" applyFont="0" applyFill="0" applyBorder="0" applyAlignment="0" applyProtection="0"/>
    <xf numFmtId="0" fontId="99" fillId="0" borderId="0"/>
    <xf numFmtId="0" fontId="20" fillId="0" borderId="0" applyNumberFormat="0" applyFont="0" applyFill="0" applyBorder="0" applyAlignment="0" applyProtection="0"/>
    <xf numFmtId="0" fontId="99" fillId="0" borderId="0"/>
    <xf numFmtId="0" fontId="20" fillId="0" borderId="0" applyNumberFormat="0" applyFont="0" applyFill="0" applyBorder="0" applyAlignment="0" applyProtection="0"/>
    <xf numFmtId="0" fontId="99" fillId="0" borderId="0"/>
    <xf numFmtId="0" fontId="20" fillId="0" borderId="0" applyNumberFormat="0" applyFont="0" applyFill="0" applyBorder="0" applyAlignment="0" applyProtection="0"/>
    <xf numFmtId="0" fontId="99" fillId="0" borderId="0"/>
    <xf numFmtId="0" fontId="20" fillId="0" borderId="0" applyNumberFormat="0" applyFont="0" applyFill="0" applyBorder="0" applyAlignment="0" applyProtection="0"/>
    <xf numFmtId="0" fontId="99" fillId="0" borderId="0"/>
    <xf numFmtId="0" fontId="20" fillId="0" borderId="0" applyNumberFormat="0" applyFont="0" applyFill="0" applyBorder="0" applyAlignment="0" applyProtection="0"/>
    <xf numFmtId="0" fontId="99" fillId="0" borderId="0"/>
    <xf numFmtId="0" fontId="20" fillId="0" borderId="0" applyNumberFormat="0" applyFont="0" applyFill="0" applyBorder="0" applyAlignment="0" applyProtection="0"/>
    <xf numFmtId="0" fontId="99" fillId="0" borderId="0"/>
    <xf numFmtId="0" fontId="20" fillId="0" borderId="0" applyNumberFormat="0" applyFont="0" applyFill="0" applyBorder="0" applyAlignment="0" applyProtection="0"/>
    <xf numFmtId="0" fontId="99" fillId="0" borderId="0"/>
    <xf numFmtId="0" fontId="20" fillId="0" borderId="0" applyNumberFormat="0" applyFont="0" applyFill="0" applyBorder="0" applyAlignment="0" applyProtection="0"/>
    <xf numFmtId="0" fontId="99" fillId="0" borderId="0"/>
    <xf numFmtId="0" fontId="20" fillId="0" borderId="0"/>
    <xf numFmtId="0" fontId="99" fillId="0" borderId="0"/>
    <xf numFmtId="0" fontId="99"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99" fillId="0" borderId="0"/>
    <xf numFmtId="0" fontId="20" fillId="0" borderId="0" applyNumberFormat="0" applyFont="0" applyFill="0" applyBorder="0" applyAlignment="0" applyProtection="0"/>
    <xf numFmtId="0" fontId="99" fillId="0" borderId="0"/>
    <xf numFmtId="0" fontId="20" fillId="0" borderId="0" applyNumberFormat="0" applyFont="0" applyFill="0" applyBorder="0" applyAlignment="0" applyProtection="0"/>
    <xf numFmtId="0" fontId="99" fillId="0" borderId="0"/>
    <xf numFmtId="0" fontId="20" fillId="0" borderId="0" applyNumberFormat="0" applyFont="0" applyFill="0" applyBorder="0" applyAlignment="0" applyProtection="0"/>
    <xf numFmtId="0" fontId="99" fillId="0" borderId="0"/>
    <xf numFmtId="0" fontId="20" fillId="0" borderId="0" applyNumberFormat="0" applyFont="0" applyFill="0" applyBorder="0" applyAlignment="0" applyProtection="0"/>
    <xf numFmtId="0" fontId="99" fillId="0" borderId="0"/>
    <xf numFmtId="0" fontId="20" fillId="0" borderId="0" applyNumberFormat="0" applyFont="0" applyFill="0" applyBorder="0" applyAlignment="0" applyProtection="0"/>
    <xf numFmtId="0" fontId="99" fillId="0" borderId="0"/>
    <xf numFmtId="0" fontId="20" fillId="0" borderId="0" applyNumberFormat="0" applyFont="0" applyFill="0" applyBorder="0" applyAlignment="0" applyProtection="0"/>
    <xf numFmtId="0" fontId="99" fillId="0" borderId="0"/>
    <xf numFmtId="0" fontId="20" fillId="0" borderId="0" applyNumberFormat="0" applyFont="0" applyFill="0" applyBorder="0" applyAlignment="0" applyProtection="0"/>
    <xf numFmtId="0" fontId="99" fillId="0" borderId="0"/>
    <xf numFmtId="0" fontId="99" fillId="0" borderId="0"/>
    <xf numFmtId="0" fontId="99" fillId="0" borderId="0"/>
    <xf numFmtId="0" fontId="20" fillId="0" borderId="0" applyNumberFormat="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20" fillId="0" borderId="0" applyNumberFormat="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20" fillId="0" borderId="0" applyNumberFormat="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20" fillId="0" borderId="0" applyNumberFormat="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20" fillId="0" borderId="0" applyNumberFormat="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0" fontId="99"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99" fillId="0" borderId="0"/>
    <xf numFmtId="0" fontId="20" fillId="0" borderId="0" applyNumberFormat="0" applyFont="0" applyFill="0" applyBorder="0" applyAlignment="0" applyProtection="0"/>
    <xf numFmtId="0" fontId="99" fillId="0" borderId="0"/>
    <xf numFmtId="0" fontId="2" fillId="0" borderId="0"/>
    <xf numFmtId="0" fontId="2" fillId="0" borderId="0"/>
    <xf numFmtId="0" fontId="159" fillId="0" borderId="0"/>
    <xf numFmtId="0" fontId="2" fillId="0" borderId="0"/>
    <xf numFmtId="0" fontId="2" fillId="0" borderId="0"/>
    <xf numFmtId="0" fontId="2" fillId="0" borderId="0"/>
    <xf numFmtId="0" fontId="2" fillId="0" borderId="0"/>
    <xf numFmtId="0" fontId="2" fillId="0" borderId="0"/>
    <xf numFmtId="0" fontId="119" fillId="0" borderId="0"/>
    <xf numFmtId="0" fontId="2" fillId="0" borderId="0"/>
    <xf numFmtId="0" fontId="2" fillId="0" borderId="0"/>
    <xf numFmtId="190" fontId="67" fillId="0" borderId="0"/>
    <xf numFmtId="190" fontId="67" fillId="0" borderId="0"/>
    <xf numFmtId="0" fontId="20" fillId="0" borderId="0"/>
    <xf numFmtId="0" fontId="99" fillId="0" borderId="0"/>
    <xf numFmtId="0" fontId="20" fillId="0" borderId="0"/>
    <xf numFmtId="0" fontId="99" fillId="0" borderId="0"/>
    <xf numFmtId="0" fontId="20" fillId="0" borderId="0" applyNumberFormat="0" applyFont="0" applyFill="0" applyBorder="0" applyAlignment="0" applyProtection="0"/>
    <xf numFmtId="0" fontId="2" fillId="0" borderId="0"/>
    <xf numFmtId="0" fontId="2" fillId="0" borderId="0"/>
    <xf numFmtId="0" fontId="2" fillId="0" borderId="0"/>
    <xf numFmtId="0" fontId="2" fillId="0" borderId="0"/>
    <xf numFmtId="190" fontId="67" fillId="0" borderId="0"/>
    <xf numFmtId="190" fontId="67" fillId="0" borderId="0"/>
    <xf numFmtId="0" fontId="20" fillId="0" borderId="0"/>
    <xf numFmtId="0" fontId="20" fillId="0" borderId="0"/>
    <xf numFmtId="0" fontId="95" fillId="0" borderId="0"/>
    <xf numFmtId="0" fontId="20" fillId="0" borderId="0" applyNumberFormat="0" applyFill="0" applyBorder="0" applyAlignment="0" applyProtection="0"/>
    <xf numFmtId="190" fontId="99" fillId="0" borderId="0"/>
    <xf numFmtId="0" fontId="20" fillId="0" borderId="0"/>
    <xf numFmtId="0" fontId="20" fillId="0" borderId="0"/>
    <xf numFmtId="0" fontId="99" fillId="0" borderId="0"/>
    <xf numFmtId="0" fontId="99" fillId="0" borderId="0"/>
    <xf numFmtId="0" fontId="20" fillId="0" borderId="0" applyNumberFormat="0" applyFont="0" applyFill="0" applyBorder="0" applyAlignment="0" applyProtection="0"/>
    <xf numFmtId="0" fontId="95" fillId="0" borderId="0"/>
    <xf numFmtId="0" fontId="99" fillId="0" borderId="0"/>
    <xf numFmtId="190" fontId="67" fillId="0" borderId="0"/>
    <xf numFmtId="190" fontId="67" fillId="0" borderId="0"/>
    <xf numFmtId="0" fontId="20" fillId="0" borderId="0"/>
    <xf numFmtId="0" fontId="20" fillId="0" borderId="0"/>
    <xf numFmtId="0" fontId="95" fillId="0" borderId="0"/>
    <xf numFmtId="0" fontId="20" fillId="0" borderId="0" applyNumberFormat="0" applyFill="0" applyBorder="0" applyAlignment="0" applyProtection="0"/>
    <xf numFmtId="0" fontId="20" fillId="0" borderId="0"/>
    <xf numFmtId="0" fontId="20" fillId="0" borderId="0"/>
    <xf numFmtId="0" fontId="95" fillId="0" borderId="0"/>
    <xf numFmtId="0" fontId="20" fillId="0" borderId="0" applyNumberFormat="0" applyFill="0" applyBorder="0" applyAlignment="0" applyProtection="0"/>
    <xf numFmtId="190" fontId="67" fillId="0" borderId="0"/>
    <xf numFmtId="0" fontId="20" fillId="0" borderId="0"/>
    <xf numFmtId="0" fontId="95" fillId="0" borderId="0"/>
    <xf numFmtId="0" fontId="99" fillId="0" borderId="0"/>
    <xf numFmtId="190" fontId="67" fillId="0" borderId="0"/>
    <xf numFmtId="0" fontId="20"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95" fillId="0" borderId="0"/>
    <xf numFmtId="190" fontId="99" fillId="0" borderId="0"/>
    <xf numFmtId="190" fontId="105" fillId="0" borderId="0" applyFill="0" applyProtection="0"/>
    <xf numFmtId="0" fontId="96" fillId="0" borderId="0"/>
    <xf numFmtId="0" fontId="96" fillId="0" borderId="0"/>
    <xf numFmtId="0" fontId="20" fillId="0" borderId="0" applyNumberFormat="0" applyFont="0" applyFill="0" applyBorder="0" applyAlignment="0" applyProtection="0"/>
    <xf numFmtId="0" fontId="96" fillId="0" borderId="0"/>
    <xf numFmtId="0" fontId="99" fillId="0" borderId="0"/>
    <xf numFmtId="0" fontId="96" fillId="0" borderId="0"/>
    <xf numFmtId="0" fontId="96" fillId="0" borderId="0"/>
    <xf numFmtId="0" fontId="20" fillId="0" borderId="0" applyNumberFormat="0" applyFont="0" applyFill="0" applyBorder="0" applyAlignment="0" applyProtection="0"/>
    <xf numFmtId="191" fontId="99" fillId="0" borderId="0"/>
    <xf numFmtId="0" fontId="96" fillId="0" borderId="0"/>
    <xf numFmtId="0" fontId="96"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96" fillId="0" borderId="0"/>
    <xf numFmtId="0" fontId="96" fillId="0" borderId="0"/>
    <xf numFmtId="0" fontId="20" fillId="0" borderId="0" applyNumberFormat="0" applyFont="0" applyFill="0" applyBorder="0" applyAlignment="0" applyProtection="0"/>
    <xf numFmtId="0" fontId="96" fillId="0" borderId="0"/>
    <xf numFmtId="0" fontId="96" fillId="0" borderId="0"/>
    <xf numFmtId="0" fontId="20" fillId="0" borderId="0" applyNumberFormat="0" applyFont="0" applyFill="0" applyBorder="0" applyAlignment="0" applyProtection="0"/>
    <xf numFmtId="0" fontId="96" fillId="0" borderId="0"/>
    <xf numFmtId="0" fontId="96" fillId="0" borderId="0"/>
    <xf numFmtId="0" fontId="20" fillId="0" borderId="0" applyNumberFormat="0" applyFont="0" applyFill="0" applyBorder="0" applyAlignment="0" applyProtection="0"/>
    <xf numFmtId="0" fontId="96" fillId="0" borderId="0"/>
    <xf numFmtId="0" fontId="96" fillId="0" borderId="0"/>
    <xf numFmtId="0" fontId="20" fillId="0" borderId="0" applyNumberFormat="0" applyFont="0" applyFill="0" applyBorder="0" applyAlignment="0" applyProtection="0"/>
    <xf numFmtId="0" fontId="96" fillId="0" borderId="0"/>
    <xf numFmtId="0" fontId="96" fillId="0" borderId="0"/>
    <xf numFmtId="0" fontId="20" fillId="0" borderId="0" applyNumberFormat="0" applyFont="0" applyFill="0" applyBorder="0" applyAlignment="0" applyProtection="0"/>
    <xf numFmtId="0" fontId="96" fillId="0" borderId="0"/>
    <xf numFmtId="0" fontId="96" fillId="0" borderId="0"/>
    <xf numFmtId="0" fontId="20" fillId="0" borderId="0" applyNumberFormat="0" applyFont="0" applyFill="0" applyBorder="0" applyAlignment="0" applyProtection="0"/>
    <xf numFmtId="0" fontId="96" fillId="0" borderId="0"/>
    <xf numFmtId="0" fontId="96" fillId="0" borderId="0"/>
    <xf numFmtId="190" fontId="2" fillId="0" borderId="0"/>
    <xf numFmtId="0" fontId="99" fillId="0" borderId="0"/>
    <xf numFmtId="0" fontId="2" fillId="0" borderId="0" applyNumberFormat="0" applyFill="0" applyBorder="0" applyAlignment="0" applyProtection="0"/>
    <xf numFmtId="191" fontId="94"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9" fillId="0" borderId="0"/>
    <xf numFmtId="0" fontId="2" fillId="0" borderId="0"/>
    <xf numFmtId="0" fontId="20" fillId="0" borderId="0" applyNumberFormat="0" applyFont="0" applyFill="0" applyBorder="0" applyAlignment="0" applyProtection="0"/>
    <xf numFmtId="190" fontId="2" fillId="0" borderId="0"/>
    <xf numFmtId="190" fontId="20" fillId="0" borderId="0"/>
    <xf numFmtId="190" fontId="20" fillId="0" borderId="0"/>
    <xf numFmtId="0" fontId="2" fillId="0" borderId="0"/>
    <xf numFmtId="0" fontId="2" fillId="0" borderId="0"/>
    <xf numFmtId="0" fontId="95" fillId="0" borderId="0"/>
    <xf numFmtId="0" fontId="2" fillId="0" borderId="0"/>
    <xf numFmtId="0" fontId="2" fillId="0" borderId="0" applyNumberFormat="0" applyFill="0" applyBorder="0" applyAlignment="0" applyProtection="0"/>
    <xf numFmtId="190" fontId="13" fillId="0" borderId="0"/>
    <xf numFmtId="0" fontId="2" fillId="0" borderId="0"/>
    <xf numFmtId="0" fontId="2" fillId="0" borderId="0"/>
    <xf numFmtId="0" fontId="2" fillId="0" borderId="0" applyNumberFormat="0" applyFill="0" applyBorder="0" applyAlignment="0" applyProtection="0"/>
    <xf numFmtId="190" fontId="13" fillId="0" borderId="0"/>
    <xf numFmtId="0" fontId="2" fillId="0" borderId="0" applyNumberFormat="0" applyFill="0" applyBorder="0" applyAlignment="0" applyProtection="0"/>
    <xf numFmtId="190" fontId="13" fillId="0" borderId="0"/>
    <xf numFmtId="0" fontId="2" fillId="0" borderId="0" applyNumberFormat="0" applyFill="0" applyBorder="0" applyAlignment="0" applyProtection="0"/>
    <xf numFmtId="190" fontId="13" fillId="0" borderId="0"/>
    <xf numFmtId="0" fontId="2" fillId="0" borderId="0" applyNumberFormat="0" applyFill="0" applyBorder="0" applyAlignment="0" applyProtection="0"/>
    <xf numFmtId="190" fontId="13" fillId="0" borderId="0"/>
    <xf numFmtId="0" fontId="2" fillId="0" borderId="0" applyNumberFormat="0" applyFill="0" applyBorder="0" applyAlignment="0" applyProtection="0"/>
    <xf numFmtId="190" fontId="13" fillId="0" borderId="0"/>
    <xf numFmtId="0" fontId="2" fillId="0" borderId="0" applyNumberFormat="0" applyFill="0" applyBorder="0" applyAlignment="0" applyProtection="0"/>
    <xf numFmtId="190" fontId="13" fillId="0" borderId="0"/>
    <xf numFmtId="0" fontId="2" fillId="0" borderId="0" applyNumberFormat="0" applyFill="0" applyBorder="0" applyAlignment="0" applyProtection="0"/>
    <xf numFmtId="0" fontId="20" fillId="0" borderId="0" applyNumberFormat="0" applyFont="0" applyFill="0" applyBorder="0" applyAlignment="0" applyProtection="0"/>
    <xf numFmtId="0" fontId="96" fillId="0" borderId="0"/>
    <xf numFmtId="0" fontId="96" fillId="0" borderId="0"/>
    <xf numFmtId="0" fontId="20" fillId="0" borderId="0" applyNumberFormat="0" applyFont="0" applyFill="0" applyBorder="0" applyAlignment="0" applyProtection="0"/>
    <xf numFmtId="0" fontId="96" fillId="0" borderId="0"/>
    <xf numFmtId="0" fontId="96" fillId="0" borderId="0"/>
    <xf numFmtId="0" fontId="20" fillId="0" borderId="0" applyNumberFormat="0" applyFont="0" applyFill="0" applyBorder="0" applyAlignment="0" applyProtection="0"/>
    <xf numFmtId="0" fontId="96" fillId="0" borderId="0"/>
    <xf numFmtId="0" fontId="96" fillId="0" borderId="0"/>
    <xf numFmtId="0" fontId="20" fillId="0" borderId="0" applyNumberFormat="0" applyFont="0" applyFill="0" applyBorder="0" applyAlignment="0" applyProtection="0"/>
    <xf numFmtId="0" fontId="99" fillId="0" borderId="0"/>
    <xf numFmtId="0" fontId="99" fillId="0" borderId="0"/>
    <xf numFmtId="0" fontId="20" fillId="0" borderId="0" applyNumberFormat="0" applyFont="0" applyFill="0" applyBorder="0" applyAlignment="0" applyProtection="0"/>
    <xf numFmtId="0" fontId="99" fillId="0" borderId="0"/>
    <xf numFmtId="0" fontId="99" fillId="0" borderId="0"/>
    <xf numFmtId="0" fontId="20" fillId="0" borderId="0" applyNumberFormat="0" applyFill="0" applyBorder="0" applyAlignment="0" applyProtection="0"/>
    <xf numFmtId="0" fontId="117" fillId="0" borderId="0"/>
    <xf numFmtId="0" fontId="117" fillId="0" borderId="0"/>
    <xf numFmtId="0" fontId="20" fillId="0" borderId="0" applyNumberFormat="0" applyFill="0" applyBorder="0" applyAlignment="0" applyProtection="0"/>
    <xf numFmtId="0" fontId="117" fillId="0" borderId="0"/>
    <xf numFmtId="0" fontId="117" fillId="0" borderId="0"/>
    <xf numFmtId="0" fontId="20" fillId="0" borderId="0" applyNumberFormat="0" applyFont="0" applyFill="0" applyBorder="0" applyAlignment="0" applyProtection="0"/>
    <xf numFmtId="0" fontId="99" fillId="0" borderId="0"/>
    <xf numFmtId="0" fontId="99" fillId="0" borderId="0"/>
    <xf numFmtId="0" fontId="99" fillId="0" borderId="0"/>
    <xf numFmtId="190" fontId="99" fillId="0" borderId="0"/>
    <xf numFmtId="0" fontId="99" fillId="0" borderId="0"/>
    <xf numFmtId="0" fontId="99"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99"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xf numFmtId="0" fontId="20" fillId="0" borderId="0" applyNumberFormat="0" applyFill="0" applyBorder="0" applyAlignment="0" applyProtection="0"/>
    <xf numFmtId="0" fontId="20" fillId="0" borderId="0" applyNumberFormat="0" applyFont="0" applyFill="0" applyBorder="0" applyAlignment="0" applyProtection="0"/>
    <xf numFmtId="0" fontId="99"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160" fillId="0" borderId="0"/>
    <xf numFmtId="190" fontId="99"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xf numFmtId="0" fontId="95" fillId="0" borderId="0"/>
    <xf numFmtId="0" fontId="20" fillId="0" borderId="0" applyNumberFormat="0" applyFont="0" applyFill="0" applyBorder="0" applyAlignment="0" applyProtection="0"/>
    <xf numFmtId="0" fontId="95" fillId="0" borderId="0"/>
    <xf numFmtId="0" fontId="95" fillId="0" borderId="0"/>
    <xf numFmtId="0" fontId="96"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190" fontId="95" fillId="0" borderId="0"/>
    <xf numFmtId="190" fontId="95" fillId="0" borderId="0"/>
    <xf numFmtId="0" fontId="96" fillId="0" borderId="0"/>
    <xf numFmtId="190" fontId="20" fillId="0" borderId="0"/>
    <xf numFmtId="0" fontId="96" fillId="0" borderId="0"/>
    <xf numFmtId="0" fontId="20" fillId="0" borderId="0" applyNumberFormat="0" applyFont="0" applyFill="0" applyBorder="0" applyAlignment="0" applyProtection="0"/>
    <xf numFmtId="190" fontId="95" fillId="0" borderId="0"/>
    <xf numFmtId="0" fontId="96" fillId="0" borderId="0"/>
    <xf numFmtId="0" fontId="96" fillId="0" borderId="0"/>
    <xf numFmtId="0" fontId="20" fillId="0" borderId="0" applyNumberFormat="0" applyFont="0" applyFill="0" applyBorder="0" applyAlignment="0" applyProtection="0"/>
    <xf numFmtId="190" fontId="95" fillId="0" borderId="0"/>
    <xf numFmtId="0" fontId="96" fillId="0" borderId="0"/>
    <xf numFmtId="0" fontId="96" fillId="0" borderId="0"/>
    <xf numFmtId="0" fontId="20" fillId="0" borderId="0" applyNumberFormat="0" applyFont="0" applyFill="0" applyBorder="0" applyAlignment="0" applyProtection="0"/>
    <xf numFmtId="190" fontId="95" fillId="0" borderId="0"/>
    <xf numFmtId="0" fontId="96" fillId="0" borderId="0"/>
    <xf numFmtId="0" fontId="96" fillId="0" borderId="0"/>
    <xf numFmtId="0" fontId="20" fillId="0" borderId="0" applyNumberFormat="0" applyFont="0" applyFill="0" applyBorder="0" applyAlignment="0" applyProtection="0"/>
    <xf numFmtId="190" fontId="95" fillId="0" borderId="0"/>
    <xf numFmtId="0" fontId="96" fillId="0" borderId="0"/>
    <xf numFmtId="0" fontId="96" fillId="0" borderId="0"/>
    <xf numFmtId="0" fontId="20" fillId="0" borderId="0" applyNumberFormat="0" applyFont="0" applyFill="0" applyBorder="0" applyAlignment="0" applyProtection="0"/>
    <xf numFmtId="190" fontId="99" fillId="0" borderId="0"/>
    <xf numFmtId="190" fontId="67" fillId="0" borderId="0"/>
    <xf numFmtId="0" fontId="20"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95" fillId="0" borderId="0"/>
    <xf numFmtId="0" fontId="67" fillId="0" borderId="0"/>
    <xf numFmtId="0" fontId="2" fillId="0" borderId="0"/>
    <xf numFmtId="0" fontId="99"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95" fillId="0" borderId="0"/>
    <xf numFmtId="0" fontId="2" fillId="0" borderId="0"/>
    <xf numFmtId="0" fontId="2" fillId="0" borderId="0"/>
    <xf numFmtId="0" fontId="20"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95" fillId="0" borderId="0"/>
    <xf numFmtId="0" fontId="2" fillId="0" borderId="0"/>
    <xf numFmtId="0" fontId="2" fillId="0" borderId="0"/>
    <xf numFmtId="0" fontId="20"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95" fillId="0" borderId="0"/>
    <xf numFmtId="0" fontId="2" fillId="0" borderId="0"/>
    <xf numFmtId="0" fontId="2" fillId="0" borderId="0"/>
    <xf numFmtId="0" fontId="20"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95" fillId="0" borderId="0"/>
    <xf numFmtId="0" fontId="2" fillId="0" borderId="0"/>
    <xf numFmtId="0" fontId="2" fillId="0" borderId="0"/>
    <xf numFmtId="0" fontId="20" fillId="0" borderId="0"/>
    <xf numFmtId="0" fontId="95" fillId="0" borderId="0"/>
    <xf numFmtId="0" fontId="2" fillId="0" borderId="0"/>
    <xf numFmtId="0" fontId="2" fillId="0" borderId="0"/>
    <xf numFmtId="0" fontId="20" fillId="0" borderId="0"/>
    <xf numFmtId="0" fontId="134" fillId="0" borderId="0"/>
    <xf numFmtId="0" fontId="2" fillId="0" borderId="0"/>
    <xf numFmtId="0" fontId="2" fillId="0" borderId="0"/>
    <xf numFmtId="0" fontId="20" fillId="0" borderId="0"/>
    <xf numFmtId="0" fontId="134" fillId="0" borderId="0"/>
    <xf numFmtId="0" fontId="2" fillId="0" borderId="0"/>
    <xf numFmtId="0" fontId="2" fillId="0" borderId="0"/>
    <xf numFmtId="0" fontId="20" fillId="0" borderId="0"/>
    <xf numFmtId="0" fontId="134" fillId="0" borderId="0"/>
    <xf numFmtId="0" fontId="2" fillId="0" borderId="0"/>
    <xf numFmtId="0" fontId="2" fillId="0" borderId="0"/>
    <xf numFmtId="0" fontId="2" fillId="0" borderId="0"/>
    <xf numFmtId="0" fontId="20" fillId="0" borderId="0"/>
    <xf numFmtId="0" fontId="2" fillId="0" borderId="0"/>
    <xf numFmtId="0" fontId="117" fillId="0" borderId="0"/>
    <xf numFmtId="0" fontId="2" fillId="0" borderId="0"/>
    <xf numFmtId="190" fontId="99" fillId="0" borderId="0"/>
    <xf numFmtId="0" fontId="99" fillId="0" borderId="0"/>
    <xf numFmtId="0" fontId="20" fillId="0" borderId="0"/>
    <xf numFmtId="0" fontId="20" fillId="0" borderId="0" applyNumberFormat="0" applyFill="0" applyBorder="0" applyAlignment="0" applyProtection="0"/>
    <xf numFmtId="19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 fillId="0" borderId="0" applyNumberFormat="0" applyFill="0" applyBorder="0" applyAlignment="0" applyProtection="0"/>
    <xf numFmtId="0" fontId="2" fillId="0" borderId="0"/>
    <xf numFmtId="0" fontId="2" fillId="0" borderId="0"/>
    <xf numFmtId="0" fontId="99" fillId="0" borderId="0"/>
    <xf numFmtId="0" fontId="20" fillId="0" borderId="0" applyNumberFormat="0" applyFont="0" applyFill="0" applyBorder="0" applyAlignment="0" applyProtection="0"/>
    <xf numFmtId="19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90" fontId="13"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xf numFmtId="0" fontId="20" fillId="0" borderId="0"/>
    <xf numFmtId="0" fontId="20" fillId="0" borderId="0" applyNumberFormat="0" applyFill="0" applyBorder="0" applyAlignment="0" applyProtection="0"/>
    <xf numFmtId="0" fontId="99" fillId="0" borderId="0"/>
    <xf numFmtId="0" fontId="20" fillId="0" borderId="0" applyNumberFormat="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90" fontId="13" fillId="0" borderId="0"/>
    <xf numFmtId="0" fontId="99"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18" fillId="0" borderId="0"/>
    <xf numFmtId="0" fontId="20" fillId="0" borderId="0" applyNumberFormat="0" applyFont="0" applyFill="0" applyBorder="0" applyAlignment="0" applyProtection="0"/>
    <xf numFmtId="190" fontId="13" fillId="0" borderId="0"/>
    <xf numFmtId="0" fontId="118" fillId="0" borderId="0"/>
    <xf numFmtId="0" fontId="20" fillId="0" borderId="0" applyNumberFormat="0" applyFont="0" applyFill="0" applyBorder="0" applyAlignment="0" applyProtection="0"/>
    <xf numFmtId="190" fontId="13" fillId="0" borderId="0"/>
    <xf numFmtId="0" fontId="118" fillId="0" borderId="0"/>
    <xf numFmtId="0" fontId="20" fillId="0" borderId="0" applyNumberFormat="0" applyFont="0" applyFill="0" applyBorder="0" applyAlignment="0" applyProtection="0"/>
    <xf numFmtId="190" fontId="13" fillId="0" borderId="0"/>
    <xf numFmtId="0" fontId="118" fillId="0" borderId="0"/>
    <xf numFmtId="0" fontId="20" fillId="0" borderId="0"/>
    <xf numFmtId="190" fontId="13" fillId="0" borderId="0"/>
    <xf numFmtId="0" fontId="118" fillId="0" borderId="0"/>
    <xf numFmtId="0" fontId="20" fillId="0" borderId="0"/>
    <xf numFmtId="190" fontId="13" fillId="0" borderId="0"/>
    <xf numFmtId="190" fontId="99" fillId="0" borderId="0"/>
    <xf numFmtId="0" fontId="2" fillId="0" borderId="0"/>
    <xf numFmtId="0" fontId="20" fillId="0" borderId="0"/>
    <xf numFmtId="0" fontId="134" fillId="0" borderId="0"/>
    <xf numFmtId="0" fontId="2" fillId="0" borderId="0"/>
    <xf numFmtId="190" fontId="20" fillId="0" borderId="0"/>
    <xf numFmtId="0" fontId="2" fillId="0" borderId="0"/>
    <xf numFmtId="0" fontId="20" fillId="0" borderId="0"/>
    <xf numFmtId="0" fontId="2" fillId="0" borderId="0"/>
    <xf numFmtId="0" fontId="134" fillId="0" borderId="0"/>
    <xf numFmtId="0" fontId="2" fillId="0" borderId="0"/>
    <xf numFmtId="0" fontId="20" fillId="0" borderId="0"/>
    <xf numFmtId="0" fontId="95" fillId="0" borderId="0"/>
    <xf numFmtId="0" fontId="2" fillId="0" borderId="0"/>
    <xf numFmtId="0" fontId="2" fillId="0" borderId="0"/>
    <xf numFmtId="0" fontId="20" fillId="0" borderId="0"/>
    <xf numFmtId="0" fontId="95" fillId="0" borderId="0"/>
    <xf numFmtId="0" fontId="2" fillId="0" borderId="0"/>
    <xf numFmtId="0" fontId="2" fillId="0" borderId="0"/>
    <xf numFmtId="0" fontId="20" fillId="0" borderId="0"/>
    <xf numFmtId="0" fontId="95" fillId="0" borderId="0"/>
    <xf numFmtId="0" fontId="2" fillId="0" borderId="0"/>
    <xf numFmtId="0" fontId="2" fillId="0" borderId="0"/>
    <xf numFmtId="0" fontId="20" fillId="0" borderId="0"/>
    <xf numFmtId="0" fontId="99" fillId="0" borderId="0"/>
    <xf numFmtId="0" fontId="2" fillId="0" borderId="0"/>
    <xf numFmtId="0" fontId="2" fillId="0" borderId="0"/>
    <xf numFmtId="0" fontId="20" fillId="0" borderId="0"/>
    <xf numFmtId="0" fontId="20" fillId="0" borderId="0"/>
    <xf numFmtId="0" fontId="2" fillId="0" borderId="0"/>
    <xf numFmtId="0" fontId="2" fillId="0" borderId="0"/>
    <xf numFmtId="0" fontId="20" fillId="0" borderId="0"/>
    <xf numFmtId="0" fontId="20" fillId="0" borderId="0"/>
    <xf numFmtId="0" fontId="2" fillId="0" borderId="0"/>
    <xf numFmtId="0" fontId="2" fillId="0" borderId="0"/>
    <xf numFmtId="0" fontId="20" fillId="0" borderId="0"/>
    <xf numFmtId="0" fontId="20" fillId="0" borderId="0"/>
    <xf numFmtId="0" fontId="2" fillId="0" borderId="0"/>
    <xf numFmtId="0" fontId="99" fillId="0" borderId="0"/>
    <xf numFmtId="0" fontId="2" fillId="0" borderId="0"/>
    <xf numFmtId="0" fontId="20" fillId="0" borderId="0"/>
    <xf numFmtId="0" fontId="2" fillId="0" borderId="0"/>
    <xf numFmtId="0" fontId="20" fillId="0" borderId="0"/>
    <xf numFmtId="190" fontId="67" fillId="0" borderId="0"/>
    <xf numFmtId="0" fontId="20" fillId="0" borderId="0"/>
    <xf numFmtId="0" fontId="20" fillId="0" borderId="0" applyNumberFormat="0" applyFill="0" applyBorder="0" applyAlignment="0" applyProtection="0"/>
    <xf numFmtId="190" fontId="2" fillId="0" borderId="0"/>
    <xf numFmtId="190" fontId="2" fillId="0" borderId="0"/>
    <xf numFmtId="0" fontId="20"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0" fillId="0" borderId="0" applyNumberFormat="0" applyFill="0" applyBorder="0" applyAlignment="0" applyProtection="0"/>
    <xf numFmtId="0" fontId="2"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 fillId="0" borderId="0"/>
    <xf numFmtId="0" fontId="2" fillId="0" borderId="0"/>
    <xf numFmtId="0" fontId="99" fillId="0" borderId="0"/>
    <xf numFmtId="0" fontId="2" fillId="0" borderId="0" applyNumberFormat="0" applyFill="0" applyBorder="0" applyAlignment="0" applyProtection="0"/>
    <xf numFmtId="190" fontId="99" fillId="0" borderId="0"/>
    <xf numFmtId="0" fontId="20" fillId="0" borderId="0"/>
    <xf numFmtId="0" fontId="99" fillId="0" borderId="0"/>
    <xf numFmtId="0" fontId="99" fillId="0" borderId="0"/>
    <xf numFmtId="0" fontId="20" fillId="0" borderId="0" applyNumberFormat="0" applyFont="0" applyFill="0" applyBorder="0" applyAlignment="0" applyProtection="0"/>
    <xf numFmtId="190" fontId="99" fillId="0" borderId="0"/>
    <xf numFmtId="0" fontId="99" fillId="0" borderId="0"/>
    <xf numFmtId="0" fontId="99" fillId="0" borderId="0"/>
    <xf numFmtId="0" fontId="20" fillId="0" borderId="0" applyNumberFormat="0" applyFont="0" applyFill="0" applyBorder="0" applyAlignment="0" applyProtection="0"/>
    <xf numFmtId="190" fontId="67" fillId="0" borderId="0"/>
    <xf numFmtId="0" fontId="20" fillId="0" borderId="0"/>
    <xf numFmtId="0" fontId="20" fillId="0" borderId="0"/>
    <xf numFmtId="0" fontId="20" fillId="0" borderId="0" applyNumberFormat="0" applyFill="0" applyBorder="0" applyAlignment="0" applyProtection="0"/>
    <xf numFmtId="190" fontId="67"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ont="0" applyFill="0" applyBorder="0" applyAlignment="0" applyProtection="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xf numFmtId="190" fontId="99" fillId="0" borderId="0"/>
    <xf numFmtId="0" fontId="99" fillId="0" borderId="0"/>
    <xf numFmtId="0" fontId="2" fillId="0" borderId="0"/>
    <xf numFmtId="0" fontId="20" fillId="0" borderId="0"/>
    <xf numFmtId="0" fontId="2" fillId="0" borderId="0"/>
    <xf numFmtId="19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191" fontId="20" fillId="0" borderId="0"/>
    <xf numFmtId="0" fontId="2" fillId="0" borderId="0"/>
    <xf numFmtId="0" fontId="20" fillId="0" borderId="0"/>
    <xf numFmtId="0" fontId="20" fillId="0" borderId="0"/>
    <xf numFmtId="0" fontId="2" fillId="0" borderId="0"/>
    <xf numFmtId="191" fontId="20" fillId="0" borderId="0"/>
    <xf numFmtId="0" fontId="2" fillId="0" borderId="0"/>
    <xf numFmtId="0" fontId="20" fillId="0" borderId="0"/>
    <xf numFmtId="0" fontId="20" fillId="0" borderId="0"/>
    <xf numFmtId="0" fontId="2" fillId="0" borderId="0"/>
    <xf numFmtId="190" fontId="20" fillId="0" borderId="0"/>
    <xf numFmtId="0" fontId="2" fillId="0" borderId="0"/>
    <xf numFmtId="0" fontId="20" fillId="0" borderId="0"/>
    <xf numFmtId="0" fontId="20" fillId="0" borderId="0"/>
    <xf numFmtId="0" fontId="2" fillId="0" borderId="0"/>
    <xf numFmtId="0" fontId="2" fillId="0" borderId="0"/>
    <xf numFmtId="0" fontId="20" fillId="0" borderId="0"/>
    <xf numFmtId="0" fontId="20" fillId="0" borderId="0"/>
    <xf numFmtId="0" fontId="2" fillId="0" borderId="0"/>
    <xf numFmtId="0" fontId="2" fillId="0" borderId="0"/>
    <xf numFmtId="0" fontId="20" fillId="0" borderId="0"/>
    <xf numFmtId="0" fontId="20" fillId="0" borderId="0"/>
    <xf numFmtId="0" fontId="2" fillId="0" borderId="0"/>
    <xf numFmtId="0" fontId="2" fillId="0" borderId="0"/>
    <xf numFmtId="0" fontId="20" fillId="0" borderId="0"/>
    <xf numFmtId="0" fontId="20" fillId="0" borderId="0"/>
    <xf numFmtId="0" fontId="2" fillId="0" borderId="0"/>
    <xf numFmtId="190" fontId="161" fillId="0" borderId="0"/>
    <xf numFmtId="0" fontId="99" fillId="0" borderId="0"/>
    <xf numFmtId="0" fontId="20" fillId="0" borderId="0"/>
    <xf numFmtId="0" fontId="20" fillId="0" borderId="0" applyNumberFormat="0" applyFont="0" applyFill="0" applyBorder="0" applyAlignment="0" applyProtection="0"/>
    <xf numFmtId="0" fontId="67" fillId="0" borderId="0"/>
    <xf numFmtId="0" fontId="161" fillId="0" borderId="0" applyNumberFormat="0" applyFill="0" applyBorder="0" applyAlignment="0" applyProtection="0"/>
    <xf numFmtId="0" fontId="161"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99" fillId="0" borderId="0"/>
    <xf numFmtId="19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0" fillId="0" borderId="0" applyNumberFormat="0" applyFont="0" applyFill="0" applyBorder="0" applyAlignment="0" applyProtection="0"/>
    <xf numFmtId="0" fontId="20" fillId="0" borderId="0"/>
    <xf numFmtId="0" fontId="2" fillId="0" borderId="0"/>
    <xf numFmtId="0" fontId="2" fillId="0" borderId="0" applyNumberFormat="0" applyFill="0" applyBorder="0" applyAlignment="0" applyProtection="0"/>
    <xf numFmtId="0" fontId="99" fillId="0" borderId="0"/>
    <xf numFmtId="0" fontId="2" fillId="0" borderId="0"/>
    <xf numFmtId="19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9" fillId="0" borderId="0"/>
    <xf numFmtId="0" fontId="20" fillId="0" borderId="0" applyNumberFormat="0" applyFont="0" applyFill="0" applyBorder="0" applyAlignment="0" applyProtection="0"/>
    <xf numFmtId="0" fontId="95" fillId="0" borderId="0"/>
    <xf numFmtId="0" fontId="161" fillId="0" borderId="0"/>
    <xf numFmtId="190" fontId="13" fillId="0" borderId="0"/>
    <xf numFmtId="0" fontId="20" fillId="0" borderId="0"/>
    <xf numFmtId="0" fontId="99" fillId="0" borderId="0"/>
    <xf numFmtId="0" fontId="20" fillId="0" borderId="0" applyNumberFormat="0" applyFont="0" applyFill="0" applyBorder="0" applyAlignment="0" applyProtection="0"/>
    <xf numFmtId="190" fontId="13" fillId="0" borderId="0"/>
    <xf numFmtId="0" fontId="161" fillId="0" borderId="0"/>
    <xf numFmtId="0" fontId="20" fillId="0" borderId="0" applyNumberFormat="0" applyFont="0" applyFill="0" applyBorder="0" applyAlignment="0" applyProtection="0"/>
    <xf numFmtId="190" fontId="13" fillId="0" borderId="0"/>
    <xf numFmtId="0" fontId="20" fillId="0" borderId="0" applyNumberFormat="0" applyFont="0" applyFill="0" applyBorder="0" applyAlignment="0" applyProtection="0"/>
    <xf numFmtId="190" fontId="13" fillId="0" borderId="0"/>
    <xf numFmtId="0" fontId="20" fillId="0" borderId="0" applyNumberFormat="0" applyFont="0" applyFill="0" applyBorder="0" applyAlignment="0" applyProtection="0"/>
    <xf numFmtId="190" fontId="13" fillId="0" borderId="0"/>
    <xf numFmtId="0" fontId="20" fillId="0" borderId="0" applyNumberFormat="0" applyFont="0" applyFill="0" applyBorder="0" applyAlignment="0" applyProtection="0"/>
    <xf numFmtId="190" fontId="13" fillId="0" borderId="0"/>
    <xf numFmtId="0" fontId="20" fillId="0" borderId="0" applyNumberFormat="0" applyFont="0" applyFill="0" applyBorder="0" applyAlignment="0" applyProtection="0"/>
    <xf numFmtId="190" fontId="13" fillId="0" borderId="0"/>
    <xf numFmtId="0" fontId="20" fillId="0" borderId="0" applyNumberFormat="0" applyFont="0" applyFill="0" applyBorder="0" applyAlignment="0" applyProtection="0"/>
    <xf numFmtId="190" fontId="99" fillId="0" borderId="0"/>
    <xf numFmtId="0" fontId="2" fillId="0" borderId="0"/>
    <xf numFmtId="0" fontId="20" fillId="0" borderId="0"/>
    <xf numFmtId="0" fontId="20" fillId="0" borderId="0"/>
    <xf numFmtId="0" fontId="2" fillId="0" borderId="0"/>
    <xf numFmtId="0" fontId="2" fillId="0" borderId="0"/>
    <xf numFmtId="0" fontId="20" fillId="0" borderId="0"/>
    <xf numFmtId="0" fontId="20" fillId="0" borderId="0"/>
    <xf numFmtId="0" fontId="2" fillId="0" borderId="0"/>
    <xf numFmtId="0" fontId="2" fillId="0" borderId="0"/>
    <xf numFmtId="0" fontId="20" fillId="0" borderId="0"/>
    <xf numFmtId="0" fontId="20" fillId="0" borderId="0"/>
    <xf numFmtId="0" fontId="2" fillId="0" borderId="0"/>
    <xf numFmtId="0" fontId="2" fillId="0" borderId="0"/>
    <xf numFmtId="0" fontId="20" fillId="0" borderId="0"/>
    <xf numFmtId="0" fontId="20" fillId="0" borderId="0"/>
    <xf numFmtId="0" fontId="2" fillId="0" borderId="0"/>
    <xf numFmtId="0" fontId="2" fillId="0" borderId="0"/>
    <xf numFmtId="0" fontId="20" fillId="0" borderId="0"/>
    <xf numFmtId="0" fontId="20" fillId="0" borderId="0"/>
    <xf numFmtId="0" fontId="2" fillId="0" borderId="0"/>
    <xf numFmtId="0" fontId="2" fillId="0" borderId="0"/>
    <xf numFmtId="0" fontId="20" fillId="0" borderId="0"/>
    <xf numFmtId="0" fontId="20" fillId="0" borderId="0"/>
    <xf numFmtId="0" fontId="2" fillId="0" borderId="0"/>
    <xf numFmtId="0" fontId="2" fillId="0" borderId="0"/>
    <xf numFmtId="0" fontId="20" fillId="0" borderId="0"/>
    <xf numFmtId="0" fontId="20" fillId="0" borderId="0"/>
    <xf numFmtId="0" fontId="2" fillId="0" borderId="0"/>
    <xf numFmtId="0" fontId="2" fillId="0" borderId="0"/>
    <xf numFmtId="0" fontId="20" fillId="0" borderId="0"/>
    <xf numFmtId="0" fontId="20" fillId="0" borderId="0"/>
    <xf numFmtId="0" fontId="2" fillId="0" borderId="0"/>
    <xf numFmtId="0" fontId="2" fillId="0" borderId="0"/>
    <xf numFmtId="0" fontId="20" fillId="0" borderId="0"/>
    <xf numFmtId="0" fontId="20" fillId="0" borderId="0"/>
    <xf numFmtId="0" fontId="2" fillId="0" borderId="0"/>
    <xf numFmtId="0" fontId="2" fillId="0" borderId="0"/>
    <xf numFmtId="0" fontId="2" fillId="0" borderId="0"/>
    <xf numFmtId="190" fontId="67" fillId="0" borderId="0"/>
    <xf numFmtId="190" fontId="67" fillId="0" borderId="0"/>
    <xf numFmtId="0" fontId="99" fillId="0" borderId="0"/>
    <xf numFmtId="0" fontId="20" fillId="0" borderId="0" applyNumberFormat="0" applyFill="0" applyBorder="0" applyAlignment="0" applyProtection="0"/>
    <xf numFmtId="190" fontId="67" fillId="0" borderId="0"/>
    <xf numFmtId="0" fontId="20" fillId="0" borderId="0" applyNumberFormat="0" applyFill="0" applyBorder="0" applyAlignment="0" applyProtection="0"/>
    <xf numFmtId="0" fontId="99" fillId="0" borderId="0"/>
    <xf numFmtId="0" fontId="20" fillId="0" borderId="0"/>
    <xf numFmtId="0" fontId="20" fillId="0" borderId="0" applyNumberFormat="0" applyFill="0" applyBorder="0" applyAlignment="0" applyProtection="0"/>
    <xf numFmtId="191" fontId="67"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90" fontId="2" fillId="0" borderId="0"/>
    <xf numFmtId="0" fontId="2" fillId="0" borderId="0" applyNumberFormat="0" applyFill="0" applyBorder="0" applyAlignment="0" applyProtection="0"/>
    <xf numFmtId="0" fontId="20" fillId="0" borderId="0"/>
    <xf numFmtId="0" fontId="20" fillId="0" borderId="0" applyNumberFormat="0" applyFont="0" applyFill="0" applyBorder="0" applyAlignment="0" applyProtection="0"/>
    <xf numFmtId="0" fontId="20" fillId="0" borderId="0"/>
    <xf numFmtId="0" fontId="20" fillId="0" borderId="0" applyNumberFormat="0" applyFont="0" applyFill="0" applyBorder="0" applyAlignment="0" applyProtection="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190" fontId="67" fillId="0" borderId="0"/>
    <xf numFmtId="190" fontId="67" fillId="0" borderId="0"/>
    <xf numFmtId="0" fontId="20" fillId="0" borderId="0"/>
    <xf numFmtId="0" fontId="20" fillId="0" borderId="0" applyNumberFormat="0" applyFont="0" applyFill="0" applyBorder="0" applyAlignment="0" applyProtection="0"/>
    <xf numFmtId="0" fontId="99" fillId="0" borderId="0"/>
    <xf numFmtId="0" fontId="99" fillId="0" borderId="0"/>
    <xf numFmtId="0" fontId="20" fillId="0" borderId="0"/>
    <xf numFmtId="0" fontId="20" fillId="0" borderId="0" applyNumberFormat="0" applyFill="0" applyBorder="0" applyAlignment="0" applyProtection="0"/>
    <xf numFmtId="190" fontId="2" fillId="0" borderId="0"/>
    <xf numFmtId="0" fontId="20"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xf numFmtId="0" fontId="20" fillId="0" borderId="0" applyNumberFormat="0" applyFont="0" applyFill="0" applyBorder="0" applyAlignment="0" applyProtection="0"/>
    <xf numFmtId="0" fontId="20" fillId="0" borderId="0"/>
    <xf numFmtId="0" fontId="20" fillId="0" borderId="0" applyNumberFormat="0" applyFont="0" applyFill="0" applyBorder="0" applyAlignment="0" applyProtection="0"/>
    <xf numFmtId="0" fontId="20" fillId="0" borderId="0"/>
    <xf numFmtId="0" fontId="20" fillId="0" borderId="0" applyNumberFormat="0" applyFont="0" applyFill="0" applyBorder="0" applyAlignment="0" applyProtection="0"/>
    <xf numFmtId="0" fontId="20" fillId="0" borderId="0"/>
    <xf numFmtId="0" fontId="20" fillId="0" borderId="0" applyNumberFormat="0" applyFont="0" applyFill="0" applyBorder="0" applyAlignment="0" applyProtection="0"/>
    <xf numFmtId="0" fontId="20" fillId="0" borderId="0"/>
    <xf numFmtId="0" fontId="2" fillId="0" borderId="0" applyNumberFormat="0" applyFill="0" applyBorder="0" applyAlignment="0" applyProtection="0"/>
    <xf numFmtId="0" fontId="20" fillId="0" borderId="0"/>
    <xf numFmtId="19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0" fillId="0" borderId="0"/>
    <xf numFmtId="0" fontId="2" fillId="0" borderId="0" applyNumberFormat="0" applyFill="0" applyBorder="0" applyAlignment="0" applyProtection="0"/>
    <xf numFmtId="0" fontId="2" fillId="0" borderId="0"/>
    <xf numFmtId="0" fontId="2" fillId="0" borderId="0"/>
    <xf numFmtId="0" fontId="20" fillId="0" borderId="0"/>
    <xf numFmtId="0" fontId="20" fillId="0" borderId="0" applyNumberFormat="0" applyFill="0" applyBorder="0" applyAlignment="0" applyProtection="0"/>
    <xf numFmtId="19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90" fontId="13" fillId="0" borderId="0"/>
    <xf numFmtId="190" fontId="13" fillId="0" borderId="0"/>
    <xf numFmtId="0" fontId="99" fillId="0" borderId="0"/>
    <xf numFmtId="190" fontId="67" fillId="0" borderId="0"/>
    <xf numFmtId="190" fontId="67" fillId="0" borderId="0"/>
    <xf numFmtId="0" fontId="20" fillId="0" borderId="0" applyNumberFormat="0" applyFill="0" applyBorder="0" applyAlignment="0" applyProtection="0"/>
    <xf numFmtId="190" fontId="13" fillId="0" borderId="0"/>
    <xf numFmtId="190" fontId="13" fillId="0" borderId="0"/>
    <xf numFmtId="0" fontId="99" fillId="0" borderId="0"/>
    <xf numFmtId="190" fontId="67" fillId="0" borderId="0"/>
    <xf numFmtId="190" fontId="67" fillId="0" borderId="0"/>
    <xf numFmtId="0" fontId="20" fillId="0" borderId="0" applyNumberFormat="0" applyFill="0" applyBorder="0" applyAlignment="0" applyProtection="0"/>
    <xf numFmtId="190" fontId="13" fillId="0" borderId="0"/>
    <xf numFmtId="190" fontId="13" fillId="0" borderId="0"/>
    <xf numFmtId="0" fontId="99" fillId="0" borderId="0"/>
    <xf numFmtId="190" fontId="67" fillId="0" borderId="0"/>
    <xf numFmtId="190" fontId="67" fillId="0" borderId="0"/>
    <xf numFmtId="0" fontId="20" fillId="0" borderId="0" applyNumberFormat="0" applyFill="0" applyBorder="0" applyAlignment="0" applyProtection="0"/>
    <xf numFmtId="190" fontId="13" fillId="0" borderId="0"/>
    <xf numFmtId="0" fontId="99" fillId="0" borderId="0"/>
    <xf numFmtId="0" fontId="20" fillId="0" borderId="0" applyNumberFormat="0" applyFill="0" applyBorder="0" applyAlignment="0" applyProtection="0"/>
    <xf numFmtId="190" fontId="13" fillId="0" borderId="0"/>
    <xf numFmtId="0" fontId="99" fillId="0" borderId="0"/>
    <xf numFmtId="0" fontId="20" fillId="0" borderId="0" applyNumberFormat="0" applyFill="0" applyBorder="0" applyAlignment="0" applyProtection="0"/>
    <xf numFmtId="190" fontId="13" fillId="0" borderId="0"/>
    <xf numFmtId="0" fontId="99" fillId="0" borderId="0"/>
    <xf numFmtId="0" fontId="20" fillId="0" borderId="0" applyNumberFormat="0" applyFill="0" applyBorder="0" applyAlignment="0" applyProtection="0"/>
    <xf numFmtId="190" fontId="99" fillId="0" borderId="0"/>
    <xf numFmtId="0" fontId="2" fillId="0" borderId="0"/>
    <xf numFmtId="0" fontId="20" fillId="0" borderId="0"/>
    <xf numFmtId="0" fontId="2" fillId="0" borderId="0"/>
    <xf numFmtId="0" fontId="2" fillId="0" borderId="0"/>
    <xf numFmtId="0" fontId="20"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99" fillId="0" borderId="0"/>
    <xf numFmtId="0" fontId="2" fillId="0" borderId="0"/>
    <xf numFmtId="0" fontId="2" fillId="0" borderId="0"/>
    <xf numFmtId="0" fontId="1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0" fontId="13" fillId="0" borderId="0"/>
    <xf numFmtId="190" fontId="13" fillId="0" borderId="0"/>
    <xf numFmtId="190" fontId="67" fillId="0" borderId="0"/>
    <xf numFmtId="190" fontId="67" fillId="0" borderId="0"/>
    <xf numFmtId="0" fontId="20" fillId="0" borderId="0"/>
    <xf numFmtId="0" fontId="20" fillId="0" borderId="0" applyNumberFormat="0" applyFill="0" applyBorder="0" applyAlignment="0" applyProtection="0"/>
    <xf numFmtId="190" fontId="2" fillId="0" borderId="0"/>
    <xf numFmtId="0" fontId="20" fillId="0" borderId="0"/>
    <xf numFmtId="0" fontId="2" fillId="0" borderId="0"/>
    <xf numFmtId="0" fontId="2" fillId="0" borderId="0"/>
    <xf numFmtId="0" fontId="20" fillId="0" borderId="0"/>
    <xf numFmtId="0" fontId="2" fillId="0" borderId="0" applyNumberFormat="0" applyFill="0" applyBorder="0" applyAlignment="0" applyProtection="0"/>
    <xf numFmtId="190" fontId="2" fillId="0" borderId="0"/>
    <xf numFmtId="190" fontId="2" fillId="0" borderId="0"/>
    <xf numFmtId="0" fontId="20" fillId="0" borderId="0"/>
    <xf numFmtId="0" fontId="2" fillId="0" borderId="0"/>
    <xf numFmtId="0" fontId="2" fillId="0" borderId="0"/>
    <xf numFmtId="0" fontId="2" fillId="0" borderId="0" applyNumberFormat="0" applyFill="0" applyBorder="0" applyAlignment="0" applyProtection="0"/>
    <xf numFmtId="190" fontId="2" fillId="0" borderId="0"/>
    <xf numFmtId="190" fontId="13" fillId="0" borderId="0"/>
    <xf numFmtId="0" fontId="20" fillId="0" borderId="0"/>
    <xf numFmtId="190" fontId="13" fillId="0" borderId="0"/>
    <xf numFmtId="0" fontId="20" fillId="0" borderId="0"/>
    <xf numFmtId="190" fontId="13" fillId="0" borderId="0"/>
    <xf numFmtId="190" fontId="13" fillId="0" borderId="0"/>
    <xf numFmtId="190" fontId="13" fillId="0" borderId="0"/>
    <xf numFmtId="190" fontId="13" fillId="0" borderId="0"/>
    <xf numFmtId="190" fontId="9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0" fontId="13" fillId="0" borderId="0"/>
    <xf numFmtId="190" fontId="13" fillId="0" borderId="0"/>
    <xf numFmtId="190" fontId="67" fillId="0" borderId="0"/>
    <xf numFmtId="190" fontId="67" fillId="0" borderId="0"/>
    <xf numFmtId="0" fontId="99" fillId="0" borderId="0"/>
    <xf numFmtId="0" fontId="20" fillId="0" borderId="0"/>
    <xf numFmtId="0" fontId="20" fillId="0" borderId="0" applyNumberFormat="0" applyFont="0" applyFill="0" applyBorder="0" applyAlignment="0" applyProtection="0"/>
    <xf numFmtId="19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0" fillId="0" borderId="0"/>
    <xf numFmtId="0" fontId="2" fillId="0" borderId="0" applyNumberFormat="0" applyFill="0" applyBorder="0" applyAlignment="0" applyProtection="0"/>
    <xf numFmtId="0" fontId="2" fillId="0" borderId="0"/>
    <xf numFmtId="0" fontId="2" fillId="0" borderId="0"/>
    <xf numFmtId="0" fontId="20" fillId="0" borderId="0"/>
    <xf numFmtId="0" fontId="20" fillId="0" borderId="0" applyNumberFormat="0" applyFill="0" applyBorder="0" applyAlignment="0" applyProtection="0"/>
    <xf numFmtId="19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90" fontId="2" fillId="0" borderId="0"/>
    <xf numFmtId="0" fontId="20" fillId="0" borderId="0"/>
    <xf numFmtId="0" fontId="2" fillId="0" borderId="0"/>
    <xf numFmtId="0" fontId="2" fillId="0" borderId="0"/>
    <xf numFmtId="0" fontId="2" fillId="0" borderId="0" applyNumberFormat="0" applyFill="0" applyBorder="0" applyAlignment="0" applyProtection="0"/>
    <xf numFmtId="190" fontId="2" fillId="0" borderId="0"/>
    <xf numFmtId="190" fontId="13" fillId="0" borderId="0"/>
    <xf numFmtId="0" fontId="95" fillId="0" borderId="0"/>
    <xf numFmtId="190" fontId="13" fillId="0" borderId="0"/>
    <xf numFmtId="0" fontId="95" fillId="0" borderId="0"/>
    <xf numFmtId="190" fontId="13" fillId="0" borderId="0"/>
    <xf numFmtId="190" fontId="13" fillId="0" borderId="0"/>
    <xf numFmtId="190" fontId="13" fillId="0" borderId="0"/>
    <xf numFmtId="190" fontId="13" fillId="0" borderId="0"/>
    <xf numFmtId="190" fontId="9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0" fontId="20" fillId="0" borderId="0"/>
    <xf numFmtId="190" fontId="20" fillId="0" borderId="0"/>
    <xf numFmtId="0" fontId="95" fillId="0" borderId="0"/>
    <xf numFmtId="190" fontId="67" fillId="0" borderId="0"/>
    <xf numFmtId="0" fontId="95" fillId="0" borderId="0"/>
    <xf numFmtId="190" fontId="67" fillId="0" borderId="0"/>
    <xf numFmtId="0" fontId="99" fillId="0" borderId="0"/>
    <xf numFmtId="0" fontId="20" fillId="0" borderId="0"/>
    <xf numFmtId="0" fontId="20"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2" fillId="0" borderId="0" applyNumberFormat="0" applyFill="0" applyBorder="0" applyProtection="0">
      <alignment vertical="top" wrapText="1"/>
    </xf>
    <xf numFmtId="0" fontId="162" fillId="0" borderId="0" applyNumberFormat="0" applyFill="0" applyBorder="0" applyProtection="0">
      <alignment vertical="top" wrapText="1"/>
    </xf>
    <xf numFmtId="210" fontId="163" fillId="0" borderId="0" applyFill="0" applyBorder="0" applyProtection="0">
      <alignment horizontal="right" vertical="top"/>
    </xf>
    <xf numFmtId="190" fontId="164" fillId="58" borderId="48" applyNumberForma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86" fillId="26" borderId="42"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58"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58"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5" fillId="26" borderId="42" applyNumberFormat="0" applyAlignment="0" applyProtection="0"/>
    <xf numFmtId="0" fontId="138" fillId="0" borderId="42" applyNumberFormat="0" applyFill="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164" fillId="76" borderId="48" applyNumberFormat="0" applyAlignment="0" applyProtection="0"/>
    <xf numFmtId="0" fontId="164" fillId="76" borderId="48" applyNumberFormat="0" applyAlignment="0" applyProtection="0"/>
    <xf numFmtId="0" fontId="164" fillId="76" borderId="48" applyNumberFormat="0" applyAlignment="0" applyProtection="0"/>
    <xf numFmtId="190" fontId="164" fillId="58" borderId="48" applyNumberFormat="0" applyAlignment="0" applyProtection="0"/>
    <xf numFmtId="0" fontId="164" fillId="76" borderId="48" applyNumberForma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64" fillId="58" borderId="48" applyNumberFormat="0" applyAlignment="0" applyProtection="0"/>
    <xf numFmtId="0" fontId="164" fillId="58" borderId="48" applyNumberFormat="0" applyAlignment="0" applyProtection="0"/>
    <xf numFmtId="0" fontId="165" fillId="26" borderId="42" applyNumberFormat="0" applyAlignment="0" applyProtection="0"/>
    <xf numFmtId="0" fontId="20" fillId="0" borderId="0" applyNumberFormat="0" applyFont="0" applyFill="0" applyBorder="0" applyAlignment="0" applyProtection="0"/>
    <xf numFmtId="190" fontId="164" fillId="58" borderId="48" applyNumberForma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64" fillId="58" borderId="48" applyNumberFormat="0" applyAlignment="0" applyProtection="0"/>
    <xf numFmtId="0" fontId="164" fillId="58" borderId="48" applyNumberFormat="0" applyAlignment="0" applyProtection="0"/>
    <xf numFmtId="0" fontId="165" fillId="26" borderId="42" applyNumberFormat="0" applyAlignment="0" applyProtection="0"/>
    <xf numFmtId="0" fontId="20" fillId="0" borderId="0" applyNumberFormat="0" applyFont="0" applyFill="0" applyBorder="0" applyAlignment="0" applyProtection="0"/>
    <xf numFmtId="0" fontId="86" fillId="26" borderId="42" applyNumberFormat="0" applyAlignment="0" applyProtection="0"/>
    <xf numFmtId="0" fontId="165" fillId="26" borderId="42" applyNumberFormat="0" applyAlignment="0" applyProtection="0"/>
    <xf numFmtId="0" fontId="138" fillId="0" borderId="42" applyNumberFormat="0" applyFill="0" applyAlignment="0" applyProtection="0"/>
    <xf numFmtId="0" fontId="138" fillId="0" borderId="42" applyNumberFormat="0" applyFill="0" applyAlignment="0" applyProtection="0"/>
    <xf numFmtId="0" fontId="165" fillId="26" borderId="42" applyNumberFormat="0" applyAlignment="0" applyProtection="0"/>
    <xf numFmtId="0" fontId="138" fillId="0" borderId="42" applyNumberFormat="0" applyFill="0" applyAlignment="0" applyProtection="0"/>
    <xf numFmtId="211" fontId="166" fillId="0" borderId="0">
      <alignment horizontal="left"/>
    </xf>
    <xf numFmtId="40" fontId="167" fillId="71" borderId="0">
      <alignment horizontal="right"/>
    </xf>
    <xf numFmtId="0" fontId="168" fillId="71" borderId="0">
      <alignment horizontal="right"/>
    </xf>
    <xf numFmtId="0" fontId="169" fillId="71" borderId="60"/>
    <xf numFmtId="0" fontId="169" fillId="0" borderId="0" applyBorder="0">
      <alignment horizontal="centerContinuous"/>
    </xf>
    <xf numFmtId="0" fontId="170" fillId="0" borderId="0" applyBorder="0">
      <alignment horizontal="centerContinuous"/>
    </xf>
    <xf numFmtId="0" fontId="20" fillId="0" borderId="0" applyNumberFormat="0" applyFont="0" applyFill="0" applyBorder="0" applyAlignment="0" applyProtection="0"/>
    <xf numFmtId="0" fontId="20" fillId="0" borderId="0" applyNumberFormat="0" applyFont="0" applyFill="0" applyBorder="0" applyAlignment="0" applyProtection="0"/>
    <xf numFmtId="10" fontId="99" fillId="0" borderId="0" applyFont="0" applyFill="0" applyBorder="0" applyAlignment="0" applyProtection="0"/>
    <xf numFmtId="9" fontId="95" fillId="0" borderId="0" applyFont="0" applyFill="0" applyBorder="0" applyAlignment="0" applyProtection="0"/>
    <xf numFmtId="190" fontId="171" fillId="0" borderId="0" applyNumberFormat="0" applyFill="0" applyBorder="0" applyProtection="0">
      <alignment horizontal="left"/>
    </xf>
    <xf numFmtId="190" fontId="171" fillId="0" borderId="0" applyNumberFormat="0" applyFill="0" applyBorder="0" applyAlignment="0" applyProtection="0"/>
    <xf numFmtId="190" fontId="171" fillId="0" borderId="0" applyNumberFormat="0" applyFill="0" applyBorder="0" applyAlignment="0" applyProtection="0"/>
    <xf numFmtId="190" fontId="171" fillId="0" borderId="0" applyNumberFormat="0" applyFill="0" applyBorder="0" applyAlignment="0" applyProtection="0"/>
    <xf numFmtId="190" fontId="171" fillId="0" borderId="0" applyNumberFormat="0" applyFill="0" applyBorder="0" applyProtection="0">
      <alignment horizontal="left"/>
    </xf>
    <xf numFmtId="190" fontId="171" fillId="0" borderId="0" applyNumberFormat="0" applyFill="0" applyBorder="0" applyAlignment="0" applyProtection="0"/>
    <xf numFmtId="2" fontId="172" fillId="71" borderId="0">
      <protection locked="0"/>
    </xf>
    <xf numFmtId="212" fontId="162" fillId="0" borderId="0"/>
    <xf numFmtId="9" fontId="20"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99" fillId="0" borderId="0" applyFont="0" applyFill="0" applyBorder="0" applyAlignment="0" applyProtection="0"/>
    <xf numFmtId="0" fontId="20" fillId="0" borderId="0" applyNumberFormat="0" applyFont="0" applyFill="0" applyBorder="0" applyAlignment="0" applyProtection="0"/>
    <xf numFmtId="9" fontId="2" fillId="0" borderId="0" applyFont="0" applyFill="0" applyBorder="0" applyAlignment="0" applyProtection="0"/>
    <xf numFmtId="0" fontId="20" fillId="0" borderId="0" applyNumberFormat="0" applyFont="0" applyFill="0" applyBorder="0" applyAlignment="0" applyProtection="0"/>
    <xf numFmtId="9" fontId="2" fillId="0" borderId="0" applyFont="0" applyFill="0" applyBorder="0" applyAlignment="0" applyProtection="0"/>
    <xf numFmtId="0" fontId="20" fillId="0" borderId="0" applyNumberFormat="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0" fontId="20" fillId="0" borderId="0" applyNumberFormat="0" applyFont="0" applyFill="0" applyBorder="0" applyAlignment="0" applyProtection="0"/>
    <xf numFmtId="9" fontId="173" fillId="0" borderId="0" applyFont="0" applyFill="0" applyBorder="0" applyAlignment="0" applyProtection="0"/>
    <xf numFmtId="9" fontId="99" fillId="0" borderId="0" applyFont="0" applyFill="0" applyBorder="0" applyAlignment="0" applyProtection="0"/>
    <xf numFmtId="0" fontId="20" fillId="0" borderId="0" applyNumberFormat="0" applyFont="0" applyFill="0" applyBorder="0" applyAlignment="0" applyProtection="0"/>
    <xf numFmtId="9" fontId="99"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99" fillId="0" borderId="0" applyFont="0" applyFill="0" applyBorder="0" applyAlignment="0" applyProtection="0"/>
    <xf numFmtId="0" fontId="20" fillId="0" borderId="0" applyNumberFormat="0" applyFont="0" applyFill="0" applyBorder="0" applyAlignment="0" applyProtection="0"/>
    <xf numFmtId="9" fontId="99" fillId="0" borderId="0" applyFont="0" applyFill="0" applyBorder="0" applyAlignment="0" applyProtection="0"/>
    <xf numFmtId="0" fontId="20" fillId="0" borderId="0" applyNumberFormat="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67"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67"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7"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99"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2"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17" fillId="0" borderId="0" applyFont="0" applyFill="0" applyBorder="0" applyAlignment="0" applyProtection="0"/>
    <xf numFmtId="9" fontId="13" fillId="0" borderId="0" applyFont="0" applyFill="0" applyBorder="0" applyAlignment="0" applyProtection="0"/>
    <xf numFmtId="9" fontId="117"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0" fillId="0" borderId="0" applyFont="0" applyFill="0" applyBorder="0" applyAlignment="0" applyProtection="0"/>
    <xf numFmtId="9" fontId="67"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20" fillId="0" borderId="0" applyFont="0" applyFill="0" applyBorder="0" applyAlignment="0" applyProtection="0"/>
    <xf numFmtId="9" fontId="67" fillId="0" borderId="0" applyFont="0" applyFill="0" applyBorder="0" applyAlignment="0" applyProtection="0"/>
    <xf numFmtId="0" fontId="20" fillId="0" borderId="0" applyNumberFormat="0" applyFont="0" applyFill="0" applyBorder="0" applyAlignment="0" applyProtection="0"/>
    <xf numFmtId="9" fontId="67" fillId="0" borderId="0" applyFont="0" applyFill="0" applyBorder="0" applyAlignment="0" applyProtection="0"/>
    <xf numFmtId="0" fontId="20" fillId="0" borderId="0" applyNumberFormat="0" applyFont="0" applyFill="0" applyBorder="0" applyAlignment="0" applyProtection="0"/>
    <xf numFmtId="9" fontId="2" fillId="0" borderId="0" applyFont="0" applyFill="0" applyBorder="0" applyAlignment="0" applyProtection="0"/>
    <xf numFmtId="0" fontId="20" fillId="0" borderId="0" applyNumberFormat="0" applyFont="0" applyFill="0" applyBorder="0" applyAlignment="0" applyProtection="0"/>
    <xf numFmtId="9" fontId="2"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0" fontId="20" fillId="0" borderId="0" applyNumberFormat="0" applyFont="0" applyFill="0" applyBorder="0" applyAlignment="0" applyProtection="0"/>
    <xf numFmtId="9" fontId="2"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ont="0" applyFill="0" applyBorder="0" applyAlignment="0" applyProtection="0"/>
    <xf numFmtId="9" fontId="20" fillId="0" borderId="0" applyFont="0" applyFill="0" applyBorder="0" applyAlignment="0" applyProtection="0"/>
    <xf numFmtId="9" fontId="13" fillId="0" borderId="0" applyFont="0" applyFill="0" applyBorder="0" applyAlignment="0" applyProtection="0"/>
    <xf numFmtId="9" fontId="99"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20"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174" fillId="64" borderId="61" applyNumberFormat="0" applyProtection="0">
      <alignment vertical="center"/>
    </xf>
    <xf numFmtId="4" fontId="175" fillId="82" borderId="61" applyNumberFormat="0" applyProtection="0">
      <alignment vertical="center"/>
    </xf>
    <xf numFmtId="4" fontId="174" fillId="82" borderId="61" applyNumberFormat="0" applyProtection="0">
      <alignment horizontal="left" vertical="center" indent="1"/>
    </xf>
    <xf numFmtId="0" fontId="174" fillId="82" borderId="61" applyNumberFormat="0" applyProtection="0">
      <alignment horizontal="left" vertical="top" indent="1"/>
    </xf>
    <xf numFmtId="4" fontId="174" fillId="83" borderId="0" applyNumberFormat="0" applyProtection="0">
      <alignment horizontal="left" vertical="center" indent="1"/>
    </xf>
    <xf numFmtId="4" fontId="176" fillId="54" borderId="61" applyNumberFormat="0" applyProtection="0">
      <alignment horizontal="right" vertical="center"/>
    </xf>
    <xf numFmtId="4" fontId="176" fillId="63" borderId="61" applyNumberFormat="0" applyProtection="0">
      <alignment horizontal="right" vertical="center"/>
    </xf>
    <xf numFmtId="4" fontId="176" fillId="61" borderId="61" applyNumberFormat="0" applyProtection="0">
      <alignment horizontal="right" vertical="center"/>
    </xf>
    <xf numFmtId="4" fontId="176" fillId="66" borderId="61" applyNumberFormat="0" applyProtection="0">
      <alignment horizontal="right" vertical="center"/>
    </xf>
    <xf numFmtId="4" fontId="176" fillId="70" borderId="61" applyNumberFormat="0" applyProtection="0">
      <alignment horizontal="right" vertical="center"/>
    </xf>
    <xf numFmtId="4" fontId="176" fillId="75" borderId="61" applyNumberFormat="0" applyProtection="0">
      <alignment horizontal="right" vertical="center"/>
    </xf>
    <xf numFmtId="4" fontId="176" fillId="73" borderId="61" applyNumberFormat="0" applyProtection="0">
      <alignment horizontal="right" vertical="center"/>
    </xf>
    <xf numFmtId="4" fontId="176" fillId="84" borderId="61" applyNumberFormat="0" applyProtection="0">
      <alignment horizontal="right" vertical="center"/>
    </xf>
    <xf numFmtId="4" fontId="176" fillId="65" borderId="61" applyNumberFormat="0" applyProtection="0">
      <alignment horizontal="right" vertical="center"/>
    </xf>
    <xf numFmtId="4" fontId="174" fillId="85" borderId="62" applyNumberFormat="0" applyProtection="0">
      <alignment horizontal="left" vertical="center" indent="1"/>
    </xf>
    <xf numFmtId="4" fontId="176" fillId="86" borderId="0" applyNumberFormat="0" applyProtection="0">
      <alignment horizontal="left" vertical="center" indent="1"/>
    </xf>
    <xf numFmtId="4" fontId="177" fillId="87" borderId="0" applyNumberFormat="0" applyProtection="0">
      <alignment horizontal="left" vertical="center" indent="1"/>
    </xf>
    <xf numFmtId="4" fontId="176" fillId="88" borderId="61" applyNumberFormat="0" applyProtection="0">
      <alignment horizontal="right" vertical="center"/>
    </xf>
    <xf numFmtId="4" fontId="178" fillId="86" borderId="0" applyNumberFormat="0" applyProtection="0">
      <alignment horizontal="left" vertical="center" indent="1"/>
    </xf>
    <xf numFmtId="4" fontId="178" fillId="83" borderId="0" applyNumberFormat="0" applyProtection="0">
      <alignment horizontal="left" vertical="center" indent="1"/>
    </xf>
    <xf numFmtId="0" fontId="99" fillId="87" borderId="61" applyNumberFormat="0" applyProtection="0">
      <alignment horizontal="left" vertical="center" indent="1"/>
    </xf>
    <xf numFmtId="0" fontId="99" fillId="87" borderId="61" applyNumberFormat="0" applyProtection="0">
      <alignment horizontal="left" vertical="center" indent="1"/>
    </xf>
    <xf numFmtId="0" fontId="99" fillId="87" borderId="61" applyNumberFormat="0" applyProtection="0">
      <alignment horizontal="left" vertical="center" indent="1"/>
    </xf>
    <xf numFmtId="0" fontId="99" fillId="87" borderId="61" applyNumberFormat="0" applyProtection="0">
      <alignment horizontal="left" vertical="top" indent="1"/>
    </xf>
    <xf numFmtId="0" fontId="99" fillId="87" borderId="61" applyNumberFormat="0" applyProtection="0">
      <alignment horizontal="left" vertical="top" indent="1"/>
    </xf>
    <xf numFmtId="0" fontId="99" fillId="87" borderId="61" applyNumberFormat="0" applyProtection="0">
      <alignment horizontal="left" vertical="top" indent="1"/>
    </xf>
    <xf numFmtId="0" fontId="99" fillId="83" borderId="61" applyNumberFormat="0" applyProtection="0">
      <alignment horizontal="left" vertical="center" indent="1"/>
    </xf>
    <xf numFmtId="0" fontId="99" fillId="83" borderId="61" applyNumberFormat="0" applyProtection="0">
      <alignment horizontal="left" vertical="center" indent="1"/>
    </xf>
    <xf numFmtId="0" fontId="99" fillId="83" borderId="61" applyNumberFormat="0" applyProtection="0">
      <alignment horizontal="left" vertical="center" indent="1"/>
    </xf>
    <xf numFmtId="0" fontId="99" fillId="83" borderId="61" applyNumberFormat="0" applyProtection="0">
      <alignment horizontal="left" vertical="top" indent="1"/>
    </xf>
    <xf numFmtId="0" fontId="99" fillId="83" borderId="61" applyNumberFormat="0" applyProtection="0">
      <alignment horizontal="left" vertical="top" indent="1"/>
    </xf>
    <xf numFmtId="0" fontId="99" fillId="83" borderId="61" applyNumberFormat="0" applyProtection="0">
      <alignment horizontal="left" vertical="top" indent="1"/>
    </xf>
    <xf numFmtId="0" fontId="99" fillId="89" borderId="61" applyNumberFormat="0" applyProtection="0">
      <alignment horizontal="left" vertical="center" indent="1"/>
    </xf>
    <xf numFmtId="0" fontId="99" fillId="89" borderId="61" applyNumberFormat="0" applyProtection="0">
      <alignment horizontal="left" vertical="center" indent="1"/>
    </xf>
    <xf numFmtId="0" fontId="99" fillId="89" borderId="61" applyNumberFormat="0" applyProtection="0">
      <alignment horizontal="left" vertical="center" indent="1"/>
    </xf>
    <xf numFmtId="0" fontId="99" fillId="89" borderId="61" applyNumberFormat="0" applyProtection="0">
      <alignment horizontal="left" vertical="top" indent="1"/>
    </xf>
    <xf numFmtId="0" fontId="99" fillId="89" borderId="61" applyNumberFormat="0" applyProtection="0">
      <alignment horizontal="left" vertical="top" indent="1"/>
    </xf>
    <xf numFmtId="0" fontId="99" fillId="89" borderId="61" applyNumberFormat="0" applyProtection="0">
      <alignment horizontal="left" vertical="top" indent="1"/>
    </xf>
    <xf numFmtId="0" fontId="99" fillId="90" borderId="61" applyNumberFormat="0" applyProtection="0">
      <alignment horizontal="left" vertical="center" indent="1"/>
    </xf>
    <xf numFmtId="0" fontId="99" fillId="90" borderId="61" applyNumberFormat="0" applyProtection="0">
      <alignment horizontal="left" vertical="center" indent="1"/>
    </xf>
    <xf numFmtId="0" fontId="99" fillId="90" borderId="61" applyNumberFormat="0" applyProtection="0">
      <alignment horizontal="left" vertical="center" indent="1"/>
    </xf>
    <xf numFmtId="0" fontId="99" fillId="90" borderId="61" applyNumberFormat="0" applyProtection="0">
      <alignment horizontal="left" vertical="top" indent="1"/>
    </xf>
    <xf numFmtId="0" fontId="99" fillId="90" borderId="61" applyNumberFormat="0" applyProtection="0">
      <alignment horizontal="left" vertical="top" indent="1"/>
    </xf>
    <xf numFmtId="0" fontId="99" fillId="90" borderId="61" applyNumberFormat="0" applyProtection="0">
      <alignment horizontal="left" vertical="top" indent="1"/>
    </xf>
    <xf numFmtId="4" fontId="176" fillId="79" borderId="61" applyNumberFormat="0" applyProtection="0">
      <alignment vertical="center"/>
    </xf>
    <xf numFmtId="4" fontId="179" fillId="79" borderId="61" applyNumberFormat="0" applyProtection="0">
      <alignment vertical="center"/>
    </xf>
    <xf numFmtId="4" fontId="176" fillId="79" borderId="61" applyNumberFormat="0" applyProtection="0">
      <alignment horizontal="left" vertical="center" indent="1"/>
    </xf>
    <xf numFmtId="0" fontId="176" fillId="79" borderId="61" applyNumberFormat="0" applyProtection="0">
      <alignment horizontal="left" vertical="top" indent="1"/>
    </xf>
    <xf numFmtId="4" fontId="176" fillId="86" borderId="61" applyNumberFormat="0" applyProtection="0">
      <alignment horizontal="right" vertical="center"/>
    </xf>
    <xf numFmtId="4" fontId="176" fillId="91" borderId="49" applyNumberFormat="0" applyProtection="0">
      <alignment horizontal="right" vertical="center"/>
    </xf>
    <xf numFmtId="4" fontId="179" fillId="86" borderId="61" applyNumberFormat="0" applyProtection="0">
      <alignment horizontal="right" vertical="center"/>
    </xf>
    <xf numFmtId="4" fontId="176" fillId="88" borderId="61" applyNumberFormat="0" applyProtection="0">
      <alignment horizontal="left" vertical="center" indent="1"/>
    </xf>
    <xf numFmtId="0" fontId="176" fillId="83" borderId="61" applyNumberFormat="0" applyProtection="0">
      <alignment horizontal="left" vertical="top" indent="1"/>
    </xf>
    <xf numFmtId="4" fontId="180" fillId="92" borderId="0" applyNumberFormat="0" applyProtection="0">
      <alignment horizontal="left" vertical="center" indent="1"/>
    </xf>
    <xf numFmtId="4" fontId="181" fillId="86" borderId="61" applyNumberFormat="0" applyProtection="0">
      <alignment horizontal="right" vertical="center"/>
    </xf>
    <xf numFmtId="0" fontId="20" fillId="0" borderId="0" applyNumberFormat="0" applyFont="0" applyFill="0" applyBorder="0" applyAlignment="0" applyProtection="0"/>
    <xf numFmtId="0" fontId="182" fillId="0" borderId="0"/>
    <xf numFmtId="0" fontId="178" fillId="0" borderId="0">
      <alignment vertical="top"/>
    </xf>
    <xf numFmtId="0" fontId="183" fillId="0" borderId="63"/>
    <xf numFmtId="190" fontId="140" fillId="0" borderId="64" applyNumberFormat="0" applyFill="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1" fillId="0" borderId="47"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40" fillId="0" borderId="64"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40" fillId="0" borderId="64"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84" fillId="0" borderId="47" applyNumberFormat="0" applyFill="0" applyAlignment="0" applyProtection="0"/>
    <xf numFmtId="0" fontId="20" fillId="0" borderId="47" applyNumberFormat="0" applyFill="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139" fillId="0" borderId="65" applyNumberFormat="0" applyFill="0" applyAlignment="0" applyProtection="0"/>
    <xf numFmtId="0" fontId="139" fillId="0" borderId="65" applyNumberFormat="0" applyFill="0" applyAlignment="0" applyProtection="0"/>
    <xf numFmtId="0" fontId="139" fillId="0" borderId="65" applyNumberFormat="0" applyFill="0" applyAlignment="0" applyProtection="0"/>
    <xf numFmtId="190" fontId="140" fillId="0" borderId="64" applyNumberFormat="0" applyFill="0" applyAlignment="0" applyProtection="0"/>
    <xf numFmtId="0" fontId="139" fillId="0" borderId="65" applyNumberFormat="0" applyFill="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84" fillId="0" borderId="47" applyNumberFormat="0" applyFill="0" applyAlignment="0" applyProtection="0"/>
    <xf numFmtId="0" fontId="20" fillId="0" borderId="0" applyNumberFormat="0" applyFont="0" applyFill="0" applyBorder="0" applyAlignment="0" applyProtection="0"/>
    <xf numFmtId="190" fontId="140" fillId="0" borderId="64" applyNumberFormat="0" applyFill="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84" fillId="0" borderId="47" applyNumberFormat="0" applyFill="0" applyAlignment="0" applyProtection="0"/>
    <xf numFmtId="0" fontId="20" fillId="0" borderId="0" applyNumberFormat="0" applyFont="0" applyFill="0" applyBorder="0" applyAlignment="0" applyProtection="0"/>
    <xf numFmtId="0" fontId="21" fillId="0" borderId="47" applyNumberFormat="0" applyFill="0" applyAlignment="0" applyProtection="0"/>
    <xf numFmtId="0" fontId="184" fillId="0" borderId="47" applyNumberFormat="0" applyFill="0" applyAlignment="0" applyProtection="0"/>
    <xf numFmtId="0" fontId="20" fillId="0" borderId="47" applyNumberFormat="0" applyFill="0" applyAlignment="0" applyProtection="0"/>
    <xf numFmtId="0" fontId="20" fillId="0" borderId="47" applyNumberFormat="0" applyFill="0" applyAlignment="0" applyProtection="0"/>
    <xf numFmtId="0" fontId="184" fillId="0" borderId="47" applyNumberFormat="0" applyFill="0" applyAlignment="0" applyProtection="0"/>
    <xf numFmtId="0" fontId="20" fillId="0" borderId="47" applyNumberFormat="0" applyFill="0" applyAlignment="0" applyProtection="0"/>
    <xf numFmtId="190" fontId="185"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90"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0" fillId="0" borderId="0" applyNumberFormat="0" applyFont="0" applyFill="0" applyBorder="0" applyAlignment="0" applyProtection="0"/>
    <xf numFmtId="0" fontId="185"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0" fillId="0" borderId="0" applyNumberFormat="0" applyFont="0" applyFill="0" applyBorder="0" applyAlignment="0" applyProtection="0"/>
    <xf numFmtId="0" fontId="185" fillId="0" borderId="0" applyNumberFormat="0" applyFill="0" applyBorder="0" applyAlignment="0" applyProtection="0"/>
    <xf numFmtId="0" fontId="20" fillId="0" borderId="0" applyNumberFormat="0" applyFont="0" applyFill="0" applyBorder="0" applyAlignment="0" applyProtection="0"/>
    <xf numFmtId="0" fontId="185" fillId="0" borderId="0" applyNumberFormat="0" applyFill="0" applyBorder="0" applyAlignment="0" applyProtection="0"/>
    <xf numFmtId="0" fontId="20" fillId="0" borderId="0" applyNumberFormat="0" applyFon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6" fillId="0" borderId="0" applyNumberFormat="0" applyFill="0" applyBorder="0" applyAlignment="0" applyProtection="0"/>
    <xf numFmtId="0" fontId="187"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190" fontId="185" fillId="0" borderId="0" applyNumberFormat="0" applyFill="0" applyBorder="0" applyAlignment="0" applyProtection="0"/>
    <xf numFmtId="0" fontId="185"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86" fillId="0" borderId="0" applyNumberFormat="0" applyFill="0" applyBorder="0" applyAlignment="0" applyProtection="0"/>
    <xf numFmtId="0" fontId="20" fillId="0" borderId="0" applyNumberFormat="0" applyFont="0" applyFill="0" applyBorder="0" applyAlignment="0" applyProtection="0"/>
    <xf numFmtId="190" fontId="185"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86" fillId="0" borderId="0" applyNumberFormat="0" applyFill="0" applyBorder="0" applyAlignment="0" applyProtection="0"/>
    <xf numFmtId="0" fontId="20" fillId="0" borderId="0" applyNumberFormat="0" applyFont="0" applyFill="0" applyBorder="0" applyAlignment="0" applyProtection="0"/>
    <xf numFmtId="0" fontId="90" fillId="0" borderId="0" applyNumberFormat="0" applyFill="0" applyBorder="0" applyAlignment="0" applyProtection="0"/>
    <xf numFmtId="0" fontId="186" fillId="0" borderId="0" applyNumberFormat="0" applyFill="0" applyBorder="0" applyAlignment="0" applyProtection="0"/>
    <xf numFmtId="0" fontId="187" fillId="0" borderId="0" applyNumberFormat="0" applyFill="0" applyBorder="0" applyAlignment="0" applyProtection="0"/>
    <xf numFmtId="0" fontId="187" fillId="0" borderId="0" applyNumberFormat="0" applyFill="0" applyBorder="0" applyAlignment="0" applyProtection="0"/>
    <xf numFmtId="0" fontId="186" fillId="0" borderId="0" applyNumberFormat="0" applyFill="0" applyBorder="0" applyAlignment="0" applyProtection="0"/>
    <xf numFmtId="0" fontId="187" fillId="0" borderId="0" applyNumberFormat="0" applyFill="0" applyBorder="0" applyAlignment="0" applyProtection="0"/>
    <xf numFmtId="190" fontId="188"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89"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20" fillId="0" borderId="0" applyNumberFormat="0" applyFont="0" applyFill="0" applyBorder="0" applyAlignment="0" applyProtection="0"/>
    <xf numFmtId="0" fontId="189"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20" fillId="0" borderId="0" applyNumberFormat="0" applyFont="0" applyFill="0" applyBorder="0" applyAlignment="0" applyProtection="0"/>
    <xf numFmtId="0" fontId="189" fillId="0" borderId="0" applyNumberFormat="0" applyFill="0" applyBorder="0" applyAlignment="0" applyProtection="0"/>
    <xf numFmtId="0" fontId="20" fillId="0" borderId="0" applyNumberFormat="0" applyFont="0" applyFill="0" applyBorder="0" applyAlignment="0" applyProtection="0"/>
    <xf numFmtId="0" fontId="189" fillId="0" borderId="0" applyNumberFormat="0" applyFill="0" applyBorder="0" applyAlignment="0" applyProtection="0"/>
    <xf numFmtId="0" fontId="20" fillId="0" borderId="0" applyNumberFormat="0" applyFont="0" applyFill="0" applyBorder="0" applyAlignment="0" applyProtection="0"/>
    <xf numFmtId="0" fontId="189"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8" fillId="0" borderId="0" applyNumberFormat="0" applyFill="0" applyBorder="0" applyAlignment="0" applyProtection="0"/>
    <xf numFmtId="0" fontId="188"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0"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190" fontId="188" fillId="0" borderId="0" applyNumberFormat="0" applyFill="0" applyBorder="0" applyAlignment="0" applyProtection="0"/>
    <xf numFmtId="0" fontId="189"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8" fillId="0" borderId="0" applyNumberFormat="0" applyFill="0" applyBorder="0" applyAlignment="0" applyProtection="0"/>
    <xf numFmtId="0" fontId="188" fillId="0" borderId="0" applyNumberFormat="0" applyFill="0" applyBorder="0" applyAlignment="0" applyProtection="0"/>
    <xf numFmtId="0" fontId="190" fillId="0" borderId="0" applyNumberFormat="0" applyFill="0" applyBorder="0" applyAlignment="0" applyProtection="0"/>
    <xf numFmtId="0" fontId="20" fillId="0" borderId="0" applyNumberFormat="0" applyFont="0" applyFill="0" applyBorder="0" applyAlignment="0" applyProtection="0"/>
    <xf numFmtId="190" fontId="188"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8" fillId="0" borderId="0" applyNumberFormat="0" applyFill="0" applyBorder="0" applyAlignment="0" applyProtection="0"/>
    <xf numFmtId="0" fontId="188" fillId="0" borderId="0" applyNumberFormat="0" applyFill="0" applyBorder="0" applyAlignment="0" applyProtection="0"/>
    <xf numFmtId="0" fontId="190" fillId="0" borderId="0" applyNumberFormat="0" applyFill="0" applyBorder="0" applyAlignment="0" applyProtection="0"/>
    <xf numFmtId="0" fontId="20" fillId="0" borderId="0" applyNumberFormat="0" applyFont="0" applyFill="0" applyBorder="0" applyAlignment="0" applyProtection="0"/>
    <xf numFmtId="0" fontId="89"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190" fontId="191"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3"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190" fontId="191" fillId="0" borderId="0" applyNumberFormat="0" applyFill="0" applyBorder="0" applyAlignment="0" applyProtection="0"/>
    <xf numFmtId="0" fontId="192"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20" fillId="0" borderId="0" applyNumberFormat="0" applyFont="0" applyFill="0" applyBorder="0" applyAlignment="0" applyProtection="0"/>
    <xf numFmtId="190" fontId="191"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20" fillId="0" borderId="0" applyNumberFormat="0" applyFon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194" fillId="0" borderId="0" applyNumberFormat="0" applyFill="0" applyBorder="0" applyAlignment="0" applyProtection="0"/>
    <xf numFmtId="3" fontId="195" fillId="0" borderId="0"/>
    <xf numFmtId="211" fontId="166" fillId="0" borderId="0">
      <alignment horizontal="left"/>
    </xf>
    <xf numFmtId="0" fontId="20"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0"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0"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0" fillId="28" borderId="46" applyNumberFormat="0" applyFont="0" applyAlignment="0" applyProtection="0"/>
    <xf numFmtId="0" fontId="20" fillId="28" borderId="46" applyNumberFormat="0" applyFont="0" applyAlignment="0" applyProtection="0"/>
    <xf numFmtId="0" fontId="20" fillId="28" borderId="46" applyNumberFormat="0" applyFont="0" applyAlignment="0" applyProtection="0"/>
    <xf numFmtId="0" fontId="20" fillId="28" borderId="46" applyNumberFormat="0" applyFont="0" applyAlignment="0" applyProtection="0"/>
    <xf numFmtId="0" fontId="20" fillId="28" borderId="46" applyNumberFormat="0" applyFont="0" applyAlignment="0" applyProtection="0"/>
    <xf numFmtId="0" fontId="20" fillId="28" borderId="46" applyNumberFormat="0" applyFont="0" applyAlignment="0" applyProtection="0"/>
    <xf numFmtId="0" fontId="20" fillId="28" borderId="46" applyNumberFormat="0" applyFont="0" applyAlignment="0" applyProtection="0"/>
    <xf numFmtId="190" fontId="99" fillId="60" borderId="66" applyNumberFormat="0" applyFon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28" borderId="46"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46" applyNumberFormat="0" applyFont="0" applyFill="0" applyAlignment="0" applyProtection="0"/>
    <xf numFmtId="0" fontId="20" fillId="28" borderId="46" applyNumberFormat="0" applyFont="0" applyAlignment="0" applyProtection="0"/>
    <xf numFmtId="0" fontId="20" fillId="28" borderId="46"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46" applyNumberFormat="0" applyFont="0" applyFill="0" applyAlignment="0" applyProtection="0"/>
    <xf numFmtId="0" fontId="20" fillId="28" borderId="46"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28" borderId="46"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99" fillId="60" borderId="66"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99" fillId="60" borderId="66"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0" borderId="0" applyNumberFormat="0" applyFont="0" applyFill="0" applyBorder="0" applyAlignment="0" applyProtection="0"/>
    <xf numFmtId="0" fontId="13" fillId="60" borderId="67" applyNumberFormat="0" applyFont="0" applyAlignment="0" applyProtection="0"/>
    <xf numFmtId="0" fontId="13" fillId="60" borderId="67" applyNumberFormat="0" applyFont="0" applyAlignment="0" applyProtection="0"/>
    <xf numFmtId="0" fontId="13" fillId="60" borderId="67" applyNumberFormat="0" applyFont="0" applyAlignment="0" applyProtection="0"/>
    <xf numFmtId="0" fontId="20" fillId="28" borderId="46" applyNumberFormat="0" applyFont="0" applyAlignment="0" applyProtection="0"/>
    <xf numFmtId="0" fontId="20" fillId="0" borderId="46" applyNumberFormat="0" applyFont="0" applyFill="0" applyAlignment="0" applyProtection="0"/>
    <xf numFmtId="0" fontId="20" fillId="28" borderId="46" applyNumberFormat="0" applyFont="0" applyAlignment="0" applyProtection="0"/>
    <xf numFmtId="0" fontId="20" fillId="28" borderId="46" applyNumberFormat="0" applyFont="0" applyAlignment="0" applyProtection="0"/>
    <xf numFmtId="0" fontId="20" fillId="28" borderId="46" applyNumberFormat="0" applyFont="0" applyAlignment="0" applyProtection="0"/>
    <xf numFmtId="0" fontId="20" fillId="28" borderId="46" applyNumberFormat="0" applyFont="0" applyAlignment="0" applyProtection="0"/>
    <xf numFmtId="0" fontId="20" fillId="28" borderId="46" applyNumberFormat="0" applyFont="0" applyAlignment="0" applyProtection="0"/>
    <xf numFmtId="0" fontId="20" fillId="28" borderId="46" applyNumberFormat="0" applyFont="0" applyAlignment="0" applyProtection="0"/>
    <xf numFmtId="0" fontId="20" fillId="28" borderId="46" applyNumberFormat="0" applyFont="0" applyAlignment="0" applyProtection="0"/>
    <xf numFmtId="0" fontId="20" fillId="28" borderId="46" applyNumberFormat="0" applyFont="0" applyAlignment="0" applyProtection="0"/>
    <xf numFmtId="0" fontId="20" fillId="28" borderId="46" applyNumberFormat="0" applyFont="0" applyAlignment="0" applyProtection="0"/>
    <xf numFmtId="0" fontId="20" fillId="28" borderId="46" applyNumberFormat="0" applyFont="0" applyAlignment="0" applyProtection="0"/>
    <xf numFmtId="190" fontId="99" fillId="60" borderId="6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13" fillId="28" borderId="46" applyNumberFormat="0" applyFont="0" applyAlignment="0" applyProtection="0"/>
    <xf numFmtId="0" fontId="13" fillId="28" borderId="46" applyNumberFormat="0" applyFont="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13" fillId="28" borderId="46" applyNumberFormat="0" applyFont="0" applyAlignment="0" applyProtection="0"/>
    <xf numFmtId="0" fontId="13" fillId="28" borderId="46" applyNumberFormat="0" applyFont="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13" fillId="28" borderId="46" applyNumberFormat="0" applyFont="0" applyAlignment="0" applyProtection="0"/>
    <xf numFmtId="0" fontId="13" fillId="28" borderId="46" applyNumberFormat="0" applyFont="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13" fillId="28" borderId="46" applyNumberFormat="0" applyFont="0" applyAlignment="0" applyProtection="0"/>
    <xf numFmtId="0" fontId="13" fillId="28" borderId="46" applyNumberFormat="0" applyFont="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13" fillId="28" borderId="46" applyNumberFormat="0" applyFont="0" applyAlignment="0" applyProtection="0"/>
    <xf numFmtId="0" fontId="13" fillId="28" borderId="46" applyNumberFormat="0" applyFont="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13" fillId="28" borderId="46" applyNumberFormat="0" applyFont="0" applyAlignment="0" applyProtection="0"/>
    <xf numFmtId="0" fontId="13" fillId="28" borderId="46" applyNumberFormat="0" applyFont="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13" fillId="28" borderId="46" applyNumberFormat="0" applyFont="0" applyAlignment="0" applyProtection="0"/>
    <xf numFmtId="0" fontId="13" fillId="28" borderId="46" applyNumberFormat="0" applyFont="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13" fillId="28" borderId="46" applyNumberFormat="0" applyFont="0" applyAlignment="0" applyProtection="0"/>
    <xf numFmtId="0" fontId="13" fillId="28" borderId="46" applyNumberFormat="0" applyFont="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0" applyNumberFormat="0" applyFont="0" applyFill="0" applyBorder="0" applyAlignment="0" applyProtection="0"/>
    <xf numFmtId="0" fontId="13" fillId="28" borderId="46" applyNumberFormat="0" applyFont="0" applyAlignment="0" applyProtection="0"/>
    <xf numFmtId="0" fontId="20" fillId="0" borderId="0" applyNumberFormat="0" applyFont="0" applyFill="0" applyBorder="0" applyAlignment="0" applyProtection="0"/>
    <xf numFmtId="0" fontId="13" fillId="28" borderId="46" applyNumberFormat="0" applyFont="0" applyAlignment="0" applyProtection="0"/>
    <xf numFmtId="0" fontId="20" fillId="0" borderId="0" applyNumberFormat="0" applyFont="0" applyFill="0" applyBorder="0" applyAlignment="0" applyProtection="0"/>
    <xf numFmtId="0" fontId="13" fillId="28" borderId="46" applyNumberFormat="0" applyFont="0" applyAlignment="0" applyProtection="0"/>
    <xf numFmtId="0" fontId="20" fillId="0" borderId="0" applyNumberFormat="0" applyFont="0" applyFill="0" applyBorder="0" applyAlignment="0" applyProtection="0"/>
    <xf numFmtId="0" fontId="13" fillId="28" borderId="46" applyNumberFormat="0" applyFont="0" applyAlignment="0" applyProtection="0"/>
    <xf numFmtId="0" fontId="20" fillId="0" borderId="0" applyNumberFormat="0" applyFont="0" applyFill="0" applyBorder="0" applyAlignment="0" applyProtection="0"/>
    <xf numFmtId="0" fontId="13" fillId="28" borderId="46" applyNumberFormat="0" applyFont="0" applyAlignment="0" applyProtection="0"/>
    <xf numFmtId="0" fontId="20" fillId="0" borderId="0" applyNumberFormat="0" applyFont="0" applyFill="0" applyBorder="0" applyAlignment="0" applyProtection="0"/>
    <xf numFmtId="0" fontId="13" fillId="28" borderId="46" applyNumberFormat="0" applyFont="0" applyAlignment="0" applyProtection="0"/>
    <xf numFmtId="0" fontId="20" fillId="0" borderId="0" applyNumberFormat="0" applyFont="0" applyFill="0" applyBorder="0" applyAlignment="0" applyProtection="0"/>
    <xf numFmtId="0" fontId="13" fillId="28" borderId="46" applyNumberFormat="0" applyFont="0" applyAlignment="0" applyProtection="0"/>
    <xf numFmtId="0" fontId="20" fillId="0" borderId="0" applyNumberFormat="0" applyFont="0" applyFill="0" applyBorder="0" applyAlignment="0" applyProtection="0"/>
    <xf numFmtId="0" fontId="13" fillId="28" borderId="46" applyNumberFormat="0" applyFont="0" applyAlignment="0" applyProtection="0"/>
    <xf numFmtId="0" fontId="20"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13" fillId="28" borderId="46" applyNumberFormat="0" applyFont="0" applyAlignment="0" applyProtection="0"/>
    <xf numFmtId="0" fontId="13" fillId="28" borderId="46" applyNumberFormat="0" applyFont="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13" fillId="28" borderId="46" applyNumberFormat="0" applyFont="0" applyAlignment="0" applyProtection="0"/>
    <xf numFmtId="0" fontId="13" fillId="28" borderId="46" applyNumberFormat="0" applyFont="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13" fillId="28" borderId="46" applyNumberFormat="0" applyFont="0" applyAlignment="0" applyProtection="0"/>
    <xf numFmtId="0" fontId="13" fillId="28" borderId="46" applyNumberFormat="0" applyFont="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13" fillId="28" borderId="46" applyNumberFormat="0" applyFont="0" applyAlignment="0" applyProtection="0"/>
    <xf numFmtId="0" fontId="13" fillId="28" borderId="46" applyNumberFormat="0" applyFont="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0" applyNumberFormat="0" applyFont="0" applyFill="0" applyBorder="0" applyAlignment="0" applyProtection="0"/>
    <xf numFmtId="0" fontId="13" fillId="28" borderId="46" applyNumberFormat="0" applyFont="0" applyAlignment="0" applyProtection="0"/>
    <xf numFmtId="0" fontId="20" fillId="0" borderId="0" applyNumberFormat="0" applyFont="0" applyFill="0" applyBorder="0" applyAlignment="0" applyProtection="0"/>
    <xf numFmtId="0" fontId="13" fillId="28" borderId="46" applyNumberFormat="0" applyFont="0" applyAlignment="0" applyProtection="0"/>
    <xf numFmtId="0" fontId="20" fillId="0" borderId="0" applyNumberFormat="0" applyFont="0" applyFill="0" applyBorder="0" applyAlignment="0" applyProtection="0"/>
    <xf numFmtId="0" fontId="13" fillId="28" borderId="46" applyNumberFormat="0" applyFont="0" applyAlignment="0" applyProtection="0"/>
    <xf numFmtId="0" fontId="20" fillId="0" borderId="0" applyNumberFormat="0" applyFont="0" applyFill="0" applyBorder="0" applyAlignment="0" applyProtection="0"/>
    <xf numFmtId="0" fontId="13" fillId="28" borderId="46" applyNumberFormat="0" applyFont="0" applyAlignment="0" applyProtection="0"/>
    <xf numFmtId="0" fontId="20" fillId="0" borderId="0" applyNumberFormat="0" applyFont="0" applyFill="0" applyBorder="0" applyAlignment="0" applyProtection="0"/>
    <xf numFmtId="0" fontId="13" fillId="28" borderId="46" applyNumberFormat="0" applyFont="0" applyAlignment="0" applyProtection="0"/>
    <xf numFmtId="0" fontId="20" fillId="0" borderId="0" applyNumberFormat="0" applyFont="0" applyFill="0" applyBorder="0" applyAlignment="0" applyProtection="0"/>
    <xf numFmtId="0" fontId="13" fillId="28" borderId="46" applyNumberFormat="0" applyFont="0" applyAlignment="0" applyProtection="0"/>
    <xf numFmtId="0" fontId="20" fillId="0" borderId="0" applyNumberFormat="0" applyFont="0" applyFill="0" applyBorder="0" applyAlignment="0" applyProtection="0"/>
    <xf numFmtId="0" fontId="13" fillId="28" borderId="46" applyNumberFormat="0" applyFont="0" applyAlignment="0" applyProtection="0"/>
    <xf numFmtId="0" fontId="20" fillId="0" borderId="0" applyNumberFormat="0" applyFont="0" applyFill="0" applyBorder="0" applyAlignment="0" applyProtection="0"/>
    <xf numFmtId="0" fontId="13" fillId="28" borderId="46" applyNumberFormat="0" applyFont="0" applyAlignment="0" applyProtection="0"/>
    <xf numFmtId="0" fontId="20" fillId="0" borderId="0" applyNumberFormat="0" applyFont="0" applyFill="0" applyBorder="0" applyAlignment="0" applyProtection="0"/>
    <xf numFmtId="0" fontId="13" fillId="28" borderId="46" applyNumberFormat="0" applyFont="0" applyAlignment="0" applyProtection="0"/>
    <xf numFmtId="0" fontId="20" fillId="0" borderId="0" applyNumberFormat="0" applyFont="0" applyFill="0" applyBorder="0" applyAlignment="0" applyProtection="0"/>
    <xf numFmtId="0" fontId="13" fillId="28" borderId="46" applyNumberFormat="0" applyFont="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13" fillId="28" borderId="46" applyNumberFormat="0" applyFont="0" applyAlignment="0" applyProtection="0"/>
    <xf numFmtId="0" fontId="13" fillId="28" borderId="46" applyNumberFormat="0" applyFont="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13" fillId="28" borderId="46" applyNumberFormat="0" applyFont="0" applyAlignment="0" applyProtection="0"/>
    <xf numFmtId="0" fontId="13" fillId="28" borderId="46" applyNumberFormat="0" applyFont="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13" fillId="28" borderId="46" applyNumberFormat="0" applyFont="0" applyAlignment="0" applyProtection="0"/>
    <xf numFmtId="0" fontId="13" fillId="28" borderId="46" applyNumberFormat="0" applyFont="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13" fillId="28" borderId="46" applyNumberFormat="0" applyFont="0" applyAlignment="0" applyProtection="0"/>
    <xf numFmtId="0" fontId="13" fillId="28" borderId="46" applyNumberFormat="0" applyFont="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20" fillId="0" borderId="46" applyNumberFormat="0" applyFont="0" applyFill="0" applyAlignment="0" applyProtection="0"/>
    <xf numFmtId="0" fontId="13" fillId="28" borderId="46" applyNumberFormat="0" applyFont="0" applyAlignment="0" applyProtection="0"/>
    <xf numFmtId="0" fontId="99" fillId="60" borderId="66" applyNumberFormat="0" applyFont="0" applyAlignment="0" applyProtection="0"/>
    <xf numFmtId="0" fontId="13" fillId="28" borderId="46" applyNumberFormat="0" applyFont="0" applyAlignment="0" applyProtection="0"/>
    <xf numFmtId="0" fontId="99" fillId="60" borderId="6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13" fillId="28" borderId="46" applyNumberFormat="0" applyFont="0" applyAlignment="0" applyProtection="0"/>
    <xf numFmtId="0" fontId="13" fillId="28" borderId="46" applyNumberFormat="0" applyFont="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13" fillId="28" borderId="46" applyNumberFormat="0" applyFont="0" applyAlignment="0" applyProtection="0"/>
    <xf numFmtId="0" fontId="13" fillId="28" borderId="46" applyNumberFormat="0" applyFont="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13" fillId="28" borderId="46" applyNumberFormat="0" applyFont="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13" fillId="28" borderId="46" applyNumberFormat="0" applyFont="0" applyAlignment="0" applyProtection="0"/>
    <xf numFmtId="0" fontId="13" fillId="28" borderId="46" applyNumberFormat="0" applyFont="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13" fillId="28" borderId="46" applyNumberFormat="0" applyFont="0" applyAlignment="0" applyProtection="0"/>
    <xf numFmtId="0" fontId="13" fillId="28" borderId="46" applyNumberFormat="0" applyFont="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0" borderId="46" applyNumberFormat="0" applyFont="0" applyFill="0" applyAlignment="0" applyProtection="0"/>
    <xf numFmtId="0" fontId="20" fillId="28" borderId="46" applyNumberFormat="0" applyFont="0" applyAlignment="0" applyProtection="0"/>
    <xf numFmtId="0" fontId="20" fillId="28" borderId="46" applyNumberFormat="0" applyFont="0" applyAlignment="0" applyProtection="0"/>
    <xf numFmtId="0" fontId="20"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190" fontId="99" fillId="60" borderId="66" applyNumberFormat="0" applyFon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28" borderId="46" applyNumberFormat="0" applyFont="0" applyAlignment="0" applyProtection="0"/>
    <xf numFmtId="0" fontId="20" fillId="0" borderId="0" applyNumberFormat="0" applyFont="0" applyFill="0" applyBorder="0" applyAlignment="0" applyProtection="0"/>
    <xf numFmtId="0" fontId="99" fillId="60" borderId="66" applyNumberFormat="0" applyFont="0" applyAlignment="0" applyProtection="0"/>
    <xf numFmtId="0" fontId="99" fillId="60" borderId="66" applyNumberFormat="0" applyFont="0" applyAlignment="0" applyProtection="0"/>
    <xf numFmtId="0" fontId="20" fillId="28" borderId="46" applyNumberFormat="0" applyFont="0" applyAlignment="0" applyProtection="0"/>
    <xf numFmtId="0" fontId="20" fillId="0" borderId="46" applyNumberFormat="0" applyFont="0" applyFill="0" applyAlignment="0" applyProtection="0"/>
    <xf numFmtId="0" fontId="20" fillId="28" borderId="46" applyNumberFormat="0" applyFont="0" applyAlignment="0" applyProtection="0"/>
    <xf numFmtId="0" fontId="20" fillId="0" borderId="0" applyNumberFormat="0" applyFont="0" applyFill="0" applyBorder="0" applyAlignment="0" applyProtection="0"/>
    <xf numFmtId="0" fontId="20" fillId="28" borderId="46" applyNumberFormat="0" applyFont="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0" fillId="28" borderId="46" applyNumberFormat="0" applyFont="0" applyAlignment="0" applyProtection="0"/>
    <xf numFmtId="0" fontId="20" fillId="28" borderId="46" applyNumberFormat="0" applyFont="0" applyAlignment="0" applyProtection="0"/>
    <xf numFmtId="0" fontId="20" fillId="28" borderId="46" applyNumberFormat="0" applyFont="0" applyAlignment="0" applyProtection="0"/>
    <xf numFmtId="0" fontId="20" fillId="0" borderId="46" applyNumberFormat="0" applyFont="0" applyFill="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0" fillId="28" borderId="46" applyNumberFormat="0" applyFont="0" applyAlignment="0" applyProtection="0"/>
    <xf numFmtId="0" fontId="20" fillId="28" borderId="46" applyNumberFormat="0" applyFont="0" applyAlignment="0" applyProtection="0"/>
    <xf numFmtId="0" fontId="20" fillId="28" borderId="46" applyNumberFormat="0" applyFont="0" applyAlignment="0" applyProtection="0"/>
    <xf numFmtId="0" fontId="20" fillId="0" borderId="46" applyNumberFormat="0" applyFont="0" applyFill="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0" fillId="28" borderId="46" applyNumberFormat="0" applyFont="0" applyAlignment="0" applyProtection="0"/>
    <xf numFmtId="0" fontId="20" fillId="28" borderId="46" applyNumberFormat="0" applyFont="0" applyAlignment="0" applyProtection="0"/>
    <xf numFmtId="0" fontId="20" fillId="28" borderId="46" applyNumberFormat="0" applyFont="0" applyAlignment="0" applyProtection="0"/>
    <xf numFmtId="0" fontId="20" fillId="0" borderId="46" applyNumberFormat="0" applyFont="0" applyFill="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0" fillId="28" borderId="46" applyNumberFormat="0" applyFont="0" applyAlignment="0" applyProtection="0"/>
    <xf numFmtId="0" fontId="20" fillId="28" borderId="46" applyNumberFormat="0" applyFont="0" applyAlignment="0" applyProtection="0"/>
    <xf numFmtId="0" fontId="20"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0"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196" fontId="143" fillId="0" borderId="0"/>
    <xf numFmtId="213" fontId="104" fillId="0" borderId="0" applyFont="0" applyFill="0" applyBorder="0" applyAlignment="0" applyProtection="0"/>
    <xf numFmtId="192" fontId="103" fillId="0" borderId="0" applyFont="0" applyFill="0" applyBorder="0" applyAlignment="0" applyProtection="0"/>
    <xf numFmtId="214" fontId="99" fillId="0" borderId="0" applyFont="0" applyFill="0" applyBorder="0" applyAlignment="0" applyProtection="0"/>
    <xf numFmtId="215" fontId="99" fillId="0" borderId="0" applyFont="0" applyFill="0" applyBorder="0" applyAlignment="0" applyProtection="0"/>
    <xf numFmtId="44" fontId="20"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44" fontId="99"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44" fontId="2" fillId="0" borderId="0" applyFont="0" applyFill="0" applyBorder="0" applyAlignment="0" applyProtection="0"/>
    <xf numFmtId="44" fontId="99"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44" fontId="99"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44" fontId="99"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190" fontId="196" fillId="54"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6" fillId="54" borderId="0" applyNumberFormat="0" applyBorder="0" applyAlignment="0" applyProtection="0"/>
    <xf numFmtId="0" fontId="196" fillId="54"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6" fillId="54" borderId="0" applyNumberFormat="0" applyBorder="0" applyAlignment="0" applyProtection="0"/>
    <xf numFmtId="0" fontId="196" fillId="54"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6" fillId="54" borderId="0" applyNumberFormat="0" applyBorder="0" applyAlignment="0" applyProtection="0"/>
    <xf numFmtId="0" fontId="196" fillId="54"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6" fillId="54" borderId="0" applyNumberFormat="0" applyBorder="0" applyAlignment="0" applyProtection="0"/>
    <xf numFmtId="0" fontId="196" fillId="54"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6" fillId="54" borderId="0" applyNumberFormat="0" applyBorder="0" applyAlignment="0" applyProtection="0"/>
    <xf numFmtId="0" fontId="196" fillId="54"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6" fillId="54" borderId="0" applyNumberFormat="0" applyBorder="0" applyAlignment="0" applyProtection="0"/>
    <xf numFmtId="0" fontId="196" fillId="54"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6" fillId="54" borderId="0" applyNumberFormat="0" applyBorder="0" applyAlignment="0" applyProtection="0"/>
    <xf numFmtId="0" fontId="196" fillId="54"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6" fillId="54" borderId="0" applyNumberFormat="0" applyBorder="0" applyAlignment="0" applyProtection="0"/>
    <xf numFmtId="0" fontId="196" fillId="54"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6" fillId="54" borderId="0" applyNumberFormat="0" applyBorder="0" applyAlignment="0" applyProtection="0"/>
    <xf numFmtId="0" fontId="196" fillId="54"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6" fillId="54" borderId="0" applyNumberFormat="0" applyBorder="0" applyAlignment="0" applyProtection="0"/>
    <xf numFmtId="0" fontId="196" fillId="54"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82" fillId="23"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6" fillId="54" borderId="0" applyNumberFormat="0" applyBorder="0" applyAlignment="0" applyProtection="0"/>
    <xf numFmtId="0" fontId="196" fillId="54"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6" fillId="54" borderId="0" applyNumberFormat="0" applyBorder="0" applyAlignment="0" applyProtection="0"/>
    <xf numFmtId="0" fontId="196" fillId="54"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6" fillId="54" borderId="0" applyNumberFormat="0" applyBorder="0" applyAlignment="0" applyProtection="0"/>
    <xf numFmtId="0" fontId="196" fillId="54"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6" fillId="54" borderId="0" applyNumberFormat="0" applyBorder="0" applyAlignment="0" applyProtection="0"/>
    <xf numFmtId="0" fontId="196" fillId="54"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6" fillId="54" borderId="0" applyNumberFormat="0" applyBorder="0" applyAlignment="0" applyProtection="0"/>
    <xf numFmtId="0" fontId="196" fillId="54"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6" fillId="54" borderId="0" applyNumberFormat="0" applyBorder="0" applyAlignment="0" applyProtection="0"/>
    <xf numFmtId="0" fontId="196" fillId="54"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6" fillId="54" borderId="0" applyNumberFormat="0" applyBorder="0" applyAlignment="0" applyProtection="0"/>
    <xf numFmtId="0" fontId="196" fillId="54"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6" fillId="54" borderId="0" applyNumberFormat="0" applyBorder="0" applyAlignment="0" applyProtection="0"/>
    <xf numFmtId="0" fontId="196" fillId="54"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6" fillId="54" borderId="0" applyNumberFormat="0" applyBorder="0" applyAlignment="0" applyProtection="0"/>
    <xf numFmtId="0" fontId="196" fillId="54"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6" fillId="54" borderId="0" applyNumberFormat="0" applyBorder="0" applyAlignment="0" applyProtection="0"/>
    <xf numFmtId="0" fontId="196" fillId="54"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6" fillId="54"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6" fillId="54" borderId="0" applyNumberFormat="0" applyBorder="0" applyAlignment="0" applyProtection="0"/>
    <xf numFmtId="0" fontId="196" fillId="54"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6" fillId="54" borderId="0" applyNumberFormat="0" applyBorder="0" applyAlignment="0" applyProtection="0"/>
    <xf numFmtId="0" fontId="20" fillId="0" borderId="0" applyNumberFormat="0" applyFont="0" applyFill="0" applyBorder="0" applyAlignment="0" applyProtection="0"/>
    <xf numFmtId="0" fontId="196" fillId="54" borderId="0" applyNumberFormat="0" applyBorder="0" applyAlignment="0" applyProtection="0"/>
    <xf numFmtId="0" fontId="20" fillId="0" borderId="0" applyNumberFormat="0" applyFont="0" applyFill="0" applyBorder="0" applyAlignment="0" applyProtection="0"/>
    <xf numFmtId="0" fontId="196" fillId="54"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6" fillId="54" borderId="0" applyNumberFormat="0" applyBorder="0" applyAlignment="0" applyProtection="0"/>
    <xf numFmtId="0" fontId="196" fillId="54"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6" fillId="54" borderId="0" applyNumberFormat="0" applyBorder="0" applyAlignment="0" applyProtection="0"/>
    <xf numFmtId="0" fontId="196" fillId="54"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6" fillId="54" borderId="0" applyNumberFormat="0" applyBorder="0" applyAlignment="0" applyProtection="0"/>
    <xf numFmtId="0" fontId="196" fillId="54" borderId="0" applyNumberFormat="0" applyBorder="0" applyAlignment="0" applyProtection="0"/>
    <xf numFmtId="0" fontId="197" fillId="23" borderId="0" applyNumberFormat="0" applyBorder="0" applyAlignment="0" applyProtection="0"/>
    <xf numFmtId="0" fontId="197"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6" fillId="54" borderId="0" applyNumberFormat="0" applyBorder="0" applyAlignment="0" applyProtection="0"/>
    <xf numFmtId="0" fontId="196" fillId="54"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6" fillId="54" borderId="0" applyNumberFormat="0" applyBorder="0" applyAlignment="0" applyProtection="0"/>
    <xf numFmtId="0" fontId="196" fillId="54"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6" fillId="54" borderId="0" applyNumberFormat="0" applyBorder="0" applyAlignment="0" applyProtection="0"/>
    <xf numFmtId="0" fontId="196" fillId="54"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6" fillId="54" borderId="0" applyNumberFormat="0" applyBorder="0" applyAlignment="0" applyProtection="0"/>
    <xf numFmtId="0" fontId="196" fillId="54"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190" fontId="196" fillId="54"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6" fillId="54" borderId="0" applyNumberFormat="0" applyBorder="0" applyAlignment="0" applyProtection="0"/>
    <xf numFmtId="0" fontId="20" fillId="0" borderId="0" applyNumberFormat="0" applyFont="0" applyFill="0" applyBorder="0" applyAlignment="0" applyProtection="0"/>
    <xf numFmtId="0" fontId="196" fillId="54" borderId="0" applyNumberFormat="0" applyBorder="0" applyAlignment="0" applyProtection="0"/>
    <xf numFmtId="0" fontId="196" fillId="54" borderId="0" applyNumberFormat="0" applyBorder="0" applyAlignment="0" applyProtection="0"/>
    <xf numFmtId="0" fontId="197" fillId="23" borderId="0" applyNumberFormat="0" applyBorder="0" applyAlignment="0" applyProtection="0"/>
    <xf numFmtId="0" fontId="197" fillId="0" borderId="0" applyNumberForma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190" fontId="196" fillId="54"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96" fillId="54" borderId="0" applyNumberFormat="0" applyBorder="0" applyAlignment="0" applyProtection="0"/>
    <xf numFmtId="0" fontId="196" fillId="54" borderId="0" applyNumberFormat="0" applyBorder="0" applyAlignment="0" applyProtection="0"/>
    <xf numFmtId="0" fontId="197" fillId="23" borderId="0" applyNumberFormat="0" applyBorder="0" applyAlignment="0" applyProtection="0"/>
    <xf numFmtId="0" fontId="20" fillId="0" borderId="0" applyNumberFormat="0" applyFont="0" applyFill="0" applyBorder="0" applyAlignment="0" applyProtection="0"/>
    <xf numFmtId="0" fontId="82" fillId="23" borderId="0" applyNumberFormat="0" applyBorder="0" applyAlignment="0" applyProtection="0"/>
    <xf numFmtId="0" fontId="197" fillId="23" borderId="0" applyNumberFormat="0" applyBorder="0" applyAlignment="0" applyProtection="0"/>
    <xf numFmtId="0" fontId="197" fillId="0" borderId="0" applyNumberFormat="0" applyFill="0" applyBorder="0" applyAlignment="0" applyProtection="0"/>
    <xf numFmtId="0" fontId="197" fillId="0" borderId="0" applyNumberFormat="0" applyFill="0" applyBorder="0" applyAlignment="0" applyProtection="0"/>
    <xf numFmtId="0" fontId="197" fillId="23" borderId="0" applyNumberFormat="0" applyBorder="0" applyAlignment="0" applyProtection="0"/>
    <xf numFmtId="0" fontId="197" fillId="0" borderId="0" applyNumberForma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92" fillId="0" borderId="0" applyFont="0" applyFill="0" applyBorder="0" applyAlignment="0" applyProtection="0"/>
  </cellStyleXfs>
  <cellXfs count="728">
    <xf numFmtId="0" fontId="0" fillId="0" borderId="0" xfId="0"/>
    <xf numFmtId="0" fontId="14" fillId="0" borderId="0" xfId="0" applyFont="1" applyBorder="1" applyAlignment="1">
      <alignment vertical="center"/>
    </xf>
    <xf numFmtId="0" fontId="14" fillId="0" borderId="0" xfId="0" applyFont="1" applyAlignment="1">
      <alignment vertical="center"/>
    </xf>
    <xf numFmtId="0" fontId="22" fillId="3" borderId="0" xfId="0" applyFont="1" applyFill="1" applyAlignment="1">
      <alignment vertical="center"/>
    </xf>
    <xf numFmtId="0" fontId="14" fillId="0" borderId="0" xfId="0" applyFont="1" applyFill="1" applyBorder="1" applyAlignment="1">
      <alignment vertical="center"/>
    </xf>
    <xf numFmtId="0" fontId="28" fillId="3" borderId="0" xfId="0" applyFont="1" applyFill="1" applyAlignment="1">
      <alignment vertical="center"/>
    </xf>
    <xf numFmtId="0" fontId="18" fillId="0" borderId="0" xfId="0" applyFont="1" applyAlignment="1">
      <alignment vertical="center"/>
    </xf>
    <xf numFmtId="0" fontId="18" fillId="0" borderId="0" xfId="0" applyFont="1"/>
    <xf numFmtId="0" fontId="29" fillId="3" borderId="4" xfId="0" applyFont="1" applyFill="1" applyBorder="1" applyAlignment="1">
      <alignment vertical="center" wrapText="1"/>
    </xf>
    <xf numFmtId="0" fontId="29" fillId="3" borderId="5" xfId="0" applyFont="1" applyFill="1" applyBorder="1" applyAlignment="1">
      <alignment vertical="center" wrapText="1"/>
    </xf>
    <xf numFmtId="0" fontId="18" fillId="3" borderId="0" xfId="0" applyFont="1" applyFill="1" applyAlignment="1">
      <alignment vertical="center"/>
    </xf>
    <xf numFmtId="0" fontId="18" fillId="3" borderId="0" xfId="0" applyFont="1" applyFill="1" applyBorder="1" applyAlignment="1">
      <alignment vertical="center"/>
    </xf>
    <xf numFmtId="0" fontId="18" fillId="3" borderId="0" xfId="0" applyFont="1" applyFill="1"/>
    <xf numFmtId="0" fontId="31" fillId="6" borderId="6" xfId="0" applyFont="1" applyFill="1" applyBorder="1" applyAlignment="1">
      <alignment vertical="center" wrapText="1"/>
    </xf>
    <xf numFmtId="0" fontId="18" fillId="3" borderId="0" xfId="0" applyFont="1" applyFill="1" applyBorder="1"/>
    <xf numFmtId="0" fontId="30" fillId="3" borderId="0" xfId="0" applyFont="1" applyFill="1"/>
    <xf numFmtId="0" fontId="0" fillId="3" borderId="0" xfId="0" applyFill="1"/>
    <xf numFmtId="0" fontId="35" fillId="3" borderId="0" xfId="0" applyFont="1" applyFill="1" applyAlignment="1">
      <alignment vertical="center"/>
    </xf>
    <xf numFmtId="0" fontId="36" fillId="3" borderId="0" xfId="0" applyFont="1" applyFill="1" applyAlignment="1">
      <alignment vertical="center"/>
    </xf>
    <xf numFmtId="0" fontId="36" fillId="0" borderId="0" xfId="0" applyFont="1" applyAlignment="1">
      <alignment vertical="center"/>
    </xf>
    <xf numFmtId="0" fontId="21" fillId="3" borderId="23" xfId="0" applyFont="1" applyFill="1" applyBorder="1" applyAlignment="1">
      <alignment vertical="center" wrapText="1"/>
    </xf>
    <xf numFmtId="0" fontId="21" fillId="3" borderId="0" xfId="0" applyFont="1" applyFill="1" applyAlignment="1">
      <alignment vertical="center"/>
    </xf>
    <xf numFmtId="3" fontId="21" fillId="3" borderId="0" xfId="0" applyNumberFormat="1" applyFont="1" applyFill="1" applyBorder="1" applyAlignment="1">
      <alignment horizontal="right" vertical="center" wrapText="1"/>
    </xf>
    <xf numFmtId="3" fontId="35" fillId="3" borderId="0" xfId="0" applyNumberFormat="1" applyFont="1" applyFill="1" applyAlignment="1">
      <alignment horizontal="right"/>
    </xf>
    <xf numFmtId="0" fontId="40" fillId="3" borderId="0" xfId="0" applyFont="1" applyFill="1" applyAlignment="1"/>
    <xf numFmtId="3" fontId="31" fillId="3" borderId="0" xfId="0" applyNumberFormat="1" applyFont="1" applyFill="1" applyBorder="1" applyAlignment="1">
      <alignment horizontal="right"/>
    </xf>
    <xf numFmtId="3" fontId="35" fillId="3" borderId="0" xfId="0" applyNumberFormat="1" applyFont="1" applyFill="1" applyBorder="1" applyAlignment="1">
      <alignment horizontal="right"/>
    </xf>
    <xf numFmtId="0" fontId="36" fillId="3" borderId="0" xfId="0" applyFont="1" applyFill="1"/>
    <xf numFmtId="0" fontId="36" fillId="0" borderId="0" xfId="0" applyFont="1"/>
    <xf numFmtId="0" fontId="30" fillId="4" borderId="27" xfId="0" applyFont="1" applyFill="1" applyBorder="1" applyAlignment="1">
      <alignment horizontal="right" vertical="center"/>
    </xf>
    <xf numFmtId="0" fontId="45" fillId="3" borderId="0" xfId="0" applyFont="1" applyFill="1"/>
    <xf numFmtId="0" fontId="18" fillId="0" borderId="0" xfId="0" applyFont="1" applyBorder="1"/>
    <xf numFmtId="172" fontId="18" fillId="3" borderId="11" xfId="0" applyNumberFormat="1" applyFont="1" applyFill="1" applyBorder="1" applyAlignment="1">
      <alignment vertical="center"/>
    </xf>
    <xf numFmtId="169" fontId="18" fillId="3" borderId="0" xfId="0" applyNumberFormat="1" applyFont="1" applyFill="1" applyBorder="1" applyAlignment="1">
      <alignment vertical="center"/>
    </xf>
    <xf numFmtId="172" fontId="18" fillId="3" borderId="0" xfId="0" applyNumberFormat="1" applyFont="1" applyFill="1" applyBorder="1" applyAlignment="1">
      <alignment vertical="center"/>
    </xf>
    <xf numFmtId="173" fontId="43" fillId="3" borderId="0" xfId="1" applyNumberFormat="1" applyFont="1" applyFill="1" applyBorder="1" applyAlignment="1">
      <alignment horizontal="right" vertical="center"/>
    </xf>
    <xf numFmtId="173" fontId="18" fillId="3" borderId="0" xfId="0" applyNumberFormat="1" applyFont="1" applyFill="1" applyBorder="1" applyAlignment="1">
      <alignment vertical="center"/>
    </xf>
    <xf numFmtId="172" fontId="43" fillId="3" borderId="0" xfId="1" applyNumberFormat="1" applyFont="1" applyFill="1" applyBorder="1" applyAlignment="1">
      <alignment horizontal="right" vertical="center"/>
    </xf>
    <xf numFmtId="171" fontId="18" fillId="3" borderId="0" xfId="0" applyNumberFormat="1" applyFont="1" applyFill="1" applyBorder="1" applyAlignment="1">
      <alignment vertical="center"/>
    </xf>
    <xf numFmtId="172" fontId="45" fillId="3" borderId="0" xfId="0" applyNumberFormat="1" applyFont="1" applyFill="1" applyBorder="1" applyAlignment="1">
      <alignment vertical="center"/>
    </xf>
    <xf numFmtId="173" fontId="45" fillId="3" borderId="0" xfId="0" applyNumberFormat="1" applyFont="1" applyFill="1" applyBorder="1" applyAlignment="1">
      <alignment vertical="center"/>
    </xf>
    <xf numFmtId="171" fontId="18" fillId="3" borderId="18" xfId="0" applyNumberFormat="1" applyFont="1" applyFill="1" applyBorder="1" applyAlignment="1">
      <alignment vertical="center"/>
    </xf>
    <xf numFmtId="172" fontId="18" fillId="3" borderId="18" xfId="0" applyNumberFormat="1" applyFont="1" applyFill="1" applyBorder="1" applyAlignment="1">
      <alignment vertical="center"/>
    </xf>
    <xf numFmtId="164" fontId="43" fillId="3" borderId="0" xfId="0" applyNumberFormat="1" applyFont="1" applyFill="1" applyBorder="1" applyAlignment="1">
      <alignment horizontal="right" vertical="center"/>
    </xf>
    <xf numFmtId="169" fontId="45" fillId="3" borderId="0" xfId="0" applyNumberFormat="1" applyFont="1" applyFill="1" applyBorder="1" applyAlignment="1">
      <alignment vertical="center"/>
    </xf>
    <xf numFmtId="169" fontId="43" fillId="3" borderId="0" xfId="0" applyNumberFormat="1" applyFont="1" applyFill="1" applyBorder="1" applyAlignment="1">
      <alignment horizontal="right" vertical="center"/>
    </xf>
    <xf numFmtId="169" fontId="18" fillId="3" borderId="0" xfId="0" applyNumberFormat="1" applyFont="1" applyFill="1" applyAlignment="1">
      <alignment vertical="center"/>
    </xf>
    <xf numFmtId="164" fontId="46" fillId="3" borderId="0" xfId="0" applyNumberFormat="1" applyFont="1" applyFill="1" applyBorder="1" applyAlignment="1">
      <alignment horizontal="right" vertical="center"/>
    </xf>
    <xf numFmtId="164" fontId="47" fillId="3" borderId="0" xfId="0" applyNumberFormat="1" applyFont="1" applyFill="1" applyBorder="1" applyAlignment="1">
      <alignment horizontal="right" vertical="center"/>
    </xf>
    <xf numFmtId="0" fontId="18" fillId="3" borderId="4" xfId="0" applyFont="1" applyFill="1" applyBorder="1" applyAlignment="1">
      <alignment horizontal="left" vertical="center"/>
    </xf>
    <xf numFmtId="0" fontId="18" fillId="3" borderId="3" xfId="0" applyFont="1" applyFill="1" applyBorder="1" applyAlignment="1">
      <alignment horizontal="left" vertical="center"/>
    </xf>
    <xf numFmtId="0" fontId="18" fillId="3" borderId="5" xfId="0" applyFont="1" applyFill="1" applyBorder="1" applyAlignment="1">
      <alignment horizontal="left" vertical="center"/>
    </xf>
    <xf numFmtId="0" fontId="18" fillId="3" borderId="0" xfId="0" applyFont="1" applyFill="1" applyAlignment="1">
      <alignment horizontal="left" vertical="center"/>
    </xf>
    <xf numFmtId="169" fontId="30" fillId="12" borderId="7" xfId="0" applyNumberFormat="1" applyFont="1" applyFill="1" applyBorder="1" applyAlignment="1">
      <alignment vertical="center"/>
    </xf>
    <xf numFmtId="172" fontId="30" fillId="12" borderId="7" xfId="0" applyNumberFormat="1" applyFont="1" applyFill="1" applyBorder="1" applyAlignment="1">
      <alignment vertical="center"/>
    </xf>
    <xf numFmtId="0" fontId="44" fillId="3" borderId="3" xfId="0" applyFont="1" applyFill="1" applyBorder="1" applyAlignment="1">
      <alignment horizontal="left" vertical="center" indent="2"/>
    </xf>
    <xf numFmtId="171" fontId="18" fillId="3" borderId="11" xfId="0" applyNumberFormat="1" applyFont="1" applyFill="1" applyBorder="1" applyAlignment="1">
      <alignment vertical="center"/>
    </xf>
    <xf numFmtId="0" fontId="30" fillId="4" borderId="26" xfId="0" applyFont="1" applyFill="1" applyBorder="1" applyAlignment="1">
      <alignment horizontal="left" vertical="center"/>
    </xf>
    <xf numFmtId="172" fontId="30" fillId="4" borderId="27" xfId="0" applyNumberFormat="1" applyFont="1" applyFill="1" applyBorder="1" applyAlignment="1">
      <alignment vertical="center"/>
    </xf>
    <xf numFmtId="167" fontId="18" fillId="3" borderId="0" xfId="0" applyNumberFormat="1" applyFont="1" applyFill="1" applyBorder="1" applyAlignment="1">
      <alignment horizontal="right" vertical="center"/>
    </xf>
    <xf numFmtId="169" fontId="18" fillId="3" borderId="0" xfId="0" applyNumberFormat="1" applyFont="1" applyFill="1" applyBorder="1" applyAlignment="1">
      <alignment horizontal="right" vertical="center"/>
    </xf>
    <xf numFmtId="172" fontId="18" fillId="3" borderId="0" xfId="0" applyNumberFormat="1" applyFont="1" applyFill="1" applyBorder="1" applyAlignment="1">
      <alignment horizontal="right" vertical="center"/>
    </xf>
    <xf numFmtId="174" fontId="18" fillId="3" borderId="0" xfId="0" applyNumberFormat="1" applyFont="1" applyFill="1" applyBorder="1" applyAlignment="1">
      <alignment vertical="center"/>
    </xf>
    <xf numFmtId="174" fontId="45" fillId="3" borderId="0" xfId="0" applyNumberFormat="1" applyFont="1" applyFill="1" applyBorder="1" applyAlignment="1">
      <alignment vertical="center"/>
    </xf>
    <xf numFmtId="0" fontId="31" fillId="3" borderId="7" xfId="0" applyFont="1" applyFill="1" applyBorder="1" applyAlignment="1">
      <alignment vertical="center"/>
    </xf>
    <xf numFmtId="0" fontId="18" fillId="3" borderId="7" xfId="0" applyFont="1" applyFill="1" applyBorder="1"/>
    <xf numFmtId="0" fontId="18" fillId="3" borderId="7" xfId="0" applyFont="1" applyFill="1" applyBorder="1" applyAlignment="1">
      <alignment horizontal="right"/>
    </xf>
    <xf numFmtId="169" fontId="18" fillId="3" borderId="11" xfId="0" applyNumberFormat="1" applyFont="1" applyFill="1" applyBorder="1" applyAlignment="1">
      <alignment vertical="center"/>
    </xf>
    <xf numFmtId="174" fontId="18" fillId="3" borderId="11" xfId="0" applyNumberFormat="1" applyFont="1" applyFill="1" applyBorder="1" applyAlignment="1">
      <alignment vertical="center"/>
    </xf>
    <xf numFmtId="0" fontId="30" fillId="3" borderId="3" xfId="0" applyFont="1" applyFill="1" applyBorder="1" applyAlignment="1">
      <alignment horizontal="left" vertical="center"/>
    </xf>
    <xf numFmtId="0" fontId="30" fillId="13" borderId="27" xfId="0" applyFont="1" applyFill="1" applyBorder="1" applyAlignment="1">
      <alignment horizontal="right" vertical="center"/>
    </xf>
    <xf numFmtId="0" fontId="18" fillId="14" borderId="7" xfId="0" applyFont="1" applyFill="1" applyBorder="1"/>
    <xf numFmtId="173" fontId="18" fillId="14" borderId="0" xfId="0" applyNumberFormat="1" applyFont="1" applyFill="1" applyBorder="1" applyAlignment="1">
      <alignment vertical="center"/>
    </xf>
    <xf numFmtId="173" fontId="45" fillId="14" borderId="0" xfId="0" applyNumberFormat="1" applyFont="1" applyFill="1" applyBorder="1" applyAlignment="1">
      <alignment vertical="center"/>
    </xf>
    <xf numFmtId="173" fontId="43" fillId="14" borderId="0" xfId="1" applyNumberFormat="1" applyFont="1" applyFill="1" applyBorder="1" applyAlignment="1">
      <alignment horizontal="right" vertical="center"/>
    </xf>
    <xf numFmtId="164" fontId="43" fillId="14" borderId="0" xfId="0" applyNumberFormat="1" applyFont="1" applyFill="1" applyBorder="1" applyAlignment="1">
      <alignment horizontal="right" vertical="center"/>
    </xf>
    <xf numFmtId="172" fontId="30" fillId="12" borderId="8" xfId="0" applyNumberFormat="1" applyFont="1" applyFill="1" applyBorder="1" applyAlignment="1">
      <alignment vertical="center"/>
    </xf>
    <xf numFmtId="0" fontId="30" fillId="13" borderId="28" xfId="0" applyFont="1" applyFill="1" applyBorder="1" applyAlignment="1">
      <alignment horizontal="right" vertical="center"/>
    </xf>
    <xf numFmtId="0" fontId="30" fillId="4" borderId="26" xfId="0" applyFont="1" applyFill="1" applyBorder="1" applyAlignment="1">
      <alignment horizontal="right" vertical="center"/>
    </xf>
    <xf numFmtId="0" fontId="30" fillId="13" borderId="28" xfId="0" applyFont="1" applyFill="1" applyBorder="1" applyAlignment="1">
      <alignment horizontal="right" vertical="center" wrapText="1"/>
    </xf>
    <xf numFmtId="0" fontId="18" fillId="3" borderId="6" xfId="0" applyFont="1" applyFill="1" applyBorder="1"/>
    <xf numFmtId="0" fontId="18" fillId="14" borderId="8" xfId="0" applyFont="1" applyFill="1" applyBorder="1"/>
    <xf numFmtId="172" fontId="18" fillId="14" borderId="10" xfId="0" applyNumberFormat="1" applyFont="1" applyFill="1" applyBorder="1" applyAlignment="1">
      <alignment vertical="center"/>
    </xf>
    <xf numFmtId="173" fontId="43" fillId="3" borderId="3" xfId="1" applyNumberFormat="1" applyFont="1" applyFill="1" applyBorder="1" applyAlignment="1">
      <alignment horizontal="right" vertical="center"/>
    </xf>
    <xf numFmtId="173" fontId="45" fillId="3" borderId="3" xfId="0" applyNumberFormat="1" applyFont="1" applyFill="1" applyBorder="1" applyAlignment="1">
      <alignment vertical="center"/>
    </xf>
    <xf numFmtId="172" fontId="45" fillId="14" borderId="10" xfId="0" applyNumberFormat="1" applyFont="1" applyFill="1" applyBorder="1" applyAlignment="1">
      <alignment vertical="center"/>
    </xf>
    <xf numFmtId="172" fontId="18" fillId="14" borderId="19" xfId="0" applyNumberFormat="1" applyFont="1" applyFill="1" applyBorder="1" applyAlignment="1">
      <alignment vertical="center"/>
    </xf>
    <xf numFmtId="172" fontId="18" fillId="14" borderId="12" xfId="0" applyNumberFormat="1" applyFont="1" applyFill="1" applyBorder="1" applyAlignment="1">
      <alignment vertical="center"/>
    </xf>
    <xf numFmtId="173" fontId="18" fillId="14" borderId="10" xfId="0" applyNumberFormat="1" applyFont="1" applyFill="1" applyBorder="1" applyAlignment="1">
      <alignment vertical="center"/>
    </xf>
    <xf numFmtId="172" fontId="30" fillId="13" borderId="28" xfId="0" applyNumberFormat="1" applyFont="1" applyFill="1" applyBorder="1" applyAlignment="1">
      <alignment vertical="center"/>
    </xf>
    <xf numFmtId="174" fontId="18" fillId="14" borderId="12" xfId="0" applyNumberFormat="1" applyFont="1" applyFill="1" applyBorder="1" applyAlignment="1">
      <alignment vertical="center"/>
    </xf>
    <xf numFmtId="164" fontId="43" fillId="3" borderId="3" xfId="0" applyNumberFormat="1" applyFont="1" applyFill="1" applyBorder="1" applyAlignment="1">
      <alignment horizontal="right" vertical="center"/>
    </xf>
    <xf numFmtId="164" fontId="43" fillId="14" borderId="10" xfId="0" applyNumberFormat="1" applyFont="1" applyFill="1" applyBorder="1" applyAlignment="1">
      <alignment horizontal="right" vertical="center"/>
    </xf>
    <xf numFmtId="169" fontId="18" fillId="14" borderId="10" xfId="0" applyNumberFormat="1" applyFont="1" applyFill="1" applyBorder="1" applyAlignment="1">
      <alignment vertical="center"/>
    </xf>
    <xf numFmtId="176" fontId="18" fillId="14" borderId="10" xfId="0" applyNumberFormat="1" applyFont="1" applyFill="1" applyBorder="1" applyAlignment="1">
      <alignment vertical="center"/>
    </xf>
    <xf numFmtId="174" fontId="18" fillId="14" borderId="10" xfId="0" applyNumberFormat="1" applyFont="1" applyFill="1" applyBorder="1" applyAlignment="1">
      <alignment vertical="center"/>
    </xf>
    <xf numFmtId="174" fontId="45" fillId="14" borderId="10" xfId="0" applyNumberFormat="1" applyFont="1" applyFill="1" applyBorder="1" applyAlignment="1">
      <alignment vertical="center"/>
    </xf>
    <xf numFmtId="173" fontId="18" fillId="3" borderId="3" xfId="0" applyNumberFormat="1" applyFont="1" applyFill="1" applyBorder="1" applyAlignment="1">
      <alignment vertical="center"/>
    </xf>
    <xf numFmtId="173" fontId="45" fillId="14" borderId="10" xfId="0" applyNumberFormat="1" applyFont="1" applyFill="1" applyBorder="1" applyAlignment="1">
      <alignment vertical="center"/>
    </xf>
    <xf numFmtId="173" fontId="43" fillId="14" borderId="10" xfId="1" applyNumberFormat="1" applyFont="1" applyFill="1" applyBorder="1" applyAlignment="1">
      <alignment horizontal="right" vertical="center"/>
    </xf>
    <xf numFmtId="0" fontId="30" fillId="4" borderId="27" xfId="0" applyFont="1" applyFill="1" applyBorder="1" applyAlignment="1">
      <alignment horizontal="center" vertical="center" wrapText="1"/>
    </xf>
    <xf numFmtId="0" fontId="30" fillId="4" borderId="26" xfId="0" applyFont="1" applyFill="1" applyBorder="1" applyAlignment="1">
      <alignment horizontal="center" vertical="center" wrapText="1"/>
    </xf>
    <xf numFmtId="0" fontId="30" fillId="4" borderId="28" xfId="0" applyFont="1" applyFill="1" applyBorder="1" applyAlignment="1">
      <alignment horizontal="center" vertical="center" wrapText="1"/>
    </xf>
    <xf numFmtId="0" fontId="30" fillId="15" borderId="27" xfId="0" applyFont="1" applyFill="1" applyBorder="1" applyAlignment="1">
      <alignment horizontal="center" vertical="center" wrapText="1"/>
    </xf>
    <xf numFmtId="0" fontId="49" fillId="11" borderId="13" xfId="0" applyFont="1" applyFill="1" applyBorder="1" applyAlignment="1">
      <alignment horizontal="center" vertical="center"/>
    </xf>
    <xf numFmtId="0" fontId="49" fillId="11" borderId="0" xfId="0" applyFont="1" applyFill="1" applyBorder="1" applyAlignment="1">
      <alignment horizontal="center" vertical="center"/>
    </xf>
    <xf numFmtId="0" fontId="49" fillId="11" borderId="14" xfId="0" applyFont="1" applyFill="1" applyBorder="1" applyAlignment="1">
      <alignment horizontal="center" vertical="center"/>
    </xf>
    <xf numFmtId="0" fontId="49" fillId="11" borderId="11" xfId="0" applyFont="1" applyFill="1" applyBorder="1" applyAlignment="1">
      <alignment horizontal="center" vertical="center"/>
    </xf>
    <xf numFmtId="0" fontId="50" fillId="3" borderId="9" xfId="0" applyFont="1" applyFill="1" applyBorder="1" applyAlignment="1">
      <alignment horizontal="left" vertical="center" wrapText="1"/>
    </xf>
    <xf numFmtId="3" fontId="50" fillId="17" borderId="6" xfId="0" applyNumberFormat="1" applyFont="1" applyFill="1" applyBorder="1" applyAlignment="1">
      <alignment horizontal="center" vertical="center" wrapText="1"/>
    </xf>
    <xf numFmtId="3" fontId="50" fillId="17" borderId="7" xfId="0" applyNumberFormat="1" applyFont="1" applyFill="1" applyBorder="1" applyAlignment="1">
      <alignment horizontal="center" vertical="center" wrapText="1"/>
    </xf>
    <xf numFmtId="3" fontId="50" fillId="18" borderId="8" xfId="0" applyNumberFormat="1" applyFont="1" applyFill="1" applyBorder="1" applyAlignment="1">
      <alignment horizontal="center" vertical="center" wrapText="1"/>
    </xf>
    <xf numFmtId="3" fontId="50" fillId="3" borderId="6" xfId="0" applyNumberFormat="1" applyFont="1" applyFill="1" applyBorder="1" applyAlignment="1">
      <alignment horizontal="right" vertical="center" wrapText="1"/>
    </xf>
    <xf numFmtId="3" fontId="50" fillId="3" borderId="7" xfId="0" applyNumberFormat="1" applyFont="1" applyFill="1" applyBorder="1" applyAlignment="1">
      <alignment horizontal="right" vertical="center" wrapText="1"/>
    </xf>
    <xf numFmtId="0" fontId="52" fillId="2" borderId="3" xfId="0" applyFont="1" applyFill="1" applyBorder="1" applyAlignment="1">
      <alignment horizontal="left" vertical="center" wrapText="1"/>
    </xf>
    <xf numFmtId="3" fontId="27" fillId="2" borderId="3" xfId="0" applyNumberFormat="1" applyFont="1" applyFill="1" applyBorder="1" applyAlignment="1">
      <alignment horizontal="right" vertical="center" wrapText="1"/>
    </xf>
    <xf numFmtId="3" fontId="27" fillId="2" borderId="0" xfId="0" applyNumberFormat="1" applyFont="1" applyFill="1" applyBorder="1" applyAlignment="1">
      <alignment horizontal="right" vertical="center" wrapText="1"/>
    </xf>
    <xf numFmtId="3" fontId="27" fillId="19" borderId="0" xfId="0" applyNumberFormat="1" applyFont="1" applyFill="1" applyBorder="1" applyAlignment="1">
      <alignment horizontal="right" vertical="center" wrapText="1"/>
    </xf>
    <xf numFmtId="3" fontId="27" fillId="2" borderId="4" xfId="0" applyNumberFormat="1" applyFont="1" applyFill="1" applyBorder="1" applyAlignment="1">
      <alignment horizontal="right" vertical="center" wrapText="1"/>
    </xf>
    <xf numFmtId="168" fontId="27" fillId="2" borderId="3" xfId="6" applyNumberFormat="1" applyFont="1" applyFill="1" applyBorder="1" applyAlignment="1">
      <alignment horizontal="right" vertical="center" wrapText="1"/>
    </xf>
    <xf numFmtId="3" fontId="27" fillId="19" borderId="10" xfId="0" applyNumberFormat="1" applyFont="1" applyFill="1" applyBorder="1" applyAlignment="1">
      <alignment horizontal="right" vertical="center" wrapText="1"/>
    </xf>
    <xf numFmtId="0" fontId="25" fillId="3" borderId="3" xfId="0" applyFont="1" applyFill="1" applyBorder="1" applyAlignment="1">
      <alignment horizontal="left" vertical="center" wrapText="1"/>
    </xf>
    <xf numFmtId="3" fontId="50" fillId="3" borderId="3" xfId="0" applyNumberFormat="1" applyFont="1" applyFill="1" applyBorder="1" applyAlignment="1">
      <alignment horizontal="right" vertical="center" wrapText="1"/>
    </xf>
    <xf numFmtId="3" fontId="50" fillId="3" borderId="0" xfId="0" applyNumberFormat="1" applyFont="1" applyFill="1" applyBorder="1" applyAlignment="1">
      <alignment horizontal="right" vertical="center" wrapText="1"/>
    </xf>
    <xf numFmtId="3" fontId="50" fillId="18" borderId="0" xfId="0" applyNumberFormat="1" applyFont="1" applyFill="1" applyBorder="1" applyAlignment="1">
      <alignment horizontal="right" vertical="center" wrapText="1"/>
    </xf>
    <xf numFmtId="3" fontId="50" fillId="18" borderId="10" xfId="0" applyNumberFormat="1" applyFont="1" applyFill="1" applyBorder="1" applyAlignment="1">
      <alignment horizontal="right" vertical="center" wrapText="1"/>
    </xf>
    <xf numFmtId="0" fontId="53" fillId="3" borderId="3" xfId="0" applyFont="1" applyFill="1" applyBorder="1" applyAlignment="1">
      <alignment horizontal="left" vertical="center" wrapText="1" indent="1"/>
    </xf>
    <xf numFmtId="3" fontId="27" fillId="3" borderId="3" xfId="0" applyNumberFormat="1" applyFont="1" applyFill="1" applyBorder="1" applyAlignment="1">
      <alignment horizontal="right" vertical="center" wrapText="1"/>
    </xf>
    <xf numFmtId="3" fontId="27" fillId="3" borderId="0" xfId="0" applyNumberFormat="1" applyFont="1" applyFill="1" applyBorder="1" applyAlignment="1">
      <alignment horizontal="right" vertical="center" wrapText="1"/>
    </xf>
    <xf numFmtId="3" fontId="27" fillId="18" borderId="0" xfId="0" applyNumberFormat="1" applyFont="1" applyFill="1" applyBorder="1" applyAlignment="1">
      <alignment horizontal="right" vertical="center" wrapText="1"/>
    </xf>
    <xf numFmtId="3" fontId="40" fillId="3" borderId="0" xfId="0" applyNumberFormat="1" applyFont="1" applyFill="1" applyBorder="1" applyAlignment="1">
      <alignment horizontal="right" vertical="center" wrapText="1"/>
    </xf>
    <xf numFmtId="3" fontId="27" fillId="18" borderId="10" xfId="0" applyNumberFormat="1" applyFont="1" applyFill="1" applyBorder="1" applyAlignment="1">
      <alignment horizontal="right" vertical="center" wrapText="1"/>
    </xf>
    <xf numFmtId="0" fontId="54" fillId="3" borderId="3" xfId="0" applyFont="1" applyFill="1" applyBorder="1" applyAlignment="1">
      <alignment horizontal="left" vertical="center" wrapText="1" indent="3"/>
    </xf>
    <xf numFmtId="3" fontId="55" fillId="3" borderId="3" xfId="0" applyNumberFormat="1" applyFont="1" applyFill="1" applyBorder="1" applyAlignment="1">
      <alignment horizontal="right" vertical="center" wrapText="1"/>
    </xf>
    <xf numFmtId="3" fontId="55" fillId="3" borderId="0" xfId="0" applyNumberFormat="1" applyFont="1" applyFill="1" applyBorder="1" applyAlignment="1">
      <alignment horizontal="right" vertical="center" wrapText="1"/>
    </xf>
    <xf numFmtId="3" fontId="55" fillId="18" borderId="0" xfId="0" applyNumberFormat="1" applyFont="1" applyFill="1" applyBorder="1" applyAlignment="1">
      <alignment horizontal="right" vertical="center" wrapText="1"/>
    </xf>
    <xf numFmtId="3" fontId="19" fillId="3" borderId="0" xfId="0" applyNumberFormat="1" applyFont="1" applyFill="1" applyBorder="1" applyAlignment="1">
      <alignment horizontal="right" vertical="center" wrapText="1"/>
    </xf>
    <xf numFmtId="3" fontId="55" fillId="18" borderId="10" xfId="0" applyNumberFormat="1" applyFont="1" applyFill="1" applyBorder="1" applyAlignment="1">
      <alignment horizontal="right" vertical="center" wrapText="1"/>
    </xf>
    <xf numFmtId="3" fontId="55" fillId="0" borderId="0" xfId="0" applyNumberFormat="1" applyFont="1" applyFill="1" applyBorder="1" applyAlignment="1">
      <alignment horizontal="right" vertical="center" wrapText="1"/>
    </xf>
    <xf numFmtId="3" fontId="27" fillId="3" borderId="29" xfId="0" applyNumberFormat="1" applyFont="1" applyFill="1" applyBorder="1" applyAlignment="1">
      <alignment horizontal="right" vertical="center" wrapText="1"/>
    </xf>
    <xf numFmtId="3" fontId="27" fillId="3" borderId="30" xfId="0" applyNumberFormat="1" applyFont="1" applyFill="1" applyBorder="1" applyAlignment="1">
      <alignment horizontal="right" vertical="center" wrapText="1"/>
    </xf>
    <xf numFmtId="0" fontId="25" fillId="3" borderId="31" xfId="0" applyFont="1" applyFill="1" applyBorder="1" applyAlignment="1">
      <alignment horizontal="left" vertical="center" wrapText="1"/>
    </xf>
    <xf numFmtId="3" fontId="50" fillId="3" borderId="32" xfId="0" applyNumberFormat="1" applyFont="1" applyFill="1" applyBorder="1" applyAlignment="1">
      <alignment horizontal="right" vertical="center" wrapText="1"/>
    </xf>
    <xf numFmtId="3" fontId="50" fillId="3" borderId="33" xfId="0" applyNumberFormat="1" applyFont="1" applyFill="1" applyBorder="1" applyAlignment="1">
      <alignment horizontal="right" vertical="center" wrapText="1"/>
    </xf>
    <xf numFmtId="3" fontId="50" fillId="18" borderId="33" xfId="0" applyNumberFormat="1" applyFont="1" applyFill="1" applyBorder="1" applyAlignment="1">
      <alignment horizontal="right" vertical="center" wrapText="1"/>
    </xf>
    <xf numFmtId="3" fontId="26" fillId="3" borderId="33" xfId="0" applyNumberFormat="1" applyFont="1" applyFill="1" applyBorder="1" applyAlignment="1">
      <alignment horizontal="right" vertical="center" wrapText="1"/>
    </xf>
    <xf numFmtId="3" fontId="50" fillId="18" borderId="34" xfId="0" applyNumberFormat="1" applyFont="1" applyFill="1" applyBorder="1" applyAlignment="1">
      <alignment horizontal="right" vertical="center" wrapText="1"/>
    </xf>
    <xf numFmtId="166" fontId="27" fillId="3" borderId="4" xfId="0" applyNumberFormat="1" applyFont="1" applyFill="1" applyBorder="1" applyAlignment="1">
      <alignment horizontal="right" vertical="center" wrapText="1"/>
    </xf>
    <xf numFmtId="166" fontId="27" fillId="3" borderId="11" xfId="0" applyNumberFormat="1" applyFont="1" applyFill="1" applyBorder="1" applyAlignment="1">
      <alignment horizontal="right" vertical="center" wrapText="1"/>
    </xf>
    <xf numFmtId="166" fontId="27" fillId="18" borderId="11" xfId="0" applyNumberFormat="1" applyFont="1" applyFill="1" applyBorder="1" applyAlignment="1">
      <alignment horizontal="right" vertical="center" wrapText="1"/>
    </xf>
    <xf numFmtId="169" fontId="40" fillId="3" borderId="0" xfId="0" applyNumberFormat="1" applyFont="1" applyFill="1" applyBorder="1" applyAlignment="1">
      <alignment horizontal="right" vertical="center" wrapText="1"/>
    </xf>
    <xf numFmtId="166" fontId="27" fillId="18" borderId="12" xfId="0" applyNumberFormat="1" applyFont="1" applyFill="1" applyBorder="1" applyAlignment="1">
      <alignment horizontal="right" vertical="center" wrapText="1"/>
    </xf>
    <xf numFmtId="0" fontId="53" fillId="3" borderId="3" xfId="0" applyFont="1" applyFill="1" applyBorder="1" applyAlignment="1">
      <alignment horizontal="left" vertical="center" wrapText="1"/>
    </xf>
    <xf numFmtId="3" fontId="27" fillId="17" borderId="3" xfId="0" applyNumberFormat="1" applyFont="1" applyFill="1" applyBorder="1" applyAlignment="1">
      <alignment horizontal="right" vertical="center" wrapText="1"/>
    </xf>
    <xf numFmtId="3" fontId="27" fillId="17" borderId="0" xfId="0" applyNumberFormat="1" applyFont="1" applyFill="1" applyBorder="1" applyAlignment="1">
      <alignment horizontal="right" vertical="center" wrapText="1"/>
    </xf>
    <xf numFmtId="168" fontId="27" fillId="3" borderId="0" xfId="0" applyNumberFormat="1" applyFont="1" applyFill="1" applyBorder="1" applyAlignment="1">
      <alignment horizontal="right" vertical="center" wrapText="1"/>
    </xf>
    <xf numFmtId="168" fontId="27" fillId="18" borderId="0" xfId="0" applyNumberFormat="1" applyFont="1" applyFill="1" applyBorder="1" applyAlignment="1">
      <alignment horizontal="right" vertical="center" wrapText="1"/>
    </xf>
    <xf numFmtId="168" fontId="27" fillId="3" borderId="3" xfId="0" applyNumberFormat="1" applyFont="1" applyFill="1" applyBorder="1" applyAlignment="1">
      <alignment horizontal="right" vertical="center" wrapText="1"/>
    </xf>
    <xf numFmtId="168" fontId="40" fillId="3" borderId="0" xfId="0" applyNumberFormat="1" applyFont="1" applyFill="1" applyBorder="1" applyAlignment="1">
      <alignment horizontal="right" vertical="center" wrapText="1"/>
    </xf>
    <xf numFmtId="168" fontId="27" fillId="18" borderId="10" xfId="0" applyNumberFormat="1" applyFont="1" applyFill="1" applyBorder="1" applyAlignment="1">
      <alignment horizontal="right" vertical="center" wrapText="1"/>
    </xf>
    <xf numFmtId="2" fontId="27" fillId="3" borderId="5" xfId="0" applyNumberFormat="1" applyFont="1" applyFill="1" applyBorder="1" applyAlignment="1">
      <alignment horizontal="right" vertical="center" wrapText="1"/>
    </xf>
    <xf numFmtId="2" fontId="27" fillId="3" borderId="18" xfId="0" applyNumberFormat="1" applyFont="1" applyFill="1" applyBorder="1" applyAlignment="1">
      <alignment horizontal="right" vertical="center" wrapText="1"/>
    </xf>
    <xf numFmtId="2" fontId="27" fillId="18" borderId="19" xfId="0" applyNumberFormat="1" applyFont="1" applyFill="1" applyBorder="1" applyAlignment="1">
      <alignment horizontal="right" vertical="center" wrapText="1"/>
    </xf>
    <xf numFmtId="4" fontId="40" fillId="3" borderId="18" xfId="0" applyNumberFormat="1" applyFont="1" applyFill="1" applyBorder="1" applyAlignment="1">
      <alignment horizontal="right" vertical="center" wrapText="1"/>
    </xf>
    <xf numFmtId="0" fontId="25" fillId="3" borderId="4" xfId="0" applyFont="1" applyFill="1" applyBorder="1" applyAlignment="1">
      <alignment horizontal="left" vertical="center"/>
    </xf>
    <xf numFmtId="3" fontId="50" fillId="3" borderId="4" xfId="0" applyNumberFormat="1" applyFont="1" applyFill="1" applyBorder="1" applyAlignment="1">
      <alignment horizontal="right" vertical="center" wrapText="1"/>
    </xf>
    <xf numFmtId="3" fontId="50" fillId="3" borderId="11" xfId="0" applyNumberFormat="1" applyFont="1" applyFill="1" applyBorder="1" applyAlignment="1">
      <alignment horizontal="right" vertical="center" wrapText="1"/>
    </xf>
    <xf numFmtId="3" fontId="55" fillId="3" borderId="3" xfId="6" applyNumberFormat="1" applyFont="1" applyFill="1" applyBorder="1" applyAlignment="1">
      <alignment horizontal="right" vertical="center" wrapText="1"/>
    </xf>
    <xf numFmtId="3" fontId="27" fillId="3" borderId="3" xfId="6" applyNumberFormat="1" applyFont="1" applyFill="1" applyBorder="1" applyAlignment="1">
      <alignment horizontal="right" vertical="center" wrapText="1"/>
    </xf>
    <xf numFmtId="0" fontId="25" fillId="3" borderId="35" xfId="0" applyFont="1" applyFill="1" applyBorder="1" applyAlignment="1">
      <alignment horizontal="left" vertical="center" wrapText="1"/>
    </xf>
    <xf numFmtId="3" fontId="16" fillId="3" borderId="35" xfId="0" applyNumberFormat="1" applyFont="1" applyFill="1" applyBorder="1" applyAlignment="1">
      <alignment vertical="center"/>
    </xf>
    <xf numFmtId="3" fontId="16" fillId="3" borderId="33" xfId="0" applyNumberFormat="1" applyFont="1" applyFill="1" applyBorder="1" applyAlignment="1">
      <alignment vertical="center"/>
    </xf>
    <xf numFmtId="3" fontId="16" fillId="18" borderId="33" xfId="0" applyNumberFormat="1" applyFont="1" applyFill="1" applyBorder="1" applyAlignment="1">
      <alignment vertical="center"/>
    </xf>
    <xf numFmtId="3" fontId="16" fillId="3" borderId="32" xfId="0" applyNumberFormat="1" applyFont="1" applyFill="1" applyBorder="1" applyAlignment="1">
      <alignment vertical="center"/>
    </xf>
    <xf numFmtId="3" fontId="16" fillId="18" borderId="34" xfId="0" applyNumberFormat="1" applyFont="1" applyFill="1" applyBorder="1" applyAlignment="1">
      <alignment vertical="center"/>
    </xf>
    <xf numFmtId="0" fontId="24" fillId="2" borderId="4" xfId="0" applyFont="1" applyFill="1" applyBorder="1" applyAlignment="1">
      <alignment horizontal="left" vertical="center" wrapText="1"/>
    </xf>
    <xf numFmtId="3" fontId="24" fillId="20" borderId="4" xfId="0" applyNumberFormat="1" applyFont="1" applyFill="1" applyBorder="1" applyAlignment="1">
      <alignment horizontal="right" vertical="center" wrapText="1"/>
    </xf>
    <xf numFmtId="3" fontId="24" fillId="20" borderId="11" xfId="0" applyNumberFormat="1" applyFont="1" applyFill="1" applyBorder="1" applyAlignment="1">
      <alignment horizontal="right" vertical="center" wrapText="1"/>
    </xf>
    <xf numFmtId="3" fontId="24" fillId="19" borderId="12" xfId="0" applyNumberFormat="1" applyFont="1" applyFill="1" applyBorder="1" applyAlignment="1">
      <alignment horizontal="right" vertical="center" wrapText="1"/>
    </xf>
    <xf numFmtId="166" fontId="57" fillId="2" borderId="4" xfId="0" applyNumberFormat="1" applyFont="1" applyFill="1" applyBorder="1" applyAlignment="1">
      <alignment horizontal="right" vertical="center" wrapText="1"/>
    </xf>
    <xf numFmtId="166" fontId="57" fillId="2" borderId="11" xfId="0" applyNumberFormat="1" applyFont="1" applyFill="1" applyBorder="1" applyAlignment="1">
      <alignment horizontal="right" vertical="center" wrapText="1"/>
    </xf>
    <xf numFmtId="166" fontId="24" fillId="2" borderId="0" xfId="0" applyNumberFormat="1" applyFont="1" applyFill="1" applyBorder="1" applyAlignment="1">
      <alignment horizontal="right" vertical="center" wrapText="1"/>
    </xf>
    <xf numFmtId="3" fontId="50" fillId="17" borderId="3" xfId="0" applyNumberFormat="1" applyFont="1" applyFill="1" applyBorder="1" applyAlignment="1">
      <alignment horizontal="right" vertical="center" wrapText="1"/>
    </xf>
    <xf numFmtId="3" fontId="50" fillId="17" borderId="0" xfId="0" applyNumberFormat="1" applyFont="1" applyFill="1" applyBorder="1" applyAlignment="1">
      <alignment horizontal="right" vertical="center" wrapText="1"/>
    </xf>
    <xf numFmtId="3" fontId="27" fillId="17" borderId="5" xfId="0" applyNumberFormat="1" applyFont="1" applyFill="1" applyBorder="1" applyAlignment="1">
      <alignment horizontal="right" vertical="center" wrapText="1"/>
    </xf>
    <xf numFmtId="3" fontId="27" fillId="17" borderId="18" xfId="0" applyNumberFormat="1" applyFont="1" applyFill="1" applyBorder="1" applyAlignment="1">
      <alignment horizontal="right" vertical="center" wrapText="1"/>
    </xf>
    <xf numFmtId="0" fontId="53" fillId="3" borderId="6" xfId="0" applyFont="1" applyFill="1" applyBorder="1" applyAlignment="1">
      <alignment horizontal="left" vertical="center" wrapText="1"/>
    </xf>
    <xf numFmtId="3" fontId="27" fillId="17" borderId="6" xfId="0" applyNumberFormat="1" applyFont="1" applyFill="1" applyBorder="1" applyAlignment="1">
      <alignment horizontal="right" vertical="center" wrapText="1"/>
    </xf>
    <xf numFmtId="3" fontId="27" fillId="17" borderId="7" xfId="0" applyNumberFormat="1" applyFont="1" applyFill="1" applyBorder="1" applyAlignment="1">
      <alignment horizontal="right" vertical="center" wrapText="1"/>
    </xf>
    <xf numFmtId="3" fontId="27" fillId="18" borderId="8" xfId="0" applyNumberFormat="1" applyFont="1" applyFill="1" applyBorder="1" applyAlignment="1">
      <alignment horizontal="right" vertical="center" wrapText="1"/>
    </xf>
    <xf numFmtId="166" fontId="27" fillId="3" borderId="6" xfId="0" applyNumberFormat="1" applyFont="1" applyFill="1" applyBorder="1" applyAlignment="1">
      <alignment horizontal="right" vertical="center" wrapText="1"/>
    </xf>
    <xf numFmtId="166" fontId="27" fillId="3" borderId="7" xfId="0" applyNumberFormat="1" applyFont="1" applyFill="1" applyBorder="1" applyAlignment="1">
      <alignment horizontal="right" vertical="center" wrapText="1"/>
    </xf>
    <xf numFmtId="169" fontId="27" fillId="18" borderId="8" xfId="0" applyNumberFormat="1" applyFont="1" applyFill="1" applyBorder="1" applyAlignment="1">
      <alignment horizontal="right" vertical="center" wrapText="1"/>
    </xf>
    <xf numFmtId="0" fontId="27" fillId="3" borderId="7" xfId="0" applyFont="1" applyFill="1" applyBorder="1" applyAlignment="1">
      <alignment horizontal="right" vertical="center" wrapText="1"/>
    </xf>
    <xf numFmtId="0" fontId="25" fillId="3" borderId="4" xfId="0" applyFont="1" applyFill="1" applyBorder="1" applyAlignment="1">
      <alignment horizontal="left" vertical="center" wrapText="1"/>
    </xf>
    <xf numFmtId="3" fontId="50" fillId="17" borderId="4" xfId="0" applyNumberFormat="1" applyFont="1" applyFill="1" applyBorder="1" applyAlignment="1">
      <alignment horizontal="right" vertical="center" wrapText="1"/>
    </xf>
    <xf numFmtId="3" fontId="50" fillId="17" borderId="11" xfId="0" applyNumberFormat="1" applyFont="1" applyFill="1" applyBorder="1" applyAlignment="1">
      <alignment horizontal="right" vertical="center" wrapText="1"/>
    </xf>
    <xf numFmtId="3" fontId="50" fillId="18" borderId="12" xfId="0" applyNumberFormat="1" applyFont="1" applyFill="1" applyBorder="1" applyAlignment="1">
      <alignment horizontal="right" vertical="center" wrapText="1"/>
    </xf>
    <xf numFmtId="0" fontId="53" fillId="3" borderId="5" xfId="0" applyFont="1" applyFill="1" applyBorder="1" applyAlignment="1">
      <alignment horizontal="left" vertical="center" wrapText="1" indent="1"/>
    </xf>
    <xf numFmtId="3" fontId="27" fillId="18" borderId="19" xfId="0" applyNumberFormat="1" applyFont="1" applyFill="1" applyBorder="1" applyAlignment="1">
      <alignment horizontal="right" vertical="center" wrapText="1"/>
    </xf>
    <xf numFmtId="3" fontId="27" fillId="3" borderId="5" xfId="0" applyNumberFormat="1" applyFont="1" applyFill="1" applyBorder="1" applyAlignment="1">
      <alignment horizontal="right" vertical="center" wrapText="1"/>
    </xf>
    <xf numFmtId="3" fontId="27" fillId="3" borderId="18" xfId="0" applyNumberFormat="1" applyFont="1" applyFill="1" applyBorder="1" applyAlignment="1">
      <alignment horizontal="right" vertical="center" wrapText="1"/>
    </xf>
    <xf numFmtId="3" fontId="40" fillId="3" borderId="18" xfId="0" applyNumberFormat="1" applyFont="1" applyFill="1" applyBorder="1" applyAlignment="1">
      <alignment horizontal="right" vertical="center" wrapText="1"/>
    </xf>
    <xf numFmtId="0" fontId="14" fillId="3" borderId="0" xfId="0" applyFont="1" applyFill="1" applyAlignment="1">
      <alignment vertical="center"/>
    </xf>
    <xf numFmtId="0" fontId="14" fillId="3" borderId="0" xfId="0" applyFont="1" applyFill="1" applyBorder="1" applyAlignment="1">
      <alignment vertical="center"/>
    </xf>
    <xf numFmtId="0" fontId="14" fillId="3" borderId="0" xfId="0" applyFont="1" applyFill="1" applyBorder="1" applyAlignment="1">
      <alignment vertical="top"/>
    </xf>
    <xf numFmtId="0" fontId="14" fillId="3" borderId="0" xfId="0" applyFont="1" applyFill="1" applyAlignment="1">
      <alignment vertical="top"/>
    </xf>
    <xf numFmtId="0" fontId="21" fillId="3" borderId="22" xfId="0" applyFont="1" applyFill="1" applyBorder="1" applyAlignment="1">
      <alignment vertical="center" wrapText="1"/>
    </xf>
    <xf numFmtId="10" fontId="21" fillId="2" borderId="0" xfId="0" applyNumberFormat="1" applyFont="1" applyFill="1" applyAlignment="1">
      <alignment horizontal="right" vertical="center" wrapText="1" indent="1"/>
    </xf>
    <xf numFmtId="0" fontId="23" fillId="3" borderId="23" xfId="0" applyFont="1" applyFill="1" applyBorder="1" applyAlignment="1">
      <alignment vertical="center" wrapText="1"/>
    </xf>
    <xf numFmtId="10" fontId="12" fillId="2" borderId="0" xfId="0" applyNumberFormat="1" applyFont="1" applyFill="1" applyAlignment="1">
      <alignment horizontal="right" vertical="center" wrapText="1" indent="1"/>
    </xf>
    <xf numFmtId="10" fontId="12" fillId="3" borderId="0" xfId="0" applyNumberFormat="1" applyFont="1" applyFill="1" applyAlignment="1">
      <alignment horizontal="right" vertical="center" wrapText="1" indent="1"/>
    </xf>
    <xf numFmtId="0" fontId="0" fillId="3" borderId="0" xfId="0" applyFill="1" applyAlignment="1">
      <alignment wrapText="1"/>
    </xf>
    <xf numFmtId="0" fontId="0" fillId="3" borderId="0" xfId="0" applyFont="1" applyFill="1" applyAlignment="1">
      <alignment vertical="top"/>
    </xf>
    <xf numFmtId="0" fontId="33" fillId="5" borderId="18" xfId="0" applyFont="1" applyFill="1" applyBorder="1" applyAlignment="1">
      <alignment horizontal="right" vertical="center"/>
    </xf>
    <xf numFmtId="0" fontId="29" fillId="4" borderId="18" xfId="0" applyFont="1" applyFill="1" applyBorder="1" applyAlignment="1">
      <alignment horizontal="right" vertical="center" wrapText="1"/>
    </xf>
    <xf numFmtId="0" fontId="34" fillId="4" borderId="19" xfId="0" applyFont="1" applyFill="1" applyBorder="1" applyAlignment="1">
      <alignment horizontal="right" vertical="center" wrapText="1"/>
    </xf>
    <xf numFmtId="0" fontId="34" fillId="4" borderId="8" xfId="0" applyFont="1" applyFill="1" applyBorder="1" applyAlignment="1">
      <alignment horizontal="right" vertical="center" wrapText="1"/>
    </xf>
    <xf numFmtId="166" fontId="31" fillId="6" borderId="11" xfId="0" applyNumberFormat="1" applyFont="1" applyFill="1" applyBorder="1" applyAlignment="1">
      <alignment vertical="center" wrapText="1"/>
    </xf>
    <xf numFmtId="0" fontId="29" fillId="3" borderId="6" xfId="0" applyFont="1" applyFill="1" applyBorder="1" applyAlignment="1">
      <alignment vertical="center"/>
    </xf>
    <xf numFmtId="0" fontId="18" fillId="3" borderId="3" xfId="0" applyFont="1" applyFill="1" applyBorder="1" applyAlignment="1">
      <alignment vertical="center"/>
    </xf>
    <xf numFmtId="0" fontId="18" fillId="3" borderId="3" xfId="0" applyFont="1" applyFill="1" applyBorder="1" applyAlignment="1">
      <alignment vertical="center" wrapText="1"/>
    </xf>
    <xf numFmtId="0" fontId="30" fillId="3" borderId="15" xfId="0" applyFont="1" applyFill="1" applyBorder="1" applyAlignment="1">
      <alignment vertical="center"/>
    </xf>
    <xf numFmtId="0" fontId="58" fillId="5" borderId="6" xfId="0" applyFont="1" applyFill="1" applyBorder="1" applyAlignment="1">
      <alignment horizontal="right" vertical="center"/>
    </xf>
    <xf numFmtId="0" fontId="23" fillId="4" borderId="7" xfId="0" applyFont="1" applyFill="1" applyBorder="1" applyAlignment="1">
      <alignment horizontal="right" vertical="center" wrapText="1"/>
    </xf>
    <xf numFmtId="0" fontId="59" fillId="4" borderId="8" xfId="0" applyFont="1" applyFill="1" applyBorder="1" applyAlignment="1">
      <alignment horizontal="right" vertical="center" wrapText="1"/>
    </xf>
    <xf numFmtId="0" fontId="30" fillId="15" borderId="28" xfId="0" applyFont="1" applyFill="1" applyBorder="1" applyAlignment="1">
      <alignment horizontal="center" vertical="center" wrapText="1"/>
    </xf>
    <xf numFmtId="180" fontId="18" fillId="14" borderId="10" xfId="0" applyNumberFormat="1" applyFont="1" applyFill="1" applyBorder="1" applyAlignment="1">
      <alignment vertical="center"/>
    </xf>
    <xf numFmtId="180" fontId="45" fillId="14" borderId="10" xfId="0" applyNumberFormat="1" applyFont="1" applyFill="1" applyBorder="1" applyAlignment="1">
      <alignment vertical="center"/>
    </xf>
    <xf numFmtId="180" fontId="30" fillId="12" borderId="8" xfId="0" applyNumberFormat="1" applyFont="1" applyFill="1" applyBorder="1" applyAlignment="1">
      <alignment vertical="center"/>
    </xf>
    <xf numFmtId="180" fontId="30" fillId="4" borderId="28" xfId="0" applyNumberFormat="1" applyFont="1" applyFill="1" applyBorder="1" applyAlignment="1">
      <alignment vertical="center"/>
    </xf>
    <xf numFmtId="180" fontId="18" fillId="14" borderId="12" xfId="0" applyNumberFormat="1" applyFont="1" applyFill="1" applyBorder="1" applyAlignment="1">
      <alignment vertical="center"/>
    </xf>
    <xf numFmtId="181" fontId="30" fillId="12" borderId="8" xfId="0" applyNumberFormat="1" applyFont="1" applyFill="1" applyBorder="1" applyAlignment="1">
      <alignment vertical="center"/>
    </xf>
    <xf numFmtId="181" fontId="18" fillId="14" borderId="10" xfId="0" applyNumberFormat="1" applyFont="1" applyFill="1" applyBorder="1" applyAlignment="1">
      <alignment vertical="center"/>
    </xf>
    <xf numFmtId="181" fontId="32" fillId="14" borderId="10" xfId="0" applyNumberFormat="1" applyFont="1" applyFill="1" applyBorder="1" applyAlignment="1">
      <alignment horizontal="right" vertical="center"/>
    </xf>
    <xf numFmtId="181" fontId="30" fillId="4" borderId="28" xfId="0" applyNumberFormat="1" applyFont="1" applyFill="1" applyBorder="1" applyAlignment="1">
      <alignment vertical="center"/>
    </xf>
    <xf numFmtId="181" fontId="30" fillId="3" borderId="6" xfId="0" applyNumberFormat="1" applyFont="1" applyFill="1" applyBorder="1" applyAlignment="1">
      <alignment vertical="center"/>
    </xf>
    <xf numFmtId="181" fontId="30" fillId="3" borderId="7" xfId="0" applyNumberFormat="1" applyFont="1" applyFill="1" applyBorder="1" applyAlignment="1">
      <alignment vertical="center"/>
    </xf>
    <xf numFmtId="181" fontId="30" fillId="2" borderId="8" xfId="0" applyNumberFormat="1" applyFont="1" applyFill="1" applyBorder="1" applyAlignment="1">
      <alignment vertical="center"/>
    </xf>
    <xf numFmtId="181" fontId="18" fillId="3" borderId="3" xfId="0" applyNumberFormat="1" applyFont="1" applyFill="1" applyBorder="1" applyAlignment="1">
      <alignment vertical="center"/>
    </xf>
    <xf numFmtId="181" fontId="18" fillId="3" borderId="0" xfId="0" applyNumberFormat="1" applyFont="1" applyFill="1" applyBorder="1" applyAlignment="1">
      <alignment vertical="center"/>
    </xf>
    <xf numFmtId="181" fontId="18" fillId="2" borderId="10" xfId="0" applyNumberFormat="1" applyFont="1" applyFill="1" applyBorder="1" applyAlignment="1">
      <alignment vertical="center"/>
    </xf>
    <xf numFmtId="181" fontId="30" fillId="12" borderId="6" xfId="0" applyNumberFormat="1" applyFont="1" applyFill="1" applyBorder="1" applyAlignment="1">
      <alignment vertical="center"/>
    </xf>
    <xf numFmtId="181" fontId="30" fillId="12" borderId="7" xfId="0" applyNumberFormat="1" applyFont="1" applyFill="1" applyBorder="1" applyAlignment="1">
      <alignment vertical="center"/>
    </xf>
    <xf numFmtId="181" fontId="30" fillId="7" borderId="8" xfId="0" applyNumberFormat="1" applyFont="1" applyFill="1" applyBorder="1" applyAlignment="1">
      <alignment vertical="center"/>
    </xf>
    <xf numFmtId="181" fontId="30" fillId="3" borderId="15" xfId="0" applyNumberFormat="1" applyFont="1" applyFill="1" applyBorder="1" applyAlignment="1">
      <alignment vertical="center"/>
    </xf>
    <xf numFmtId="181" fontId="30" fillId="3" borderId="2" xfId="0" applyNumberFormat="1" applyFont="1" applyFill="1" applyBorder="1" applyAlignment="1">
      <alignment vertical="center"/>
    </xf>
    <xf numFmtId="181" fontId="30" fillId="2" borderId="16" xfId="0" applyNumberFormat="1" applyFont="1" applyFill="1" applyBorder="1" applyAlignment="1">
      <alignment vertical="center"/>
    </xf>
    <xf numFmtId="181" fontId="30" fillId="2" borderId="7" xfId="0" applyNumberFormat="1" applyFont="1" applyFill="1" applyBorder="1" applyAlignment="1">
      <alignment vertical="center"/>
    </xf>
    <xf numFmtId="181" fontId="18" fillId="3" borderId="0" xfId="0" applyNumberFormat="1" applyFont="1" applyFill="1" applyAlignment="1">
      <alignment vertical="center"/>
    </xf>
    <xf numFmtId="181" fontId="18" fillId="2" borderId="0" xfId="0" applyNumberFormat="1" applyFont="1" applyFill="1" applyAlignment="1">
      <alignment vertical="center"/>
    </xf>
    <xf numFmtId="181" fontId="30" fillId="7" borderId="7" xfId="0" applyNumberFormat="1" applyFont="1" applyFill="1" applyBorder="1" applyAlignment="1">
      <alignment vertical="center"/>
    </xf>
    <xf numFmtId="181" fontId="30" fillId="2" borderId="2" xfId="0" applyNumberFormat="1" applyFont="1" applyFill="1" applyBorder="1" applyAlignment="1">
      <alignment vertical="center"/>
    </xf>
    <xf numFmtId="181" fontId="18" fillId="2" borderId="0" xfId="0" applyNumberFormat="1" applyFont="1" applyFill="1" applyBorder="1" applyAlignment="1">
      <alignment vertical="center"/>
    </xf>
    <xf numFmtId="182" fontId="18" fillId="3" borderId="0" xfId="0" applyNumberFormat="1" applyFont="1" applyFill="1" applyBorder="1" applyAlignment="1">
      <alignment vertical="center"/>
    </xf>
    <xf numFmtId="182" fontId="18" fillId="3" borderId="10" xfId="0" applyNumberFormat="1" applyFont="1" applyFill="1" applyBorder="1" applyAlignment="1">
      <alignment vertical="center"/>
    </xf>
    <xf numFmtId="182" fontId="18" fillId="3" borderId="3" xfId="0" applyNumberFormat="1" applyFont="1" applyFill="1" applyBorder="1" applyAlignment="1">
      <alignment vertical="center"/>
    </xf>
    <xf numFmtId="182" fontId="18" fillId="3" borderId="0" xfId="0" applyNumberFormat="1" applyFont="1" applyFill="1" applyAlignment="1">
      <alignment vertical="center"/>
    </xf>
    <xf numFmtId="182" fontId="18" fillId="3" borderId="18" xfId="0" applyNumberFormat="1" applyFont="1" applyFill="1" applyBorder="1" applyAlignment="1">
      <alignment vertical="center"/>
    </xf>
    <xf numFmtId="181" fontId="18" fillId="0" borderId="0" xfId="0" applyNumberFormat="1" applyFont="1" applyFill="1" applyBorder="1" applyAlignment="1">
      <alignment vertical="center"/>
    </xf>
    <xf numFmtId="181" fontId="37" fillId="3" borderId="10" xfId="0" applyNumberFormat="1" applyFont="1" applyFill="1" applyBorder="1" applyAlignment="1">
      <alignment horizontal="right" vertical="center"/>
    </xf>
    <xf numFmtId="181" fontId="37" fillId="3" borderId="19" xfId="0" applyNumberFormat="1" applyFont="1" applyFill="1" applyBorder="1" applyAlignment="1">
      <alignment vertical="center"/>
    </xf>
    <xf numFmtId="181" fontId="37" fillId="3" borderId="10" xfId="0" applyNumberFormat="1" applyFont="1" applyFill="1" applyBorder="1" applyAlignment="1">
      <alignment horizontal="right" vertical="center" wrapText="1"/>
    </xf>
    <xf numFmtId="181" fontId="38" fillId="3" borderId="10" xfId="0" applyNumberFormat="1" applyFont="1" applyFill="1" applyBorder="1" applyAlignment="1">
      <alignment horizontal="right" vertical="center" wrapText="1"/>
    </xf>
    <xf numFmtId="181" fontId="37" fillId="3" borderId="12" xfId="0" applyNumberFormat="1" applyFont="1" applyFill="1" applyBorder="1" applyAlignment="1">
      <alignment horizontal="right" vertical="center" wrapText="1"/>
    </xf>
    <xf numFmtId="181" fontId="37" fillId="3" borderId="28" xfId="0" applyNumberFormat="1" applyFont="1" applyFill="1" applyBorder="1" applyAlignment="1">
      <alignment horizontal="right" vertical="center" wrapText="1"/>
    </xf>
    <xf numFmtId="180" fontId="18" fillId="3" borderId="0" xfId="0" applyNumberFormat="1" applyFont="1" applyFill="1" applyBorder="1" applyAlignment="1">
      <alignment vertical="center"/>
    </xf>
    <xf numFmtId="180" fontId="43" fillId="3" borderId="0" xfId="1" applyNumberFormat="1" applyFont="1" applyFill="1" applyBorder="1" applyAlignment="1">
      <alignment horizontal="right" vertical="center"/>
    </xf>
    <xf numFmtId="180" fontId="45" fillId="3" borderId="0" xfId="0" applyNumberFormat="1" applyFont="1" applyFill="1" applyBorder="1" applyAlignment="1">
      <alignment vertical="center"/>
    </xf>
    <xf numFmtId="180" fontId="18" fillId="3" borderId="18" xfId="0" applyNumberFormat="1" applyFont="1" applyFill="1" applyBorder="1" applyAlignment="1">
      <alignment vertical="center"/>
    </xf>
    <xf numFmtId="180" fontId="30" fillId="12" borderId="7" xfId="0" applyNumberFormat="1" applyFont="1" applyFill="1" applyBorder="1" applyAlignment="1">
      <alignment vertical="center"/>
    </xf>
    <xf numFmtId="180" fontId="18" fillId="3" borderId="11" xfId="0" applyNumberFormat="1" applyFont="1" applyFill="1" applyBorder="1" applyAlignment="1">
      <alignment vertical="center"/>
    </xf>
    <xf numFmtId="180" fontId="30" fillId="4" borderId="27" xfId="0" applyNumberFormat="1" applyFont="1" applyFill="1" applyBorder="1" applyAlignment="1">
      <alignment vertical="center"/>
    </xf>
    <xf numFmtId="180" fontId="18" fillId="3" borderId="7" xfId="0" applyNumberFormat="1" applyFont="1" applyFill="1" applyBorder="1"/>
    <xf numFmtId="180" fontId="43" fillId="3" borderId="0" xfId="0" applyNumberFormat="1" applyFont="1" applyFill="1" applyBorder="1" applyAlignment="1">
      <alignment horizontal="right" vertical="center"/>
    </xf>
    <xf numFmtId="180" fontId="18" fillId="3" borderId="0" xfId="0" applyNumberFormat="1" applyFont="1" applyFill="1" applyBorder="1" applyAlignment="1">
      <alignment horizontal="right" vertical="center"/>
    </xf>
    <xf numFmtId="180" fontId="46" fillId="3" borderId="0" xfId="0" applyNumberFormat="1" applyFont="1" applyFill="1" applyBorder="1" applyAlignment="1">
      <alignment horizontal="right" vertical="center"/>
    </xf>
    <xf numFmtId="180" fontId="32" fillId="3" borderId="0" xfId="0" applyNumberFormat="1" applyFont="1" applyFill="1" applyBorder="1" applyAlignment="1">
      <alignment horizontal="right" vertical="center"/>
    </xf>
    <xf numFmtId="0" fontId="65" fillId="3" borderId="0" xfId="0" applyFont="1" applyFill="1"/>
    <xf numFmtId="0" fontId="33" fillId="4" borderId="2" xfId="0" applyFont="1" applyFill="1" applyBorder="1" applyAlignment="1">
      <alignment horizontal="right" vertical="center"/>
    </xf>
    <xf numFmtId="170" fontId="33" fillId="6" borderId="7" xfId="0" applyNumberFormat="1" applyFont="1" applyFill="1" applyBorder="1" applyAlignment="1">
      <alignment vertical="center"/>
    </xf>
    <xf numFmtId="170" fontId="65" fillId="3" borderId="0" xfId="0" applyNumberFormat="1" applyFont="1" applyFill="1" applyBorder="1" applyAlignment="1">
      <alignment horizontal="right" vertical="center"/>
    </xf>
    <xf numFmtId="176" fontId="33" fillId="6" borderId="7" xfId="0" applyNumberFormat="1" applyFont="1" applyFill="1" applyBorder="1" applyAlignment="1">
      <alignment vertical="center"/>
    </xf>
    <xf numFmtId="176" fontId="65" fillId="3" borderId="0" xfId="0" applyNumberFormat="1" applyFont="1" applyFill="1" applyBorder="1" applyAlignment="1">
      <alignment horizontal="right" vertical="center"/>
    </xf>
    <xf numFmtId="178" fontId="33" fillId="3" borderId="0" xfId="0" applyNumberFormat="1" applyFont="1" applyFill="1" applyBorder="1" applyAlignment="1">
      <alignment vertical="center"/>
    </xf>
    <xf numFmtId="0" fontId="65" fillId="3" borderId="0" xfId="0" applyFont="1" applyFill="1" applyAlignment="1">
      <alignment vertical="center"/>
    </xf>
    <xf numFmtId="0" fontId="65" fillId="0" borderId="0" xfId="0" applyFont="1" applyAlignment="1">
      <alignment vertical="center"/>
    </xf>
    <xf numFmtId="172" fontId="18" fillId="14" borderId="10" xfId="0" applyNumberFormat="1" applyFont="1" applyFill="1" applyBorder="1" applyAlignment="1">
      <alignment horizontal="right" vertical="center"/>
    </xf>
    <xf numFmtId="172" fontId="18" fillId="14" borderId="0" xfId="0" applyNumberFormat="1" applyFont="1" applyFill="1" applyBorder="1" applyAlignment="1">
      <alignment horizontal="right" vertical="center"/>
    </xf>
    <xf numFmtId="172" fontId="18" fillId="3" borderId="3" xfId="0" applyNumberFormat="1" applyFont="1" applyFill="1" applyBorder="1" applyAlignment="1">
      <alignment horizontal="right" vertical="center"/>
    </xf>
    <xf numFmtId="172" fontId="30" fillId="12" borderId="6" xfId="0" applyNumberFormat="1" applyFont="1" applyFill="1" applyBorder="1" applyAlignment="1">
      <alignment vertical="center"/>
    </xf>
    <xf numFmtId="172" fontId="30" fillId="13" borderId="27" xfId="0" applyNumberFormat="1" applyFont="1" applyFill="1" applyBorder="1" applyAlignment="1">
      <alignment vertical="center"/>
    </xf>
    <xf numFmtId="172" fontId="30" fillId="4" borderId="26" xfId="0" applyNumberFormat="1" applyFont="1" applyFill="1" applyBorder="1" applyAlignment="1">
      <alignment vertical="center"/>
    </xf>
    <xf numFmtId="166" fontId="18" fillId="3" borderId="0" xfId="0" applyNumberFormat="1" applyFont="1" applyFill="1" applyBorder="1" applyAlignment="1">
      <alignment horizontal="right" vertical="center"/>
    </xf>
    <xf numFmtId="166" fontId="18" fillId="14" borderId="10" xfId="0" applyNumberFormat="1" applyFont="1" applyFill="1" applyBorder="1" applyAlignment="1">
      <alignment horizontal="right" vertical="center"/>
    </xf>
    <xf numFmtId="166" fontId="18" fillId="14" borderId="0" xfId="0" applyNumberFormat="1" applyFont="1" applyFill="1" applyBorder="1" applyAlignment="1">
      <alignment horizontal="right" vertical="center"/>
    </xf>
    <xf numFmtId="166" fontId="18" fillId="3" borderId="3" xfId="0" applyNumberFormat="1" applyFont="1" applyFill="1" applyBorder="1" applyAlignment="1">
      <alignment horizontal="right" vertical="center"/>
    </xf>
    <xf numFmtId="166" fontId="18" fillId="3" borderId="11" xfId="0" applyNumberFormat="1" applyFont="1" applyFill="1" applyBorder="1" applyAlignment="1">
      <alignment horizontal="right" vertical="center"/>
    </xf>
    <xf numFmtId="166" fontId="18" fillId="14" borderId="12" xfId="0" applyNumberFormat="1" applyFont="1" applyFill="1" applyBorder="1" applyAlignment="1">
      <alignment horizontal="right" vertical="center"/>
    </xf>
    <xf numFmtId="166" fontId="18" fillId="14" borderId="11" xfId="0" applyNumberFormat="1" applyFont="1" applyFill="1" applyBorder="1" applyAlignment="1">
      <alignment horizontal="right" vertical="center"/>
    </xf>
    <xf numFmtId="166" fontId="18" fillId="3" borderId="4" xfId="0" applyNumberFormat="1" applyFont="1" applyFill="1" applyBorder="1" applyAlignment="1">
      <alignment horizontal="right" vertical="center"/>
    </xf>
    <xf numFmtId="184" fontId="18" fillId="3" borderId="0" xfId="0" applyNumberFormat="1" applyFont="1" applyFill="1" applyBorder="1" applyAlignment="1">
      <alignment horizontal="right" vertical="center"/>
    </xf>
    <xf numFmtId="166" fontId="18" fillId="3" borderId="0" xfId="0" applyNumberFormat="1" applyFont="1" applyFill="1" applyBorder="1" applyAlignment="1">
      <alignment vertical="center"/>
    </xf>
    <xf numFmtId="166" fontId="18" fillId="14" borderId="10" xfId="0" applyNumberFormat="1" applyFont="1" applyFill="1" applyBorder="1" applyAlignment="1">
      <alignment vertical="center"/>
    </xf>
    <xf numFmtId="167" fontId="30" fillId="3" borderId="0" xfId="0" applyNumberFormat="1" applyFont="1" applyFill="1" applyBorder="1" applyAlignment="1">
      <alignment vertical="center"/>
    </xf>
    <xf numFmtId="167" fontId="30" fillId="14" borderId="0" xfId="0" applyNumberFormat="1" applyFont="1" applyFill="1" applyBorder="1" applyAlignment="1">
      <alignment vertical="center"/>
    </xf>
    <xf numFmtId="167" fontId="30" fillId="3" borderId="3" xfId="0" applyNumberFormat="1" applyFont="1" applyFill="1" applyBorder="1" applyAlignment="1">
      <alignment vertical="center"/>
    </xf>
    <xf numFmtId="181" fontId="30" fillId="3" borderId="8" xfId="0" applyNumberFormat="1" applyFont="1" applyFill="1" applyBorder="1" applyAlignment="1">
      <alignment vertical="center"/>
    </xf>
    <xf numFmtId="181" fontId="30" fillId="3" borderId="7" xfId="0" applyNumberFormat="1" applyFont="1" applyFill="1" applyBorder="1" applyAlignment="1">
      <alignment horizontal="right" vertical="center"/>
    </xf>
    <xf numFmtId="181" fontId="18" fillId="3" borderId="10" xfId="0" applyNumberFormat="1" applyFont="1" applyFill="1" applyBorder="1" applyAlignment="1">
      <alignment vertical="center"/>
    </xf>
    <xf numFmtId="181" fontId="30" fillId="3" borderId="16" xfId="0" applyNumberFormat="1" applyFont="1" applyFill="1" applyBorder="1" applyAlignment="1">
      <alignment vertical="center"/>
    </xf>
    <xf numFmtId="168" fontId="27" fillId="2" borderId="0" xfId="6" applyNumberFormat="1" applyFont="1" applyFill="1" applyBorder="1" applyAlignment="1">
      <alignment horizontal="right" vertical="center" wrapText="1"/>
    </xf>
    <xf numFmtId="3" fontId="55" fillId="3" borderId="0" xfId="6" applyNumberFormat="1" applyFont="1" applyFill="1" applyBorder="1" applyAlignment="1">
      <alignment horizontal="right" vertical="center" wrapText="1"/>
    </xf>
    <xf numFmtId="3" fontId="27" fillId="3" borderId="0" xfId="6" applyNumberFormat="1" applyFont="1" applyFill="1" applyBorder="1" applyAlignment="1">
      <alignment horizontal="right" vertical="center" wrapText="1"/>
    </xf>
    <xf numFmtId="0" fontId="49" fillId="11" borderId="7" xfId="0" applyFont="1" applyFill="1" applyBorder="1" applyAlignment="1">
      <alignment horizontal="center" vertical="center"/>
    </xf>
    <xf numFmtId="181" fontId="18" fillId="3" borderId="0" xfId="0" applyNumberFormat="1" applyFont="1" applyFill="1" applyBorder="1" applyAlignment="1">
      <alignment horizontal="right" vertical="center"/>
    </xf>
    <xf numFmtId="185" fontId="18" fillId="14" borderId="10" xfId="0" applyNumberFormat="1" applyFont="1" applyFill="1" applyBorder="1" applyAlignment="1">
      <alignment horizontal="right" vertical="center"/>
    </xf>
    <xf numFmtId="181" fontId="32" fillId="3" borderId="3" xfId="0" applyNumberFormat="1" applyFont="1" applyFill="1" applyBorder="1" applyAlignment="1">
      <alignment horizontal="right" vertical="center"/>
    </xf>
    <xf numFmtId="181" fontId="32" fillId="3" borderId="0" xfId="0" applyNumberFormat="1" applyFont="1" applyFill="1" applyBorder="1" applyAlignment="1">
      <alignment horizontal="right" vertical="center"/>
    </xf>
    <xf numFmtId="181" fontId="65" fillId="3" borderId="0" xfId="0" applyNumberFormat="1" applyFont="1" applyFill="1" applyBorder="1" applyAlignment="1">
      <alignment horizontal="right" vertical="center"/>
    </xf>
    <xf numFmtId="3" fontId="50" fillId="18" borderId="8" xfId="0" applyNumberFormat="1" applyFont="1" applyFill="1" applyBorder="1" applyAlignment="1">
      <alignment horizontal="right" vertical="center" wrapText="1"/>
    </xf>
    <xf numFmtId="0" fontId="66" fillId="3" borderId="0" xfId="0" applyFont="1" applyFill="1" applyAlignment="1">
      <alignment vertical="center"/>
    </xf>
    <xf numFmtId="0" fontId="18" fillId="3" borderId="0" xfId="0" applyFont="1" applyFill="1" applyBorder="1" applyAlignment="1">
      <alignment horizontal="right" vertical="center"/>
    </xf>
    <xf numFmtId="0" fontId="67" fillId="3" borderId="0" xfId="0" applyFont="1" applyFill="1"/>
    <xf numFmtId="0" fontId="10" fillId="3" borderId="0" xfId="0" applyFont="1" applyFill="1"/>
    <xf numFmtId="0" fontId="68" fillId="3" borderId="4" xfId="0" applyFont="1" applyFill="1" applyBorder="1" applyAlignment="1">
      <alignment vertical="center" wrapText="1"/>
    </xf>
    <xf numFmtId="0" fontId="68" fillId="3" borderId="5" xfId="0" applyFont="1" applyFill="1" applyBorder="1" applyAlignment="1">
      <alignment vertical="center" wrapText="1"/>
    </xf>
    <xf numFmtId="0" fontId="30" fillId="4" borderId="2" xfId="0" applyFont="1" applyFill="1" applyBorder="1" applyAlignment="1">
      <alignment horizontal="right" vertical="center"/>
    </xf>
    <xf numFmtId="0" fontId="30" fillId="4" borderId="15" xfId="0" applyFont="1" applyFill="1" applyBorder="1" applyAlignment="1">
      <alignment horizontal="right" vertical="center"/>
    </xf>
    <xf numFmtId="0" fontId="30" fillId="8" borderId="16" xfId="0" applyFont="1" applyFill="1" applyBorder="1" applyAlignment="1">
      <alignment horizontal="right" vertical="center"/>
    </xf>
    <xf numFmtId="0" fontId="70" fillId="6" borderId="6" xfId="0" applyFont="1" applyFill="1" applyBorder="1" applyAlignment="1">
      <alignment vertical="center" wrapText="1"/>
    </xf>
    <xf numFmtId="170" fontId="30" fillId="6" borderId="7" xfId="0" applyNumberFormat="1" applyFont="1" applyFill="1" applyBorder="1" applyAlignment="1">
      <alignment vertical="center"/>
    </xf>
    <xf numFmtId="170" fontId="30" fillId="9" borderId="7" xfId="0" applyNumberFormat="1" applyFont="1" applyFill="1" applyBorder="1" applyAlignment="1">
      <alignment horizontal="right" vertical="center"/>
    </xf>
    <xf numFmtId="170" fontId="30" fillId="6" borderId="6" xfId="0" applyNumberFormat="1" applyFont="1" applyFill="1" applyBorder="1" applyAlignment="1">
      <alignment vertical="center"/>
    </xf>
    <xf numFmtId="170" fontId="30" fillId="9" borderId="8" xfId="0" applyNumberFormat="1" applyFont="1" applyFill="1" applyBorder="1" applyAlignment="1">
      <alignment horizontal="right" vertical="center"/>
    </xf>
    <xf numFmtId="0" fontId="18" fillId="0" borderId="3" xfId="0" applyFont="1" applyFill="1" applyBorder="1" applyAlignment="1">
      <alignment horizontal="left" vertical="center" wrapText="1"/>
    </xf>
    <xf numFmtId="170" fontId="18" fillId="0" borderId="0" xfId="0" applyNumberFormat="1" applyFont="1" applyFill="1" applyBorder="1" applyAlignment="1">
      <alignment horizontal="right" vertical="center"/>
    </xf>
    <xf numFmtId="170" fontId="18" fillId="9" borderId="0" xfId="0" applyNumberFormat="1" applyFont="1" applyFill="1" applyBorder="1" applyAlignment="1">
      <alignment horizontal="right" vertical="center"/>
    </xf>
    <xf numFmtId="170" fontId="18" fillId="0" borderId="3" xfId="0" applyNumberFormat="1" applyFont="1" applyFill="1" applyBorder="1" applyAlignment="1">
      <alignment horizontal="right" vertical="center"/>
    </xf>
    <xf numFmtId="170" fontId="18" fillId="9" borderId="10" xfId="0" applyNumberFormat="1" applyFont="1" applyFill="1" applyBorder="1" applyAlignment="1">
      <alignment horizontal="right" vertical="center"/>
    </xf>
    <xf numFmtId="179" fontId="71" fillId="0" borderId="0" xfId="0" applyNumberFormat="1" applyFont="1" applyFill="1" applyAlignment="1">
      <alignment horizontal="right" vertical="center"/>
    </xf>
    <xf numFmtId="170" fontId="18" fillId="3" borderId="0" xfId="0" applyNumberFormat="1" applyFont="1" applyFill="1" applyBorder="1" applyAlignment="1">
      <alignment horizontal="right" vertical="center"/>
    </xf>
    <xf numFmtId="175" fontId="71" fillId="0" borderId="0" xfId="0" applyNumberFormat="1" applyFont="1" applyFill="1" applyAlignment="1">
      <alignment horizontal="right" vertical="center"/>
    </xf>
    <xf numFmtId="176" fontId="30" fillId="6" borderId="7" xfId="0" applyNumberFormat="1" applyFont="1" applyFill="1" applyBorder="1" applyAlignment="1">
      <alignment vertical="center"/>
    </xf>
    <xf numFmtId="176" fontId="30" fillId="7" borderId="7" xfId="0" applyNumberFormat="1" applyFont="1" applyFill="1" applyBorder="1" applyAlignment="1">
      <alignment vertical="center"/>
    </xf>
    <xf numFmtId="176" fontId="30" fillId="6" borderId="6" xfId="0" applyNumberFormat="1" applyFont="1" applyFill="1" applyBorder="1" applyAlignment="1">
      <alignment vertical="center"/>
    </xf>
    <xf numFmtId="176" fontId="30" fillId="7" borderId="8" xfId="0" applyNumberFormat="1" applyFont="1" applyFill="1" applyBorder="1" applyAlignment="1">
      <alignment vertical="center"/>
    </xf>
    <xf numFmtId="0" fontId="30" fillId="0" borderId="0" xfId="0" applyFont="1"/>
    <xf numFmtId="176" fontId="18" fillId="0" borderId="0" xfId="0" applyNumberFormat="1" applyFont="1" applyFill="1" applyBorder="1" applyAlignment="1">
      <alignment horizontal="right" vertical="center"/>
    </xf>
    <xf numFmtId="176" fontId="18" fillId="9" borderId="0" xfId="0" applyNumberFormat="1" applyFont="1" applyFill="1" applyBorder="1" applyAlignment="1">
      <alignment horizontal="right" vertical="center"/>
    </xf>
    <xf numFmtId="176" fontId="18" fillId="0" borderId="3" xfId="0" applyNumberFormat="1" applyFont="1" applyFill="1" applyBorder="1" applyAlignment="1">
      <alignment horizontal="right" vertical="center"/>
    </xf>
    <xf numFmtId="176" fontId="18" fillId="9" borderId="10" xfId="0" applyNumberFormat="1" applyFont="1" applyFill="1" applyBorder="1" applyAlignment="1">
      <alignment horizontal="right" vertical="center"/>
    </xf>
    <xf numFmtId="176" fontId="18" fillId="3" borderId="0" xfId="0" applyNumberFormat="1" applyFont="1" applyFill="1" applyBorder="1" applyAlignment="1">
      <alignment horizontal="right" vertical="center"/>
    </xf>
    <xf numFmtId="0" fontId="30" fillId="0" borderId="0" xfId="0" applyFont="1" applyFill="1"/>
    <xf numFmtId="170" fontId="30" fillId="7" borderId="7" xfId="0" applyNumberFormat="1" applyFont="1" applyFill="1" applyBorder="1" applyAlignment="1">
      <alignment horizontal="right" vertical="center"/>
    </xf>
    <xf numFmtId="170" fontId="30" fillId="7" borderId="8" xfId="0" applyNumberFormat="1" applyFont="1" applyFill="1" applyBorder="1" applyAlignment="1">
      <alignment horizontal="right" vertical="center"/>
    </xf>
    <xf numFmtId="181" fontId="18" fillId="9" borderId="10" xfId="0" applyNumberFormat="1" applyFont="1" applyFill="1" applyBorder="1" applyAlignment="1">
      <alignment horizontal="right" vertical="center"/>
    </xf>
    <xf numFmtId="175" fontId="43" fillId="0" borderId="0" xfId="0" applyNumberFormat="1" applyFont="1" applyFill="1" applyAlignment="1">
      <alignment horizontal="right" vertical="center"/>
    </xf>
    <xf numFmtId="0" fontId="70" fillId="0" borderId="3" xfId="0" applyFont="1" applyBorder="1" applyAlignment="1">
      <alignment vertical="center"/>
    </xf>
    <xf numFmtId="178" fontId="30" fillId="0" borderId="0" xfId="0" applyNumberFormat="1" applyFont="1" applyFill="1" applyBorder="1" applyAlignment="1">
      <alignment horizontal="right" vertical="center"/>
    </xf>
    <xf numFmtId="178" fontId="30" fillId="9" borderId="0" xfId="0" applyNumberFormat="1" applyFont="1" applyFill="1" applyBorder="1" applyAlignment="1">
      <alignment horizontal="right" vertical="center"/>
    </xf>
    <xf numFmtId="178" fontId="18" fillId="0" borderId="3" xfId="0" applyNumberFormat="1" applyFont="1" applyFill="1" applyBorder="1" applyAlignment="1">
      <alignment horizontal="right" vertical="center"/>
    </xf>
    <xf numFmtId="178" fontId="30" fillId="0" borderId="3" xfId="0" applyNumberFormat="1" applyFont="1" applyFill="1" applyBorder="1" applyAlignment="1">
      <alignment horizontal="right" vertical="center"/>
    </xf>
    <xf numFmtId="178" fontId="30" fillId="9" borderId="10" xfId="0" applyNumberFormat="1" applyFont="1" applyFill="1" applyBorder="1" applyAlignment="1">
      <alignment horizontal="right" vertical="center"/>
    </xf>
    <xf numFmtId="178" fontId="46" fillId="0" borderId="0" xfId="0" applyNumberFormat="1" applyFont="1" applyFill="1" applyAlignment="1">
      <alignment horizontal="right" vertical="center"/>
    </xf>
    <xf numFmtId="178" fontId="30" fillId="3" borderId="0" xfId="0" applyNumberFormat="1" applyFont="1" applyFill="1" applyBorder="1" applyAlignment="1">
      <alignment horizontal="right" vertical="center"/>
    </xf>
    <xf numFmtId="0" fontId="70" fillId="6" borderId="4" xfId="0" applyFont="1" applyFill="1" applyBorder="1" applyAlignment="1">
      <alignment vertical="center" wrapText="1"/>
    </xf>
    <xf numFmtId="0" fontId="70" fillId="6" borderId="11" xfId="0" applyFont="1" applyFill="1" applyBorder="1" applyAlignment="1">
      <alignment vertical="center" wrapText="1"/>
    </xf>
    <xf numFmtId="169" fontId="70" fillId="10" borderId="11" xfId="0" applyNumberFormat="1" applyFont="1" applyFill="1" applyBorder="1" applyAlignment="1">
      <alignment vertical="center" wrapText="1"/>
    </xf>
    <xf numFmtId="169" fontId="70" fillId="10" borderId="12" xfId="0" applyNumberFormat="1" applyFont="1" applyFill="1" applyBorder="1" applyAlignment="1">
      <alignment vertical="center" wrapText="1"/>
    </xf>
    <xf numFmtId="166" fontId="70" fillId="6" borderId="11" xfId="0" applyNumberFormat="1" applyFont="1" applyFill="1" applyBorder="1" applyAlignment="1">
      <alignment vertical="center" wrapText="1"/>
    </xf>
    <xf numFmtId="0" fontId="70" fillId="6" borderId="5" xfId="0" applyFont="1" applyFill="1" applyBorder="1" applyAlignment="1">
      <alignment vertical="center" wrapText="1"/>
    </xf>
    <xf numFmtId="168" fontId="70" fillId="6" borderId="5" xfId="2" applyNumberFormat="1" applyFont="1" applyFill="1" applyBorder="1" applyAlignment="1">
      <alignment vertical="center" wrapText="1"/>
    </xf>
    <xf numFmtId="168" fontId="70" fillId="6" borderId="18" xfId="2" applyNumberFormat="1" applyFont="1" applyFill="1" applyBorder="1" applyAlignment="1">
      <alignment vertical="center" wrapText="1"/>
    </xf>
    <xf numFmtId="168" fontId="70" fillId="10" borderId="19" xfId="2" applyNumberFormat="1" applyFont="1" applyFill="1" applyBorder="1" applyAlignment="1">
      <alignment vertical="center" wrapText="1"/>
    </xf>
    <xf numFmtId="168" fontId="70" fillId="10" borderId="18" xfId="2" applyNumberFormat="1" applyFont="1" applyFill="1" applyBorder="1" applyAlignment="1">
      <alignment vertical="center" wrapText="1"/>
    </xf>
    <xf numFmtId="168" fontId="31" fillId="6" borderId="18" xfId="2" applyNumberFormat="1" applyFont="1" applyFill="1" applyBorder="1" applyAlignment="1">
      <alignment vertical="center" wrapText="1"/>
    </xf>
    <xf numFmtId="0" fontId="18" fillId="0" borderId="0" xfId="0" applyFont="1" applyFill="1"/>
    <xf numFmtId="0" fontId="18" fillId="0" borderId="0" xfId="0" applyFont="1" applyFill="1" applyAlignment="1">
      <alignment vertical="center"/>
    </xf>
    <xf numFmtId="0" fontId="18" fillId="0" borderId="0" xfId="0" applyFont="1" applyFill="1" applyBorder="1" applyAlignment="1">
      <alignment horizontal="right" vertical="center"/>
    </xf>
    <xf numFmtId="0" fontId="18" fillId="0" borderId="0" xfId="0" applyFont="1" applyFill="1" applyBorder="1" applyAlignment="1">
      <alignment vertical="center"/>
    </xf>
    <xf numFmtId="0" fontId="18" fillId="0" borderId="0" xfId="0" applyFont="1" applyBorder="1" applyAlignment="1">
      <alignment horizontal="right" vertical="center"/>
    </xf>
    <xf numFmtId="0" fontId="18" fillId="0" borderId="0" xfId="0" applyFont="1" applyBorder="1" applyAlignment="1">
      <alignment vertical="center"/>
    </xf>
    <xf numFmtId="181" fontId="32" fillId="2" borderId="10" xfId="0" applyNumberFormat="1" applyFont="1" applyFill="1" applyBorder="1" applyAlignment="1">
      <alignment horizontal="right" vertical="center"/>
    </xf>
    <xf numFmtId="176" fontId="30" fillId="7" borderId="7" xfId="0" applyNumberFormat="1" applyFont="1" applyFill="1" applyBorder="1" applyAlignment="1">
      <alignment horizontal="right" vertical="center"/>
    </xf>
    <xf numFmtId="176" fontId="30" fillId="7" borderId="8" xfId="0" applyNumberFormat="1" applyFont="1" applyFill="1" applyBorder="1" applyAlignment="1">
      <alignment horizontal="right" vertical="center"/>
    </xf>
    <xf numFmtId="176" fontId="30" fillId="12" borderId="7" xfId="0" applyNumberFormat="1" applyFont="1" applyFill="1" applyBorder="1" applyAlignment="1">
      <alignment vertical="center"/>
    </xf>
    <xf numFmtId="181" fontId="33" fillId="12" borderId="7" xfId="0" applyNumberFormat="1" applyFont="1" applyFill="1" applyBorder="1" applyAlignment="1">
      <alignment vertical="center"/>
    </xf>
    <xf numFmtId="181" fontId="45" fillId="14" borderId="10" xfId="0" applyNumberFormat="1" applyFont="1" applyFill="1" applyBorder="1" applyAlignment="1">
      <alignment vertical="center"/>
    </xf>
    <xf numFmtId="0" fontId="40" fillId="3" borderId="0" xfId="0" applyFont="1" applyFill="1" applyAlignment="1">
      <alignment horizontal="left"/>
    </xf>
    <xf numFmtId="0" fontId="9" fillId="3" borderId="0" xfId="0" applyFont="1" applyFill="1"/>
    <xf numFmtId="0" fontId="9" fillId="0" borderId="0" xfId="0" applyFont="1"/>
    <xf numFmtId="0" fontId="9" fillId="3" borderId="0" xfId="0" applyFont="1" applyFill="1" applyAlignment="1">
      <alignment vertical="center"/>
    </xf>
    <xf numFmtId="0" fontId="9" fillId="0" borderId="0" xfId="0" applyFont="1" applyAlignment="1">
      <alignment vertical="center"/>
    </xf>
    <xf numFmtId="0" fontId="9" fillId="3" borderId="0" xfId="0" applyFont="1" applyFill="1" applyBorder="1" applyAlignment="1">
      <alignment vertical="center"/>
    </xf>
    <xf numFmtId="0" fontId="35" fillId="3" borderId="0" xfId="0" applyFont="1" applyFill="1" applyBorder="1" applyAlignment="1">
      <alignment vertical="center"/>
    </xf>
    <xf numFmtId="0" fontId="35" fillId="0" borderId="0" xfId="0" applyFont="1" applyAlignment="1">
      <alignment vertical="center"/>
    </xf>
    <xf numFmtId="181" fontId="9" fillId="3" borderId="0" xfId="0" applyNumberFormat="1" applyFont="1" applyFill="1" applyBorder="1" applyAlignment="1">
      <alignment horizontal="right" vertical="center" wrapText="1"/>
    </xf>
    <xf numFmtId="181" fontId="9" fillId="3" borderId="11" xfId="0" applyNumberFormat="1" applyFont="1" applyFill="1" applyBorder="1" applyAlignment="1">
      <alignment horizontal="right" vertical="center" wrapText="1"/>
    </xf>
    <xf numFmtId="3" fontId="9" fillId="3" borderId="0" xfId="0" applyNumberFormat="1" applyFont="1" applyFill="1" applyBorder="1" applyAlignment="1">
      <alignment horizontal="right" vertical="center" wrapText="1"/>
    </xf>
    <xf numFmtId="0" fontId="9" fillId="3" borderId="23" xfId="0" applyFont="1" applyFill="1" applyBorder="1" applyAlignment="1">
      <alignment vertical="center" wrapText="1"/>
    </xf>
    <xf numFmtId="181" fontId="9" fillId="3" borderId="0" xfId="0" applyNumberFormat="1" applyFont="1" applyFill="1" applyBorder="1" applyAlignment="1">
      <alignment horizontal="right" vertical="center"/>
    </xf>
    <xf numFmtId="41" fontId="9" fillId="3" borderId="0" xfId="0" applyNumberFormat="1" applyFont="1" applyFill="1" applyBorder="1" applyAlignment="1">
      <alignment horizontal="right" vertical="center" wrapText="1"/>
    </xf>
    <xf numFmtId="0" fontId="21" fillId="3" borderId="0" xfId="0" applyFont="1" applyFill="1" applyBorder="1" applyAlignment="1">
      <alignment vertical="center"/>
    </xf>
    <xf numFmtId="0" fontId="21" fillId="0" borderId="0" xfId="0" applyFont="1" applyAlignment="1">
      <alignment vertical="center"/>
    </xf>
    <xf numFmtId="0" fontId="9" fillId="3" borderId="25" xfId="0" applyFont="1" applyFill="1" applyBorder="1" applyAlignment="1">
      <alignment vertical="center" wrapText="1"/>
    </xf>
    <xf numFmtId="181" fontId="9" fillId="3" borderId="27" xfId="0" applyNumberFormat="1" applyFont="1" applyFill="1" applyBorder="1" applyAlignment="1">
      <alignment horizontal="right" vertical="center" wrapText="1"/>
    </xf>
    <xf numFmtId="181" fontId="9" fillId="3" borderId="11" xfId="0" applyNumberFormat="1" applyFont="1" applyFill="1" applyBorder="1" applyAlignment="1">
      <alignment vertical="center"/>
    </xf>
    <xf numFmtId="181" fontId="37" fillId="3" borderId="12" xfId="0" applyNumberFormat="1" applyFont="1" applyFill="1" applyBorder="1" applyAlignment="1">
      <alignment vertical="center"/>
    </xf>
    <xf numFmtId="181" fontId="9" fillId="3" borderId="18" xfId="0" applyNumberFormat="1" applyFont="1" applyFill="1" applyBorder="1" applyAlignment="1">
      <alignment horizontal="right" vertical="center" wrapText="1"/>
    </xf>
    <xf numFmtId="186" fontId="38" fillId="21" borderId="12" xfId="7" applyNumberFormat="1" applyFont="1" applyFill="1" applyBorder="1" applyAlignment="1">
      <alignment horizontal="right" vertical="center" wrapText="1" indent="1"/>
    </xf>
    <xf numFmtId="187" fontId="37" fillId="21" borderId="10" xfId="0" applyNumberFormat="1" applyFont="1" applyFill="1" applyBorder="1" applyAlignment="1">
      <alignment horizontal="right" vertical="center" wrapText="1" indent="1"/>
    </xf>
    <xf numFmtId="187" fontId="37" fillId="21" borderId="19" xfId="0" applyNumberFormat="1" applyFont="1" applyFill="1" applyBorder="1" applyAlignment="1">
      <alignment horizontal="right" vertical="center" wrapText="1" indent="1"/>
    </xf>
    <xf numFmtId="0" fontId="0" fillId="0" borderId="0" xfId="0" applyFill="1"/>
    <xf numFmtId="10" fontId="8" fillId="2" borderId="0" xfId="0" applyNumberFormat="1" applyFont="1" applyFill="1" applyAlignment="1">
      <alignment horizontal="right" vertical="center" wrapText="1" indent="1"/>
    </xf>
    <xf numFmtId="10" fontId="8" fillId="3" borderId="0" xfId="0" applyNumberFormat="1" applyFont="1" applyFill="1" applyAlignment="1">
      <alignment horizontal="right" vertical="center" wrapText="1" indent="1"/>
    </xf>
    <xf numFmtId="0" fontId="61" fillId="0" borderId="6" xfId="0" applyFont="1" applyFill="1" applyBorder="1" applyAlignment="1">
      <alignment vertical="center" wrapText="1"/>
    </xf>
    <xf numFmtId="181" fontId="30" fillId="14" borderId="10" xfId="0" applyNumberFormat="1" applyFont="1" applyFill="1" applyBorder="1" applyAlignment="1">
      <alignment vertical="center"/>
    </xf>
    <xf numFmtId="0" fontId="11" fillId="0" borderId="23" xfId="0" applyFont="1" applyFill="1" applyBorder="1" applyAlignment="1">
      <alignment horizontal="left" indent="3"/>
    </xf>
    <xf numFmtId="0" fontId="23" fillId="0" borderId="23" xfId="0" applyFont="1" applyFill="1" applyBorder="1" applyAlignment="1">
      <alignment vertical="center" wrapText="1"/>
    </xf>
    <xf numFmtId="0" fontId="44" fillId="0" borderId="3" xfId="0" applyFont="1" applyFill="1" applyBorder="1" applyAlignment="1">
      <alignment horizontal="left" vertical="center" wrapText="1" indent="2"/>
    </xf>
    <xf numFmtId="173" fontId="45" fillId="0" borderId="0" xfId="0" applyNumberFormat="1" applyFont="1" applyFill="1" applyBorder="1" applyAlignment="1">
      <alignment vertical="center"/>
    </xf>
    <xf numFmtId="173" fontId="45" fillId="0" borderId="10" xfId="0" applyNumberFormat="1" applyFont="1" applyFill="1" applyBorder="1" applyAlignment="1">
      <alignment vertical="center"/>
    </xf>
    <xf numFmtId="0" fontId="18" fillId="0" borderId="3" xfId="0" applyFont="1" applyFill="1" applyBorder="1" applyAlignment="1">
      <alignment vertical="center"/>
    </xf>
    <xf numFmtId="181" fontId="18" fillId="0" borderId="10" xfId="0" applyNumberFormat="1" applyFont="1" applyFill="1" applyBorder="1" applyAlignment="1">
      <alignment vertical="center"/>
    </xf>
    <xf numFmtId="181" fontId="18" fillId="0" borderId="3" xfId="0" applyNumberFormat="1" applyFont="1" applyFill="1" applyBorder="1" applyAlignment="1">
      <alignment vertical="center"/>
    </xf>
    <xf numFmtId="181" fontId="18" fillId="0" borderId="0" xfId="0" applyNumberFormat="1" applyFont="1" applyFill="1" applyAlignment="1">
      <alignment vertical="center"/>
    </xf>
    <xf numFmtId="182" fontId="18" fillId="0" borderId="0" xfId="0" applyNumberFormat="1" applyFont="1" applyFill="1" applyBorder="1" applyAlignment="1">
      <alignment vertical="center"/>
    </xf>
    <xf numFmtId="182" fontId="18" fillId="0" borderId="10" xfId="0" applyNumberFormat="1" applyFont="1" applyFill="1" applyBorder="1" applyAlignment="1">
      <alignment vertical="center"/>
    </xf>
    <xf numFmtId="182" fontId="18" fillId="0" borderId="3" xfId="0" applyNumberFormat="1" applyFont="1" applyFill="1" applyBorder="1" applyAlignment="1">
      <alignment vertical="center"/>
    </xf>
    <xf numFmtId="181" fontId="32" fillId="0" borderId="3" xfId="0" applyNumberFormat="1" applyFont="1" applyFill="1" applyBorder="1" applyAlignment="1">
      <alignment horizontal="right" vertical="center"/>
    </xf>
    <xf numFmtId="181" fontId="32" fillId="0" borderId="0" xfId="0" applyNumberFormat="1" applyFont="1" applyFill="1" applyBorder="1" applyAlignment="1">
      <alignment horizontal="right" vertical="center"/>
    </xf>
    <xf numFmtId="182" fontId="18" fillId="0" borderId="0" xfId="0" applyNumberFormat="1" applyFont="1" applyFill="1" applyAlignment="1">
      <alignment vertical="center"/>
    </xf>
    <xf numFmtId="0" fontId="18" fillId="0" borderId="3" xfId="0" applyFont="1" applyFill="1" applyBorder="1" applyAlignment="1">
      <alignment vertical="center" wrapText="1"/>
    </xf>
    <xf numFmtId="0" fontId="18" fillId="3" borderId="0" xfId="0" applyFont="1" applyFill="1" applyAlignment="1">
      <alignment horizontal="left" vertical="center" wrapText="1"/>
    </xf>
    <xf numFmtId="0" fontId="40" fillId="3" borderId="0" xfId="0" applyFont="1" applyFill="1" applyAlignment="1">
      <alignment horizontal="left" vertical="top"/>
    </xf>
    <xf numFmtId="0" fontId="30" fillId="4" borderId="0" xfId="0" applyFont="1" applyFill="1" applyBorder="1" applyAlignment="1">
      <alignment horizontal="right" vertical="center"/>
    </xf>
    <xf numFmtId="0" fontId="30" fillId="8" borderId="0" xfId="0" applyFont="1" applyFill="1" applyBorder="1" applyAlignment="1">
      <alignment horizontal="right" vertical="center"/>
    </xf>
    <xf numFmtId="0" fontId="30" fillId="4" borderId="3" xfId="0" applyFont="1" applyFill="1" applyBorder="1" applyAlignment="1">
      <alignment horizontal="right" vertical="center"/>
    </xf>
    <xf numFmtId="0" fontId="30" fillId="8" borderId="10" xfId="0" applyFont="1" applyFill="1" applyBorder="1" applyAlignment="1">
      <alignment horizontal="right" vertical="center"/>
    </xf>
    <xf numFmtId="0" fontId="33" fillId="4" borderId="0" xfId="0" applyFont="1" applyFill="1" applyBorder="1" applyAlignment="1">
      <alignment horizontal="right" vertical="center"/>
    </xf>
    <xf numFmtId="166" fontId="70" fillId="6" borderId="4" xfId="0" applyNumberFormat="1" applyFont="1" applyFill="1" applyBorder="1" applyAlignment="1">
      <alignment vertical="center" wrapText="1"/>
    </xf>
    <xf numFmtId="0" fontId="7" fillId="3" borderId="0" xfId="0" applyFont="1" applyFill="1"/>
    <xf numFmtId="181" fontId="65" fillId="3" borderId="3" xfId="0" applyNumberFormat="1" applyFont="1" applyFill="1" applyBorder="1" applyAlignment="1">
      <alignment horizontal="right" vertical="center"/>
    </xf>
    <xf numFmtId="176" fontId="65" fillId="3" borderId="3" xfId="0" applyNumberFormat="1" applyFont="1" applyFill="1" applyBorder="1" applyAlignment="1">
      <alignment horizontal="right" vertical="center"/>
    </xf>
    <xf numFmtId="178" fontId="30" fillId="3" borderId="3" xfId="0" applyNumberFormat="1" applyFont="1" applyFill="1" applyBorder="1" applyAlignment="1">
      <alignment horizontal="right" vertical="center"/>
    </xf>
    <xf numFmtId="0" fontId="33" fillId="4" borderId="27" xfId="0" applyFont="1" applyFill="1" applyBorder="1" applyAlignment="1">
      <alignment horizontal="right" vertical="center"/>
    </xf>
    <xf numFmtId="0" fontId="18" fillId="0" borderId="8" xfId="0" applyFont="1" applyFill="1" applyBorder="1"/>
    <xf numFmtId="180" fontId="18" fillId="0" borderId="7" xfId="0" applyNumberFormat="1" applyFont="1" applyFill="1" applyBorder="1"/>
    <xf numFmtId="181" fontId="30" fillId="3" borderId="0" xfId="0" applyNumberFormat="1" applyFont="1" applyFill="1" applyBorder="1" applyAlignment="1">
      <alignment vertical="center"/>
    </xf>
    <xf numFmtId="0" fontId="61" fillId="0" borderId="0" xfId="0" applyFont="1" applyFill="1" applyBorder="1" applyAlignment="1">
      <alignment vertical="center" wrapText="1"/>
    </xf>
    <xf numFmtId="168" fontId="21" fillId="0" borderId="0" xfId="0" applyNumberFormat="1" applyFont="1" applyFill="1" applyBorder="1" applyAlignment="1">
      <alignment horizontal="right" vertical="center" wrapText="1" indent="1"/>
    </xf>
    <xf numFmtId="165" fontId="38" fillId="0" borderId="0" xfId="0" applyNumberFormat="1" applyFont="1" applyFill="1" applyBorder="1" applyAlignment="1">
      <alignment horizontal="right" vertical="center" wrapText="1" indent="1"/>
    </xf>
    <xf numFmtId="0" fontId="7" fillId="0" borderId="23" xfId="0" applyFont="1" applyFill="1" applyBorder="1" applyAlignment="1">
      <alignment horizontal="left" indent="3"/>
    </xf>
    <xf numFmtId="0" fontId="7" fillId="0" borderId="24" xfId="0" applyFont="1" applyFill="1" applyBorder="1" applyAlignment="1">
      <alignment horizontal="left" indent="3"/>
    </xf>
    <xf numFmtId="186" fontId="37" fillId="21" borderId="19" xfId="0" applyNumberFormat="1" applyFont="1" applyFill="1" applyBorder="1" applyAlignment="1">
      <alignment horizontal="right" vertical="center" wrapText="1" indent="1"/>
    </xf>
    <xf numFmtId="168" fontId="12" fillId="2" borderId="3" xfId="0" applyNumberFormat="1" applyFont="1" applyFill="1" applyBorder="1" applyAlignment="1">
      <alignment horizontal="right" vertical="center" wrapText="1" indent="1"/>
    </xf>
    <xf numFmtId="168" fontId="12" fillId="3" borderId="0" xfId="0" applyNumberFormat="1" applyFont="1" applyFill="1" applyBorder="1" applyAlignment="1">
      <alignment horizontal="right" vertical="center" wrapText="1" indent="1"/>
    </xf>
    <xf numFmtId="168" fontId="12" fillId="2" borderId="5" xfId="0" applyNumberFormat="1" applyFont="1" applyFill="1" applyBorder="1" applyAlignment="1">
      <alignment horizontal="right" vertical="center" wrapText="1" indent="1"/>
    </xf>
    <xf numFmtId="168" fontId="12" fillId="3" borderId="18" xfId="0" applyNumberFormat="1" applyFont="1" applyFill="1" applyBorder="1" applyAlignment="1">
      <alignment horizontal="right" vertical="center" wrapText="1" indent="1"/>
    </xf>
    <xf numFmtId="10" fontId="8" fillId="2" borderId="0" xfId="0" applyNumberFormat="1" applyFont="1" applyFill="1" applyAlignment="1">
      <alignment horizontal="right" wrapText="1" indent="1"/>
    </xf>
    <xf numFmtId="10" fontId="8" fillId="3" borderId="0" xfId="0" applyNumberFormat="1" applyFont="1" applyFill="1" applyAlignment="1">
      <alignment horizontal="right" wrapText="1" indent="1"/>
    </xf>
    <xf numFmtId="10" fontId="8" fillId="2" borderId="18" xfId="0" applyNumberFormat="1" applyFont="1" applyFill="1" applyBorder="1" applyAlignment="1">
      <alignment horizontal="right" wrapText="1" indent="1"/>
    </xf>
    <xf numFmtId="10" fontId="8" fillId="3" borderId="18" xfId="0" applyNumberFormat="1" applyFont="1" applyFill="1" applyBorder="1" applyAlignment="1">
      <alignment horizontal="right" wrapText="1" indent="1"/>
    </xf>
    <xf numFmtId="0" fontId="33" fillId="5" borderId="5" xfId="0" applyFont="1" applyFill="1" applyBorder="1" applyAlignment="1">
      <alignment horizontal="right" vertical="center" wrapText="1"/>
    </xf>
    <xf numFmtId="166" fontId="27" fillId="3" borderId="3" xfId="0" applyNumberFormat="1" applyFont="1" applyFill="1" applyBorder="1" applyAlignment="1">
      <alignment horizontal="right" vertical="center" wrapText="1"/>
    </xf>
    <xf numFmtId="166" fontId="27" fillId="3" borderId="0" xfId="0" applyNumberFormat="1" applyFont="1" applyFill="1" applyBorder="1" applyAlignment="1">
      <alignment horizontal="right" vertical="center" wrapText="1"/>
    </xf>
    <xf numFmtId="166" fontId="27" fillId="18" borderId="10" xfId="0" applyNumberFormat="1" applyFont="1" applyFill="1" applyBorder="1" applyAlignment="1">
      <alignment horizontal="right" vertical="center" wrapText="1"/>
    </xf>
    <xf numFmtId="0" fontId="14" fillId="0" borderId="2" xfId="0" applyFont="1" applyBorder="1" applyAlignment="1">
      <alignment vertical="center"/>
    </xf>
    <xf numFmtId="0" fontId="14" fillId="0" borderId="1" xfId="0" applyFont="1" applyBorder="1" applyAlignment="1">
      <alignment vertical="center"/>
    </xf>
    <xf numFmtId="0" fontId="53" fillId="3" borderId="22" xfId="0" applyFont="1" applyFill="1" applyBorder="1" applyAlignment="1">
      <alignment horizontal="left" vertical="center"/>
    </xf>
    <xf numFmtId="0" fontId="53" fillId="3" borderId="23" xfId="0" applyFont="1" applyFill="1" applyBorder="1" applyAlignment="1">
      <alignment horizontal="left" vertical="center"/>
    </xf>
    <xf numFmtId="181" fontId="65" fillId="0" borderId="0" xfId="0" applyNumberFormat="1" applyFont="1" applyFill="1" applyBorder="1" applyAlignment="1">
      <alignment horizontal="right" vertical="center"/>
    </xf>
    <xf numFmtId="166" fontId="27" fillId="0" borderId="0" xfId="0" applyNumberFormat="1" applyFont="1" applyFill="1" applyBorder="1" applyAlignment="1">
      <alignment horizontal="right" vertical="center" wrapText="1"/>
    </xf>
    <xf numFmtId="0" fontId="71" fillId="0" borderId="0" xfId="0" applyFont="1" applyFill="1" applyAlignment="1">
      <alignment vertical="center" wrapText="1"/>
    </xf>
    <xf numFmtId="168" fontId="18" fillId="3" borderId="0" xfId="7" applyNumberFormat="1" applyFont="1" applyFill="1" applyAlignment="1">
      <alignment vertical="center"/>
    </xf>
    <xf numFmtId="181" fontId="30" fillId="12" borderId="11" xfId="0" applyNumberFormat="1" applyFont="1" applyFill="1" applyBorder="1" applyAlignment="1">
      <alignment vertical="center"/>
    </xf>
    <xf numFmtId="181" fontId="6" fillId="2" borderId="11" xfId="0" applyNumberFormat="1" applyFont="1" applyFill="1" applyBorder="1" applyAlignment="1">
      <alignment horizontal="right" vertical="center" wrapText="1"/>
    </xf>
    <xf numFmtId="181" fontId="6" fillId="2" borderId="3" xfId="0" applyNumberFormat="1" applyFont="1" applyFill="1" applyBorder="1" applyAlignment="1">
      <alignment horizontal="right" vertical="center" wrapText="1"/>
    </xf>
    <xf numFmtId="181" fontId="6" fillId="2" borderId="27" xfId="0" applyNumberFormat="1" applyFont="1" applyFill="1" applyBorder="1" applyAlignment="1">
      <alignment horizontal="right" vertical="center" wrapText="1"/>
    </xf>
    <xf numFmtId="181" fontId="6" fillId="2" borderId="4" xfId="0" applyNumberFormat="1" applyFont="1" applyFill="1" applyBorder="1" applyAlignment="1">
      <alignment vertical="center"/>
    </xf>
    <xf numFmtId="181" fontId="6" fillId="2" borderId="5" xfId="0" applyNumberFormat="1" applyFont="1" applyFill="1" applyBorder="1" applyAlignment="1">
      <alignment vertical="center"/>
    </xf>
    <xf numFmtId="3" fontId="50" fillId="0" borderId="0" xfId="0" applyNumberFormat="1" applyFont="1" applyFill="1" applyBorder="1" applyAlignment="1">
      <alignment horizontal="right" vertical="center" wrapText="1"/>
    </xf>
    <xf numFmtId="3" fontId="27" fillId="0" borderId="0" xfId="0" applyNumberFormat="1" applyFont="1" applyFill="1" applyBorder="1" applyAlignment="1">
      <alignment horizontal="right" vertical="center" wrapText="1"/>
    </xf>
    <xf numFmtId="3" fontId="27" fillId="0" borderId="30" xfId="0" applyNumberFormat="1" applyFont="1" applyFill="1" applyBorder="1" applyAlignment="1">
      <alignment horizontal="right" vertical="center" wrapText="1"/>
    </xf>
    <xf numFmtId="168" fontId="27" fillId="0" borderId="0" xfId="0" applyNumberFormat="1" applyFont="1" applyFill="1" applyBorder="1" applyAlignment="1">
      <alignment horizontal="right" vertical="center" wrapText="1"/>
    </xf>
    <xf numFmtId="2" fontId="27" fillId="0" borderId="18" xfId="0" applyNumberFormat="1" applyFont="1" applyFill="1" applyBorder="1" applyAlignment="1">
      <alignment horizontal="right" vertical="center" wrapText="1"/>
    </xf>
    <xf numFmtId="166" fontId="27" fillId="0" borderId="11" xfId="0" applyNumberFormat="1" applyFont="1" applyFill="1" applyBorder="1" applyAlignment="1">
      <alignment horizontal="right" vertical="center" wrapText="1"/>
    </xf>
    <xf numFmtId="3" fontId="55" fillId="0" borderId="0" xfId="6" applyNumberFormat="1" applyFont="1" applyFill="1" applyBorder="1" applyAlignment="1">
      <alignment horizontal="right" vertical="center" wrapText="1"/>
    </xf>
    <xf numFmtId="3" fontId="27" fillId="0" borderId="0" xfId="6" applyNumberFormat="1" applyFont="1" applyFill="1" applyBorder="1" applyAlignment="1">
      <alignment horizontal="right" vertical="center" wrapText="1"/>
    </xf>
    <xf numFmtId="3" fontId="16" fillId="0" borderId="33" xfId="0" applyNumberFormat="1" applyFont="1" applyFill="1" applyBorder="1" applyAlignment="1">
      <alignment vertical="center"/>
    </xf>
    <xf numFmtId="3" fontId="50" fillId="0" borderId="11" xfId="0" applyNumberFormat="1" applyFont="1" applyFill="1" applyBorder="1" applyAlignment="1">
      <alignment horizontal="right" vertical="center" wrapText="1"/>
    </xf>
    <xf numFmtId="166" fontId="27" fillId="0" borderId="7" xfId="0" applyNumberFormat="1" applyFont="1" applyFill="1" applyBorder="1" applyAlignment="1">
      <alignment horizontal="right" vertical="center" wrapText="1"/>
    </xf>
    <xf numFmtId="3" fontId="27" fillId="0" borderId="18" xfId="0" applyNumberFormat="1" applyFont="1" applyFill="1" applyBorder="1" applyAlignment="1">
      <alignment horizontal="right" vertical="center" wrapText="1"/>
    </xf>
    <xf numFmtId="3" fontId="50" fillId="0" borderId="30" xfId="0" applyNumberFormat="1" applyFont="1" applyFill="1" applyBorder="1" applyAlignment="1">
      <alignment horizontal="right" vertical="center" wrapText="1"/>
    </xf>
    <xf numFmtId="188" fontId="65" fillId="3" borderId="0" xfId="0" applyNumberFormat="1" applyFont="1" applyFill="1" applyBorder="1" applyAlignment="1">
      <alignment horizontal="right" vertical="center"/>
    </xf>
    <xf numFmtId="188" fontId="33" fillId="12" borderId="7" xfId="0" applyNumberFormat="1" applyFont="1" applyFill="1" applyBorder="1" applyAlignment="1">
      <alignment horizontal="right" vertical="center"/>
    </xf>
    <xf numFmtId="188" fontId="33" fillId="12" borderId="7" xfId="0" applyNumberFormat="1" applyFont="1" applyFill="1" applyBorder="1" applyAlignment="1">
      <alignment vertical="center"/>
    </xf>
    <xf numFmtId="188" fontId="65" fillId="3" borderId="0" xfId="0" applyNumberFormat="1" applyFont="1" applyFill="1" applyBorder="1" applyAlignment="1">
      <alignment vertical="center"/>
    </xf>
    <xf numFmtId="181" fontId="5" fillId="3" borderId="0" xfId="0" applyNumberFormat="1" applyFont="1" applyFill="1" applyBorder="1" applyAlignment="1">
      <alignment horizontal="right" vertical="center"/>
    </xf>
    <xf numFmtId="181" fontId="5" fillId="3" borderId="11" xfId="0" applyNumberFormat="1" applyFont="1" applyFill="1" applyBorder="1" applyAlignment="1">
      <alignment horizontal="right" vertical="center"/>
    </xf>
    <xf numFmtId="181" fontId="21" fillId="3" borderId="0" xfId="0" applyNumberFormat="1" applyFont="1" applyFill="1" applyBorder="1" applyAlignment="1">
      <alignment horizontal="right" vertical="center"/>
    </xf>
    <xf numFmtId="181" fontId="0" fillId="3" borderId="11" xfId="0" applyNumberFormat="1" applyFill="1" applyBorder="1" applyAlignment="1">
      <alignment vertical="center"/>
    </xf>
    <xf numFmtId="181" fontId="0" fillId="0" borderId="0" xfId="0" applyNumberFormat="1" applyAlignment="1">
      <alignment vertical="center"/>
    </xf>
    <xf numFmtId="181" fontId="5" fillId="3" borderId="18" xfId="0" applyNumberFormat="1" applyFont="1" applyFill="1" applyBorder="1" applyAlignment="1">
      <alignment vertical="center"/>
    </xf>
    <xf numFmtId="183" fontId="39" fillId="3" borderId="27" xfId="0" applyNumberFormat="1" applyFont="1" applyFill="1" applyBorder="1" applyAlignment="1">
      <alignment horizontal="right" vertical="center"/>
    </xf>
    <xf numFmtId="181" fontId="5" fillId="3" borderId="0" xfId="0" applyNumberFormat="1" applyFont="1" applyFill="1" applyBorder="1" applyAlignment="1">
      <alignment horizontal="right" vertical="center"/>
    </xf>
    <xf numFmtId="181" fontId="5" fillId="3" borderId="11" xfId="0" applyNumberFormat="1" applyFont="1" applyFill="1" applyBorder="1" applyAlignment="1">
      <alignment horizontal="right" vertical="center"/>
    </xf>
    <xf numFmtId="181" fontId="37" fillId="3" borderId="10" xfId="0" applyNumberFormat="1" applyFont="1" applyFill="1" applyBorder="1" applyAlignment="1">
      <alignment horizontal="right" vertical="center"/>
    </xf>
    <xf numFmtId="181" fontId="21" fillId="2" borderId="0" xfId="0" applyNumberFormat="1" applyFont="1" applyFill="1" applyBorder="1" applyAlignment="1">
      <alignment horizontal="right" vertical="center"/>
    </xf>
    <xf numFmtId="181" fontId="21" fillId="3" borderId="0" xfId="0" applyNumberFormat="1" applyFont="1" applyFill="1" applyBorder="1" applyAlignment="1">
      <alignment horizontal="right" vertical="center"/>
    </xf>
    <xf numFmtId="181" fontId="21" fillId="2" borderId="1" xfId="0" applyNumberFormat="1" applyFont="1" applyFill="1" applyBorder="1" applyAlignment="1">
      <alignment horizontal="right" vertical="center"/>
    </xf>
    <xf numFmtId="181" fontId="5" fillId="3" borderId="27" xfId="0" applyNumberFormat="1" applyFont="1" applyFill="1" applyBorder="1" applyAlignment="1">
      <alignment horizontal="right" vertical="center"/>
    </xf>
    <xf numFmtId="181" fontId="0" fillId="3" borderId="11" xfId="0" applyNumberFormat="1" applyFill="1" applyBorder="1" applyAlignment="1">
      <alignment vertical="center"/>
    </xf>
    <xf numFmtId="181" fontId="37" fillId="3" borderId="19" xfId="0" applyNumberFormat="1" applyFont="1" applyFill="1" applyBorder="1" applyAlignment="1">
      <alignment vertical="center"/>
    </xf>
    <xf numFmtId="183" fontId="39" fillId="3" borderId="0" xfId="0" applyNumberFormat="1" applyFont="1" applyFill="1" applyBorder="1" applyAlignment="1">
      <alignment vertical="center"/>
    </xf>
    <xf numFmtId="183" fontId="39" fillId="3" borderId="18" xfId="0" applyNumberFormat="1" applyFont="1" applyFill="1" applyBorder="1" applyAlignment="1">
      <alignment vertical="center"/>
    </xf>
    <xf numFmtId="169" fontId="21" fillId="2" borderId="0" xfId="0" applyNumberFormat="1" applyFont="1" applyFill="1" applyBorder="1" applyAlignment="1">
      <alignment horizontal="right" vertical="center"/>
    </xf>
    <xf numFmtId="0" fontId="39" fillId="2" borderId="0" xfId="0" applyFont="1" applyFill="1" applyBorder="1" applyAlignment="1">
      <alignment vertical="center"/>
    </xf>
    <xf numFmtId="0" fontId="5" fillId="2" borderId="18" xfId="0" applyFont="1" applyFill="1" applyBorder="1" applyAlignment="1">
      <alignment vertical="center"/>
    </xf>
    <xf numFmtId="169" fontId="5" fillId="2" borderId="11" xfId="0" applyNumberFormat="1" applyFont="1" applyFill="1" applyBorder="1" applyAlignment="1">
      <alignment horizontal="right" vertical="center"/>
    </xf>
    <xf numFmtId="169" fontId="5" fillId="2" borderId="0" xfId="0" applyNumberFormat="1" applyFont="1" applyFill="1" applyBorder="1" applyAlignment="1">
      <alignment horizontal="right" vertical="center"/>
    </xf>
    <xf numFmtId="169" fontId="5" fillId="2" borderId="27" xfId="0" applyNumberFormat="1" applyFont="1" applyFill="1" applyBorder="1" applyAlignment="1">
      <alignment horizontal="right" vertical="center"/>
    </xf>
    <xf numFmtId="0" fontId="5" fillId="2" borderId="11" xfId="0" applyFont="1" applyFill="1" applyBorder="1" applyAlignment="1">
      <alignment vertical="center"/>
    </xf>
    <xf numFmtId="181" fontId="5" fillId="3" borderId="0" xfId="0" applyNumberFormat="1" applyFont="1" applyFill="1" applyBorder="1" applyAlignment="1">
      <alignment horizontal="right" vertical="center"/>
    </xf>
    <xf numFmtId="181" fontId="5" fillId="2" borderId="3" xfId="0" applyNumberFormat="1" applyFont="1" applyFill="1" applyBorder="1" applyAlignment="1">
      <alignment horizontal="right" vertical="center" wrapText="1"/>
    </xf>
    <xf numFmtId="181" fontId="5" fillId="2" borderId="0" xfId="0" applyNumberFormat="1" applyFont="1" applyFill="1" applyBorder="1" applyAlignment="1">
      <alignment horizontal="right" vertical="center" wrapText="1"/>
    </xf>
    <xf numFmtId="181" fontId="5" fillId="3" borderId="0" xfId="0" applyNumberFormat="1" applyFont="1" applyFill="1" applyBorder="1" applyAlignment="1">
      <alignment horizontal="right" vertical="center" wrapText="1"/>
    </xf>
    <xf numFmtId="181" fontId="37" fillId="3" borderId="10" xfId="0" applyNumberFormat="1" applyFont="1" applyFill="1" applyBorder="1" applyAlignment="1">
      <alignment horizontal="right" vertical="center" wrapText="1"/>
    </xf>
    <xf numFmtId="181" fontId="5" fillId="2" borderId="11" xfId="0" applyNumberFormat="1" applyFont="1" applyFill="1" applyBorder="1" applyAlignment="1">
      <alignment horizontal="right" vertical="center" wrapText="1"/>
    </xf>
    <xf numFmtId="181" fontId="37" fillId="3" borderId="12" xfId="0" applyNumberFormat="1" applyFont="1" applyFill="1" applyBorder="1" applyAlignment="1">
      <alignment horizontal="right" vertical="center" wrapText="1"/>
    </xf>
    <xf numFmtId="181" fontId="21" fillId="2" borderId="3" xfId="0" applyNumberFormat="1" applyFont="1" applyFill="1" applyBorder="1" applyAlignment="1">
      <alignment horizontal="right" vertical="center"/>
    </xf>
    <xf numFmtId="181" fontId="21" fillId="2" borderId="0" xfId="0" applyNumberFormat="1" applyFont="1" applyFill="1" applyBorder="1" applyAlignment="1">
      <alignment horizontal="right" vertical="center"/>
    </xf>
    <xf numFmtId="181" fontId="21" fillId="3" borderId="0" xfId="0" applyNumberFormat="1" applyFont="1" applyFill="1" applyBorder="1" applyAlignment="1">
      <alignment horizontal="right" vertical="center"/>
    </xf>
    <xf numFmtId="181" fontId="38" fillId="3" borderId="10" xfId="0" applyNumberFormat="1" applyFont="1" applyFill="1" applyBorder="1" applyAlignment="1">
      <alignment horizontal="right" vertical="center" wrapText="1"/>
    </xf>
    <xf numFmtId="181" fontId="21" fillId="2" borderId="0" xfId="0" applyNumberFormat="1" applyFont="1" applyFill="1" applyBorder="1" applyAlignment="1">
      <alignment horizontal="right" vertical="center" wrapText="1"/>
    </xf>
    <xf numFmtId="181" fontId="21" fillId="3" borderId="0" xfId="0" applyNumberFormat="1" applyFont="1" applyFill="1" applyBorder="1" applyAlignment="1">
      <alignment horizontal="right" vertical="center" wrapText="1"/>
    </xf>
    <xf numFmtId="181" fontId="5" fillId="2" borderId="27" xfId="0" applyNumberFormat="1" applyFont="1" applyFill="1" applyBorder="1" applyAlignment="1">
      <alignment horizontal="right" vertical="center" wrapText="1"/>
    </xf>
    <xf numFmtId="181" fontId="5" fillId="3" borderId="2" xfId="0" applyNumberFormat="1" applyFont="1" applyFill="1" applyBorder="1" applyAlignment="1">
      <alignment horizontal="right" vertical="center" wrapText="1"/>
    </xf>
    <xf numFmtId="181" fontId="0" fillId="2" borderId="11" xfId="0" applyNumberFormat="1" applyFill="1" applyBorder="1" applyAlignment="1">
      <alignment vertical="center"/>
    </xf>
    <xf numFmtId="181" fontId="0" fillId="3" borderId="11" xfId="0" applyNumberFormat="1" applyFill="1" applyBorder="1" applyAlignment="1">
      <alignment vertical="center"/>
    </xf>
    <xf numFmtId="181" fontId="39" fillId="2" borderId="0" xfId="0" applyNumberFormat="1" applyFont="1" applyFill="1" applyBorder="1" applyAlignment="1">
      <alignment vertical="center"/>
    </xf>
    <xf numFmtId="181" fontId="39" fillId="3" borderId="0" xfId="0" applyNumberFormat="1" applyFont="1" applyFill="1" applyBorder="1" applyAlignment="1">
      <alignment vertical="center"/>
    </xf>
    <xf numFmtId="181" fontId="5" fillId="3" borderId="18" xfId="0" applyNumberFormat="1" applyFont="1" applyFill="1" applyBorder="1" applyAlignment="1">
      <alignment vertical="center"/>
    </xf>
    <xf numFmtId="181" fontId="5" fillId="2" borderId="18" xfId="0" applyNumberFormat="1" applyFont="1" applyFill="1" applyBorder="1" applyAlignment="1">
      <alignment horizontal="right" vertical="center" wrapText="1"/>
    </xf>
    <xf numFmtId="181" fontId="5" fillId="2" borderId="18" xfId="0" applyNumberFormat="1" applyFont="1" applyFill="1" applyBorder="1" applyAlignment="1">
      <alignment vertical="center"/>
    </xf>
    <xf numFmtId="181" fontId="5" fillId="2" borderId="0" xfId="0" applyNumberFormat="1" applyFont="1" applyFill="1" applyBorder="1" applyAlignment="1">
      <alignment horizontal="right" vertical="center"/>
    </xf>
    <xf numFmtId="181" fontId="5" fillId="2" borderId="11" xfId="0" applyNumberFormat="1" applyFont="1" applyFill="1" applyBorder="1" applyAlignment="1">
      <alignment vertical="center"/>
    </xf>
    <xf numFmtId="180" fontId="18" fillId="3" borderId="0" xfId="0" applyNumberFormat="1" applyFont="1" applyFill="1" applyBorder="1" applyAlignment="1">
      <alignment vertical="center"/>
    </xf>
    <xf numFmtId="180" fontId="43" fillId="3" borderId="0" xfId="8" applyNumberFormat="1" applyFont="1" applyFill="1" applyBorder="1" applyAlignment="1">
      <alignment horizontal="right" vertical="center"/>
    </xf>
    <xf numFmtId="180" fontId="45" fillId="3" borderId="0" xfId="0" applyNumberFormat="1" applyFont="1" applyFill="1" applyBorder="1" applyAlignment="1">
      <alignment vertical="center"/>
    </xf>
    <xf numFmtId="180" fontId="18" fillId="3" borderId="18" xfId="0" applyNumberFormat="1" applyFont="1" applyFill="1" applyBorder="1" applyAlignment="1">
      <alignment vertical="center"/>
    </xf>
    <xf numFmtId="180" fontId="18" fillId="3" borderId="0" xfId="0" applyNumberFormat="1" applyFont="1" applyFill="1" applyBorder="1" applyAlignment="1">
      <alignment vertical="center"/>
    </xf>
    <xf numFmtId="180" fontId="43" fillId="3" borderId="0" xfId="8" applyNumberFormat="1" applyFont="1" applyFill="1" applyBorder="1" applyAlignment="1">
      <alignment horizontal="right" vertical="center"/>
    </xf>
    <xf numFmtId="180" fontId="45" fillId="3" borderId="0" xfId="0" applyNumberFormat="1" applyFont="1" applyFill="1" applyBorder="1" applyAlignment="1">
      <alignment vertical="center"/>
    </xf>
    <xf numFmtId="180" fontId="18" fillId="3" borderId="11" xfId="0" applyNumberFormat="1" applyFont="1" applyFill="1" applyBorder="1" applyAlignment="1">
      <alignment vertical="center"/>
    </xf>
    <xf numFmtId="180" fontId="18" fillId="3" borderId="0" xfId="0" applyNumberFormat="1" applyFont="1" applyFill="1" applyBorder="1" applyAlignment="1">
      <alignment vertical="center"/>
    </xf>
    <xf numFmtId="180" fontId="18" fillId="3" borderId="11" xfId="0" applyNumberFormat="1" applyFont="1" applyFill="1" applyBorder="1" applyAlignment="1">
      <alignment vertical="center"/>
    </xf>
    <xf numFmtId="180" fontId="43" fillId="3" borderId="0" xfId="0" applyNumberFormat="1" applyFont="1" applyFill="1" applyBorder="1" applyAlignment="1">
      <alignment horizontal="right" vertical="center"/>
    </xf>
    <xf numFmtId="180" fontId="18" fillId="3" borderId="0" xfId="0" applyNumberFormat="1" applyFont="1" applyFill="1" applyBorder="1" applyAlignment="1">
      <alignment horizontal="right" vertical="center"/>
    </xf>
    <xf numFmtId="180" fontId="46" fillId="3" borderId="0" xfId="0" applyNumberFormat="1" applyFont="1" applyFill="1" applyBorder="1" applyAlignment="1">
      <alignment horizontal="right" vertical="center"/>
    </xf>
    <xf numFmtId="180" fontId="18" fillId="3" borderId="0" xfId="0" applyNumberFormat="1" applyFont="1" applyFill="1" applyBorder="1" applyAlignment="1">
      <alignment vertical="center"/>
    </xf>
    <xf numFmtId="180" fontId="45" fillId="3" borderId="0" xfId="0" applyNumberFormat="1" applyFont="1" applyFill="1" applyBorder="1" applyAlignment="1">
      <alignment vertical="center"/>
    </xf>
    <xf numFmtId="180" fontId="18" fillId="3" borderId="0" xfId="0" applyNumberFormat="1" applyFont="1" applyFill="1" applyBorder="1" applyAlignment="1">
      <alignment horizontal="right" vertical="center"/>
    </xf>
    <xf numFmtId="180" fontId="18" fillId="3" borderId="0" xfId="0" applyNumberFormat="1" applyFont="1" applyFill="1" applyBorder="1" applyAlignment="1">
      <alignment vertical="center"/>
    </xf>
    <xf numFmtId="180" fontId="45" fillId="3" borderId="0" xfId="0" applyNumberFormat="1" applyFont="1" applyFill="1" applyBorder="1" applyAlignment="1">
      <alignment vertical="center"/>
    </xf>
    <xf numFmtId="180" fontId="30" fillId="12" borderId="7" xfId="0" applyNumberFormat="1" applyFont="1" applyFill="1" applyBorder="1" applyAlignment="1">
      <alignment vertical="center"/>
    </xf>
    <xf numFmtId="180" fontId="18" fillId="3" borderId="0" xfId="0" applyNumberFormat="1" applyFont="1" applyFill="1" applyBorder="1" applyAlignment="1">
      <alignment horizontal="right" vertical="center"/>
    </xf>
    <xf numFmtId="180" fontId="32" fillId="3" borderId="0" xfId="0" applyNumberFormat="1" applyFont="1" applyFill="1" applyBorder="1" applyAlignment="1">
      <alignment horizontal="right" vertical="center"/>
    </xf>
    <xf numFmtId="3" fontId="50" fillId="3" borderId="7" xfId="0" applyNumberFormat="1" applyFont="1" applyFill="1" applyBorder="1" applyAlignment="1">
      <alignment horizontal="right" vertical="center" wrapText="1"/>
    </xf>
    <xf numFmtId="3" fontId="55" fillId="0" borderId="0" xfId="0" applyNumberFormat="1" applyFont="1" applyFill="1" applyBorder="1" applyAlignment="1">
      <alignment horizontal="right" vertical="center" wrapText="1"/>
    </xf>
    <xf numFmtId="166" fontId="57" fillId="2" borderId="11" xfId="0" applyNumberFormat="1" applyFont="1" applyFill="1" applyBorder="1" applyAlignment="1">
      <alignment horizontal="right" vertical="center" wrapText="1"/>
    </xf>
    <xf numFmtId="0" fontId="14" fillId="3" borderId="0" xfId="0" applyFont="1" applyFill="1" applyAlignment="1">
      <alignment vertical="center"/>
    </xf>
    <xf numFmtId="0" fontId="14" fillId="3" borderId="0" xfId="0" applyFont="1" applyFill="1" applyAlignment="1">
      <alignment vertical="top"/>
    </xf>
    <xf numFmtId="168" fontId="27" fillId="2" borderId="0" xfId="6" applyNumberFormat="1" applyFont="1" applyFill="1" applyBorder="1" applyAlignment="1">
      <alignment horizontal="right" vertical="center" wrapText="1"/>
    </xf>
    <xf numFmtId="166" fontId="27" fillId="0" borderId="11" xfId="0" applyNumberFormat="1" applyFont="1" applyFill="1" applyBorder="1" applyAlignment="1">
      <alignment horizontal="right" vertical="center" wrapText="1"/>
    </xf>
    <xf numFmtId="166" fontId="27" fillId="0" borderId="0" xfId="0" applyNumberFormat="1" applyFont="1" applyFill="1" applyBorder="1" applyAlignment="1">
      <alignment horizontal="right" vertical="center" wrapText="1"/>
    </xf>
    <xf numFmtId="0" fontId="0" fillId="0" borderId="0" xfId="0"/>
    <xf numFmtId="0" fontId="0" fillId="3" borderId="0" xfId="0" applyFill="1"/>
    <xf numFmtId="0" fontId="5" fillId="0" borderId="23" xfId="0" applyFont="1" applyFill="1" applyBorder="1" applyAlignment="1">
      <alignment horizontal="left" indent="3"/>
    </xf>
    <xf numFmtId="0" fontId="5" fillId="0" borderId="23" xfId="0" applyFont="1" applyFill="1" applyBorder="1" applyAlignment="1">
      <alignment horizontal="left" indent="3"/>
    </xf>
    <xf numFmtId="0" fontId="5" fillId="0" borderId="23" xfId="0" applyFont="1" applyFill="1" applyBorder="1" applyAlignment="1">
      <alignment horizontal="left" indent="3"/>
    </xf>
    <xf numFmtId="10" fontId="21" fillId="2" borderId="36" xfId="0" applyNumberFormat="1" applyFont="1" applyFill="1" applyBorder="1" applyAlignment="1">
      <alignment horizontal="right" vertical="center" wrapText="1" indent="1"/>
    </xf>
    <xf numFmtId="10" fontId="21" fillId="3" borderId="37" xfId="0" applyNumberFormat="1" applyFont="1" applyFill="1" applyBorder="1" applyAlignment="1">
      <alignment horizontal="right" vertical="center" wrapText="1" indent="1"/>
    </xf>
    <xf numFmtId="186" fontId="38" fillId="21" borderId="38" xfId="0" applyNumberFormat="1" applyFont="1" applyFill="1" applyBorder="1" applyAlignment="1">
      <alignment horizontal="right" vertical="center" wrapText="1" indent="1"/>
    </xf>
    <xf numFmtId="165" fontId="38" fillId="0" borderId="8" xfId="0" applyNumberFormat="1" applyFont="1" applyFill="1" applyBorder="1" applyAlignment="1">
      <alignment horizontal="right" vertical="center" wrapText="1" indent="1"/>
    </xf>
    <xf numFmtId="0" fontId="5" fillId="0" borderId="23" xfId="0" applyFont="1" applyFill="1" applyBorder="1" applyAlignment="1">
      <alignment horizontal="left" indent="3"/>
    </xf>
    <xf numFmtId="0" fontId="5" fillId="0" borderId="24" xfId="0" applyFont="1" applyFill="1" applyBorder="1" applyAlignment="1">
      <alignment horizontal="left" indent="3"/>
    </xf>
    <xf numFmtId="0" fontId="0" fillId="0" borderId="0" xfId="0" applyBorder="1"/>
    <xf numFmtId="0" fontId="0" fillId="0" borderId="0" xfId="0"/>
    <xf numFmtId="0" fontId="0" fillId="3" borderId="0" xfId="0" applyFill="1"/>
    <xf numFmtId="0" fontId="5" fillId="0" borderId="23" xfId="0" applyFont="1" applyFill="1" applyBorder="1" applyAlignment="1">
      <alignment horizontal="left" indent="3"/>
    </xf>
    <xf numFmtId="187" fontId="37" fillId="21" borderId="10" xfId="0" applyNumberFormat="1" applyFont="1" applyFill="1" applyBorder="1" applyAlignment="1">
      <alignment horizontal="right" vertical="center" wrapText="1" indent="1"/>
    </xf>
    <xf numFmtId="187" fontId="37" fillId="21" borderId="19" xfId="0" applyNumberFormat="1" applyFont="1" applyFill="1" applyBorder="1" applyAlignment="1">
      <alignment horizontal="right" vertical="center" wrapText="1" indent="1"/>
    </xf>
    <xf numFmtId="186" fontId="37" fillId="21" borderId="10" xfId="0" applyNumberFormat="1" applyFont="1" applyFill="1" applyBorder="1" applyAlignment="1">
      <alignment horizontal="right" vertical="center" wrapText="1" indent="1"/>
    </xf>
    <xf numFmtId="181" fontId="32" fillId="3" borderId="0" xfId="0" applyNumberFormat="1" applyFont="1" applyFill="1" applyBorder="1" applyAlignment="1">
      <alignment horizontal="right" vertical="center"/>
    </xf>
    <xf numFmtId="181" fontId="30" fillId="3" borderId="7" xfId="0" applyNumberFormat="1" applyFont="1" applyFill="1" applyBorder="1" applyAlignment="1">
      <alignment vertical="center"/>
    </xf>
    <xf numFmtId="181" fontId="18" fillId="3" borderId="0" xfId="0" applyNumberFormat="1" applyFont="1" applyFill="1" applyBorder="1" applyAlignment="1">
      <alignment vertical="center"/>
    </xf>
    <xf numFmtId="181" fontId="30" fillId="12" borderId="7" xfId="0" applyNumberFormat="1" applyFont="1" applyFill="1" applyBorder="1" applyAlignment="1">
      <alignment vertical="center"/>
    </xf>
    <xf numFmtId="181" fontId="30" fillId="3" borderId="2" xfId="0" applyNumberFormat="1" applyFont="1" applyFill="1" applyBorder="1" applyAlignment="1">
      <alignment vertical="center"/>
    </xf>
    <xf numFmtId="181" fontId="32" fillId="3" borderId="0" xfId="0" applyNumberFormat="1" applyFont="1" applyFill="1" applyBorder="1" applyAlignment="1">
      <alignment horizontal="right" vertical="center"/>
    </xf>
    <xf numFmtId="181" fontId="18" fillId="0" borderId="0" xfId="0" applyNumberFormat="1" applyFont="1" applyFill="1" applyBorder="1" applyAlignment="1">
      <alignment vertical="center"/>
    </xf>
    <xf numFmtId="181" fontId="32" fillId="0" borderId="0" xfId="0" applyNumberFormat="1" applyFont="1" applyFill="1" applyBorder="1" applyAlignment="1">
      <alignment horizontal="right" vertical="center"/>
    </xf>
    <xf numFmtId="181" fontId="30" fillId="0" borderId="0" xfId="0" applyNumberFormat="1" applyFont="1" applyFill="1" applyBorder="1" applyAlignment="1">
      <alignment vertical="center"/>
    </xf>
    <xf numFmtId="170" fontId="18" fillId="0" borderId="0" xfId="0" applyNumberFormat="1" applyFont="1"/>
    <xf numFmtId="188" fontId="18" fillId="0" borderId="0" xfId="0" applyNumberFormat="1" applyFont="1"/>
    <xf numFmtId="176" fontId="30" fillId="0" borderId="0" xfId="0" applyNumberFormat="1" applyFont="1"/>
    <xf numFmtId="176" fontId="18" fillId="0" borderId="0" xfId="0" applyNumberFormat="1" applyFont="1"/>
    <xf numFmtId="176" fontId="30" fillId="0" borderId="0" xfId="0" applyNumberFormat="1" applyFont="1" applyFill="1"/>
    <xf numFmtId="170" fontId="30" fillId="0" borderId="0" xfId="0" applyNumberFormat="1" applyFont="1"/>
    <xf numFmtId="181" fontId="18" fillId="0" borderId="0" xfId="0" applyNumberFormat="1" applyFont="1"/>
    <xf numFmtId="188" fontId="30" fillId="0" borderId="0" xfId="0" applyNumberFormat="1" applyFont="1"/>
    <xf numFmtId="166" fontId="30" fillId="0" borderId="0" xfId="0" applyNumberFormat="1" applyFont="1"/>
    <xf numFmtId="168" fontId="30" fillId="0" borderId="0" xfId="0" applyNumberFormat="1" applyFont="1"/>
    <xf numFmtId="0" fontId="75" fillId="3" borderId="0" xfId="0" applyFont="1" applyFill="1"/>
    <xf numFmtId="0" fontId="75" fillId="3" borderId="0" xfId="0" applyFont="1" applyFill="1" applyAlignment="1">
      <alignment vertical="center"/>
    </xf>
    <xf numFmtId="0" fontId="75" fillId="3" borderId="0" xfId="0" applyFont="1" applyFill="1" applyBorder="1" applyAlignment="1">
      <alignment vertical="center"/>
    </xf>
    <xf numFmtId="0" fontId="76" fillId="3" borderId="0" xfId="0" applyFont="1" applyFill="1" applyAlignment="1">
      <alignment vertical="center"/>
    </xf>
    <xf numFmtId="0" fontId="76" fillId="3" borderId="0" xfId="0" applyFont="1" applyFill="1" applyBorder="1" applyAlignment="1">
      <alignment vertical="center"/>
    </xf>
    <xf numFmtId="169" fontId="75" fillId="3" borderId="0" xfId="0" applyNumberFormat="1" applyFont="1" applyFill="1" applyAlignment="1">
      <alignment vertical="center"/>
    </xf>
    <xf numFmtId="3" fontId="75" fillId="3" borderId="0" xfId="0" applyNumberFormat="1" applyFont="1" applyFill="1" applyBorder="1" applyAlignment="1">
      <alignment horizontal="right" vertical="center" wrapText="1"/>
    </xf>
    <xf numFmtId="3" fontId="75" fillId="3" borderId="0" xfId="0" applyNumberFormat="1" applyFont="1" applyFill="1" applyBorder="1" applyAlignment="1">
      <alignment vertical="center"/>
    </xf>
    <xf numFmtId="0" fontId="36" fillId="0" borderId="0" xfId="0" applyFont="1" applyFill="1" applyBorder="1" applyAlignment="1">
      <alignment vertical="center"/>
    </xf>
    <xf numFmtId="0" fontId="4" fillId="0" borderId="23" xfId="0" applyFont="1" applyFill="1" applyBorder="1" applyAlignment="1">
      <alignment horizontal="left" indent="3"/>
    </xf>
    <xf numFmtId="170" fontId="46" fillId="7" borderId="8" xfId="0" applyNumberFormat="1" applyFont="1" applyFill="1" applyBorder="1" applyAlignment="1">
      <alignment horizontal="right" vertical="center"/>
    </xf>
    <xf numFmtId="176" fontId="76" fillId="3" borderId="0" xfId="0" applyNumberFormat="1" applyFont="1" applyFill="1" applyBorder="1" applyAlignment="1">
      <alignment horizontal="right" vertical="center"/>
    </xf>
    <xf numFmtId="189" fontId="33" fillId="3" borderId="0" xfId="0" applyNumberFormat="1" applyFont="1" applyFill="1" applyBorder="1" applyAlignment="1">
      <alignment horizontal="right" vertical="center"/>
    </xf>
    <xf numFmtId="0" fontId="37" fillId="3" borderId="22" xfId="0" applyFont="1" applyFill="1" applyBorder="1" applyAlignment="1">
      <alignment vertical="center"/>
    </xf>
    <xf numFmtId="0" fontId="9" fillId="3" borderId="23" xfId="0" applyFont="1" applyFill="1" applyBorder="1" applyAlignment="1">
      <alignment vertical="center"/>
    </xf>
    <xf numFmtId="0" fontId="9" fillId="3" borderId="24" xfId="0" applyFont="1" applyFill="1" applyBorder="1" applyAlignment="1">
      <alignment vertical="center" wrapText="1"/>
    </xf>
    <xf numFmtId="0" fontId="3" fillId="0" borderId="23" xfId="0" applyFont="1" applyFill="1" applyBorder="1" applyAlignment="1">
      <alignment horizontal="left" indent="3"/>
    </xf>
    <xf numFmtId="169" fontId="9" fillId="3" borderId="0" xfId="0" applyNumberFormat="1" applyFont="1" applyFill="1"/>
    <xf numFmtId="181" fontId="6" fillId="2" borderId="0" xfId="0" applyNumberFormat="1" applyFont="1" applyFill="1" applyBorder="1" applyAlignment="1">
      <alignment horizontal="right" vertical="center" wrapText="1"/>
    </xf>
    <xf numFmtId="181" fontId="6" fillId="2" borderId="11" xfId="0" applyNumberFormat="1" applyFont="1" applyFill="1" applyBorder="1" applyAlignment="1">
      <alignment vertical="center"/>
    </xf>
    <xf numFmtId="181" fontId="6" fillId="2" borderId="18" xfId="0" applyNumberFormat="1" applyFont="1" applyFill="1" applyBorder="1" applyAlignment="1">
      <alignment vertical="center"/>
    </xf>
    <xf numFmtId="0" fontId="77" fillId="3" borderId="0" xfId="0" applyFont="1" applyFill="1"/>
    <xf numFmtId="0" fontId="46" fillId="8" borderId="16" xfId="0" applyFont="1" applyFill="1" applyBorder="1" applyAlignment="1">
      <alignment horizontal="right" vertical="center"/>
    </xf>
    <xf numFmtId="170" fontId="46" fillId="9" borderId="8" xfId="0" applyNumberFormat="1" applyFont="1" applyFill="1" applyBorder="1" applyAlignment="1">
      <alignment horizontal="right" vertical="center"/>
    </xf>
    <xf numFmtId="170" fontId="43" fillId="9" borderId="10" xfId="0" applyNumberFormat="1" applyFont="1" applyFill="1" applyBorder="1" applyAlignment="1">
      <alignment horizontal="right" vertical="center"/>
    </xf>
    <xf numFmtId="176" fontId="46" fillId="7" borderId="8" xfId="0" applyNumberFormat="1" applyFont="1" applyFill="1" applyBorder="1" applyAlignment="1">
      <alignment vertical="center"/>
    </xf>
    <xf numFmtId="176" fontId="43" fillId="9" borderId="10" xfId="0" applyNumberFormat="1" applyFont="1" applyFill="1" applyBorder="1" applyAlignment="1">
      <alignment horizontal="right" vertical="center"/>
    </xf>
    <xf numFmtId="176" fontId="46" fillId="7" borderId="8" xfId="0" applyNumberFormat="1" applyFont="1" applyFill="1" applyBorder="1" applyAlignment="1">
      <alignment horizontal="right" vertical="center"/>
    </xf>
    <xf numFmtId="181" fontId="43" fillId="9" borderId="10" xfId="0" applyNumberFormat="1" applyFont="1" applyFill="1" applyBorder="1" applyAlignment="1">
      <alignment horizontal="right" vertical="center"/>
    </xf>
    <xf numFmtId="178" fontId="46" fillId="9" borderId="10" xfId="0" applyNumberFormat="1" applyFont="1" applyFill="1" applyBorder="1" applyAlignment="1">
      <alignment horizontal="right" vertical="center"/>
    </xf>
    <xf numFmtId="169" fontId="46" fillId="10" borderId="12" xfId="0" applyNumberFormat="1" applyFont="1" applyFill="1" applyBorder="1" applyAlignment="1">
      <alignment vertical="center" wrapText="1"/>
    </xf>
    <xf numFmtId="168" fontId="46" fillId="10" borderId="19" xfId="2" applyNumberFormat="1" applyFont="1" applyFill="1" applyBorder="1" applyAlignment="1">
      <alignment vertical="center" wrapText="1"/>
    </xf>
    <xf numFmtId="0" fontId="43" fillId="3" borderId="0" xfId="0" applyFont="1" applyFill="1" applyAlignment="1">
      <alignment vertical="center"/>
    </xf>
    <xf numFmtId="0" fontId="43" fillId="3" borderId="0" xfId="0" applyFont="1" applyFill="1"/>
    <xf numFmtId="0" fontId="43" fillId="0" borderId="0" xfId="0" applyFont="1" applyAlignment="1">
      <alignment vertical="center"/>
    </xf>
    <xf numFmtId="0" fontId="18" fillId="3" borderId="0" xfId="0" applyFont="1" applyFill="1" applyAlignment="1">
      <alignment horizontal="left" vertical="center" wrapText="1"/>
    </xf>
    <xf numFmtId="0" fontId="198" fillId="0" borderId="0" xfId="0" applyFont="1" applyAlignment="1">
      <alignment horizontal="right" vertical="center" wrapText="1"/>
    </xf>
    <xf numFmtId="0" fontId="30" fillId="12" borderId="7" xfId="0" applyNumberFormat="1" applyFont="1" applyFill="1" applyBorder="1" applyAlignment="1">
      <alignment vertical="center"/>
    </xf>
    <xf numFmtId="181" fontId="30" fillId="12" borderId="7" xfId="0" applyNumberFormat="1" applyFont="1" applyFill="1" applyBorder="1" applyAlignment="1">
      <alignment horizontal="right" vertical="center"/>
    </xf>
    <xf numFmtId="0" fontId="1" fillId="3" borderId="22" xfId="0" applyFont="1" applyFill="1" applyBorder="1" applyAlignment="1">
      <alignment vertical="center" wrapText="1"/>
    </xf>
    <xf numFmtId="0" fontId="6" fillId="2" borderId="11" xfId="0" applyNumberFormat="1" applyFont="1" applyFill="1" applyBorder="1" applyAlignment="1">
      <alignment horizontal="right" vertical="center" wrapText="1"/>
    </xf>
    <xf numFmtId="169" fontId="31" fillId="6" borderId="11" xfId="0" applyNumberFormat="1" applyFont="1" applyFill="1" applyBorder="1" applyAlignment="1">
      <alignment vertical="center" wrapText="1"/>
    </xf>
    <xf numFmtId="169" fontId="30" fillId="12" borderId="11" xfId="0" applyNumberFormat="1" applyFont="1" applyFill="1" applyBorder="1" applyAlignment="1">
      <alignment vertical="center"/>
    </xf>
    <xf numFmtId="166" fontId="30" fillId="12" borderId="7" xfId="0" applyNumberFormat="1" applyFont="1" applyFill="1" applyBorder="1" applyAlignment="1">
      <alignment vertical="center"/>
    </xf>
    <xf numFmtId="216" fontId="18" fillId="0" borderId="0" xfId="0" applyNumberFormat="1" applyFont="1"/>
    <xf numFmtId="170" fontId="18" fillId="3" borderId="3" xfId="0" applyNumberFormat="1" applyFont="1" applyFill="1" applyBorder="1" applyAlignment="1">
      <alignment horizontal="right" vertical="center"/>
    </xf>
    <xf numFmtId="176" fontId="18" fillId="3" borderId="3" xfId="0" applyNumberFormat="1" applyFont="1" applyFill="1" applyBorder="1" applyAlignment="1">
      <alignment horizontal="right" vertical="center"/>
    </xf>
    <xf numFmtId="176" fontId="30" fillId="12" borderId="6" xfId="0" applyNumberFormat="1" applyFont="1" applyFill="1" applyBorder="1" applyAlignment="1">
      <alignment vertical="center"/>
    </xf>
    <xf numFmtId="170" fontId="65" fillId="3" borderId="4" xfId="0" applyNumberFormat="1" applyFont="1" applyFill="1" applyBorder="1" applyAlignment="1">
      <alignment horizontal="right" vertical="center"/>
    </xf>
    <xf numFmtId="170" fontId="65" fillId="3" borderId="3" xfId="0" applyNumberFormat="1" applyFont="1" applyFill="1" applyBorder="1" applyAlignment="1">
      <alignment horizontal="right" vertical="center"/>
    </xf>
    <xf numFmtId="170" fontId="65" fillId="3" borderId="5" xfId="0" applyNumberFormat="1" applyFont="1" applyFill="1" applyBorder="1" applyAlignment="1">
      <alignment horizontal="right" vertical="center"/>
    </xf>
    <xf numFmtId="181" fontId="5" fillId="3" borderId="27" xfId="0" applyNumberFormat="1" applyFont="1" applyFill="1" applyBorder="1" applyAlignment="1">
      <alignment horizontal="right" vertical="center" wrapText="1"/>
    </xf>
    <xf numFmtId="181" fontId="5" fillId="3" borderId="18" xfId="0" applyNumberFormat="1" applyFont="1" applyFill="1" applyBorder="1" applyAlignment="1">
      <alignment horizontal="right" vertical="center" wrapText="1"/>
    </xf>
    <xf numFmtId="181" fontId="5" fillId="2" borderId="68" xfId="0" applyNumberFormat="1" applyFont="1" applyFill="1" applyBorder="1" applyAlignment="1">
      <alignment horizontal="right" vertical="center"/>
    </xf>
    <xf numFmtId="183" fontId="39" fillId="2" borderId="27" xfId="0" applyNumberFormat="1" applyFont="1" applyFill="1" applyBorder="1" applyAlignment="1">
      <alignment horizontal="right" vertical="center"/>
    </xf>
    <xf numFmtId="181" fontId="0" fillId="2" borderId="68" xfId="0" applyNumberFormat="1" applyFill="1" applyBorder="1" applyAlignment="1">
      <alignment vertical="center"/>
    </xf>
    <xf numFmtId="181" fontId="0" fillId="2" borderId="0" xfId="0" applyNumberFormat="1" applyFill="1" applyBorder="1" applyAlignment="1">
      <alignment vertical="center"/>
    </xf>
    <xf numFmtId="181" fontId="5" fillId="3" borderId="68" xfId="0" applyNumberFormat="1" applyFont="1" applyFill="1" applyBorder="1" applyAlignment="1">
      <alignment horizontal="right" vertical="center" wrapText="1"/>
    </xf>
    <xf numFmtId="181" fontId="5" fillId="3" borderId="68" xfId="0" applyNumberFormat="1" applyFont="1" applyFill="1" applyBorder="1" applyAlignment="1">
      <alignment vertical="center"/>
    </xf>
    <xf numFmtId="180" fontId="18" fillId="3" borderId="0" xfId="0" applyNumberFormat="1" applyFont="1" applyFill="1"/>
    <xf numFmtId="181" fontId="18" fillId="3" borderId="5" xfId="0" applyNumberFormat="1" applyFont="1" applyFill="1" applyBorder="1" applyAlignment="1">
      <alignment vertical="center"/>
    </xf>
    <xf numFmtId="3" fontId="14" fillId="0" borderId="0" xfId="0" applyNumberFormat="1" applyFont="1" applyAlignment="1">
      <alignment vertical="center"/>
    </xf>
    <xf numFmtId="168" fontId="21" fillId="3" borderId="7" xfId="0" applyNumberFormat="1" applyFont="1" applyFill="1" applyBorder="1" applyAlignment="1">
      <alignment horizontal="right" vertical="center" wrapText="1" indent="1"/>
    </xf>
    <xf numFmtId="168" fontId="21" fillId="2" borderId="6" xfId="0" applyNumberFormat="1" applyFont="1" applyFill="1" applyBorder="1" applyAlignment="1">
      <alignment horizontal="right" vertical="center" wrapText="1" indent="1"/>
    </xf>
    <xf numFmtId="0" fontId="18" fillId="3" borderId="0" xfId="0" applyFont="1" applyFill="1" applyAlignment="1">
      <alignment horizontal="left" vertical="center" wrapText="1"/>
    </xf>
    <xf numFmtId="0" fontId="69" fillId="4" borderId="17" xfId="0" applyFont="1" applyFill="1" applyBorder="1" applyAlignment="1">
      <alignment horizontal="center" vertical="center" wrapText="1"/>
    </xf>
    <xf numFmtId="0" fontId="69" fillId="4" borderId="20" xfId="0" applyFont="1" applyFill="1" applyBorder="1" applyAlignment="1">
      <alignment horizontal="center" vertical="center" wrapText="1"/>
    </xf>
    <xf numFmtId="0" fontId="69" fillId="4" borderId="21" xfId="0" applyFont="1" applyFill="1" applyBorder="1" applyAlignment="1">
      <alignment horizontal="center" vertical="center" wrapText="1"/>
    </xf>
    <xf numFmtId="0" fontId="69" fillId="4" borderId="4" xfId="0" applyFont="1" applyFill="1" applyBorder="1" applyAlignment="1">
      <alignment horizontal="center" vertical="center" wrapText="1"/>
    </xf>
    <xf numFmtId="0" fontId="69" fillId="4" borderId="11" xfId="0" applyFont="1" applyFill="1" applyBorder="1" applyAlignment="1">
      <alignment horizontal="center" vertical="center" wrapText="1"/>
    </xf>
    <xf numFmtId="0" fontId="69" fillId="4" borderId="12" xfId="0" applyFont="1" applyFill="1" applyBorder="1" applyAlignment="1">
      <alignment horizontal="center" vertical="center" wrapText="1"/>
    </xf>
    <xf numFmtId="0" fontId="18" fillId="0" borderId="0" xfId="0" applyFont="1" applyFill="1" applyAlignment="1">
      <alignment horizontal="left" vertical="center" wrapText="1"/>
    </xf>
    <xf numFmtId="0" fontId="199" fillId="4" borderId="17" xfId="0" applyFont="1" applyFill="1" applyBorder="1" applyAlignment="1">
      <alignment horizontal="center" vertical="center" wrapText="1"/>
    </xf>
    <xf numFmtId="0" fontId="199" fillId="4" borderId="20" xfId="0" applyFont="1" applyFill="1" applyBorder="1" applyAlignment="1">
      <alignment horizontal="center" vertical="center" wrapText="1"/>
    </xf>
    <xf numFmtId="0" fontId="199" fillId="4" borderId="21" xfId="0" applyFont="1" applyFill="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4" borderId="6"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40" fillId="3" borderId="0" xfId="0" applyFont="1" applyFill="1" applyAlignment="1">
      <alignment horizontal="left"/>
    </xf>
    <xf numFmtId="0" fontId="23" fillId="3" borderId="22" xfId="0" applyFont="1" applyFill="1" applyBorder="1" applyAlignment="1">
      <alignment horizontal="left" vertical="center" wrapText="1"/>
    </xf>
    <xf numFmtId="0" fontId="23" fillId="3" borderId="23" xfId="0" applyFont="1" applyFill="1" applyBorder="1" applyAlignment="1">
      <alignment horizontal="left" vertical="center" wrapText="1"/>
    </xf>
    <xf numFmtId="0" fontId="23" fillId="3" borderId="24" xfId="0" applyFont="1" applyFill="1" applyBorder="1" applyAlignment="1">
      <alignment horizontal="left" vertical="center" wrapText="1"/>
    </xf>
    <xf numFmtId="0" fontId="31" fillId="4" borderId="17" xfId="0" applyFont="1" applyFill="1" applyBorder="1" applyAlignment="1">
      <alignment horizontal="center" vertical="center" wrapText="1"/>
    </xf>
    <xf numFmtId="0" fontId="31" fillId="4" borderId="20" xfId="0" applyFont="1" applyFill="1" applyBorder="1" applyAlignment="1">
      <alignment horizontal="center" vertical="center"/>
    </xf>
    <xf numFmtId="0" fontId="31" fillId="4" borderId="21" xfId="0" applyFont="1" applyFill="1" applyBorder="1" applyAlignment="1">
      <alignment horizontal="center" vertical="center"/>
    </xf>
    <xf numFmtId="0" fontId="31" fillId="4" borderId="20" xfId="0" applyFont="1" applyFill="1" applyBorder="1" applyAlignment="1">
      <alignment horizontal="center" vertical="center" wrapText="1"/>
    </xf>
    <xf numFmtId="0" fontId="31" fillId="4" borderId="21" xfId="0" applyFont="1" applyFill="1" applyBorder="1" applyAlignment="1">
      <alignment horizontal="center" vertical="center" wrapText="1"/>
    </xf>
    <xf numFmtId="0" fontId="31" fillId="4" borderId="11" xfId="0" applyFont="1" applyFill="1" applyBorder="1" applyAlignment="1">
      <alignment horizontal="center" vertical="center" wrapText="1"/>
    </xf>
    <xf numFmtId="0" fontId="31" fillId="4" borderId="12" xfId="0" applyFont="1" applyFill="1" applyBorder="1" applyAlignment="1">
      <alignment horizontal="center" vertical="center" wrapText="1"/>
    </xf>
    <xf numFmtId="0" fontId="31" fillId="4" borderId="4" xfId="0" applyFont="1" applyFill="1" applyBorder="1" applyAlignment="1">
      <alignment horizontal="center" vertical="center" wrapText="1"/>
    </xf>
    <xf numFmtId="0" fontId="26" fillId="0" borderId="0" xfId="0" applyFont="1" applyFill="1" applyAlignment="1">
      <alignment horizontal="left" vertical="top" wrapText="1"/>
    </xf>
    <xf numFmtId="0" fontId="25" fillId="3" borderId="22" xfId="0" applyFont="1" applyFill="1" applyBorder="1" applyAlignment="1">
      <alignment horizontal="left" vertical="center" wrapText="1"/>
    </xf>
    <xf numFmtId="0" fontId="25" fillId="3" borderId="24" xfId="0" applyFont="1" applyFill="1" applyBorder="1" applyAlignment="1">
      <alignment horizontal="left" vertical="center" wrapText="1"/>
    </xf>
    <xf numFmtId="0" fontId="26" fillId="4" borderId="6"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16" borderId="12" xfId="0" applyFont="1" applyFill="1" applyBorder="1" applyAlignment="1">
      <alignment horizontal="center" vertical="center" wrapText="1"/>
    </xf>
    <xf numFmtId="0" fontId="26" fillId="16" borderId="19" xfId="0" applyFont="1" applyFill="1" applyBorder="1" applyAlignment="1">
      <alignment horizontal="center" vertical="center" wrapText="1"/>
    </xf>
    <xf numFmtId="0" fontId="14" fillId="3" borderId="0" xfId="0" applyFont="1" applyFill="1" applyBorder="1" applyAlignment="1">
      <alignment horizontal="left" vertical="top"/>
    </xf>
    <xf numFmtId="0" fontId="14" fillId="3" borderId="0" xfId="0" applyFont="1" applyFill="1" applyBorder="1" applyAlignment="1">
      <alignment horizontal="left" vertical="top" wrapText="1"/>
    </xf>
    <xf numFmtId="0" fontId="40" fillId="0" borderId="0" xfId="0" applyFont="1" applyFill="1" applyAlignment="1">
      <alignment horizontal="left" vertical="center" wrapText="1"/>
    </xf>
    <xf numFmtId="0" fontId="40" fillId="0" borderId="0" xfId="0" applyFont="1" applyFill="1" applyAlignment="1">
      <alignment horizontal="left" vertical="top" wrapText="1"/>
    </xf>
    <xf numFmtId="0" fontId="41" fillId="3" borderId="0" xfId="0" applyFont="1" applyFill="1" applyAlignment="1">
      <alignment horizontal="left" wrapText="1"/>
    </xf>
    <xf numFmtId="0" fontId="40" fillId="3" borderId="0" xfId="0" applyFont="1" applyFill="1" applyAlignment="1">
      <alignment horizontal="left" vertical="top"/>
    </xf>
    <xf numFmtId="0" fontId="40" fillId="3" borderId="0" xfId="0" applyFont="1" applyFill="1" applyAlignment="1">
      <alignment horizontal="left" vertical="top" wrapText="1"/>
    </xf>
    <xf numFmtId="0" fontId="61" fillId="0" borderId="6" xfId="0" applyFont="1" applyFill="1" applyBorder="1" applyAlignment="1">
      <alignment horizontal="center" vertical="center" wrapText="1"/>
    </xf>
    <xf numFmtId="0" fontId="61" fillId="0" borderId="7" xfId="0" applyFont="1" applyFill="1" applyBorder="1" applyAlignment="1">
      <alignment horizontal="center" vertical="center" wrapText="1"/>
    </xf>
    <xf numFmtId="0" fontId="61" fillId="0" borderId="8"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4" xfId="0" applyFont="1" applyFill="1" applyBorder="1" applyAlignment="1">
      <alignment horizontal="center" vertical="center" wrapText="1"/>
    </xf>
    <xf numFmtId="0" fontId="61" fillId="3" borderId="22" xfId="0" applyFont="1" applyFill="1" applyBorder="1" applyAlignment="1">
      <alignment horizontal="left" vertical="center" wrapText="1"/>
    </xf>
    <xf numFmtId="0" fontId="61" fillId="3" borderId="24" xfId="0" applyFont="1" applyFill="1" applyBorder="1" applyAlignment="1">
      <alignment horizontal="left" vertical="center" wrapText="1"/>
    </xf>
  </cellXfs>
  <cellStyles count="42851">
    <cellStyle name="%" xfId="21"/>
    <cellStyle name="% 2" xfId="22"/>
    <cellStyle name=",000" xfId="23"/>
    <cellStyle name="_6440_Tax" xfId="24"/>
    <cellStyle name="=D:\WINNT\SYSTEM32\COMMAND.COM" xfId="25"/>
    <cellStyle name="0" xfId="26"/>
    <cellStyle name="0,0" xfId="27"/>
    <cellStyle name="0,00" xfId="28"/>
    <cellStyle name="0_BP2" xfId="29"/>
    <cellStyle name="0_BP3" xfId="30"/>
    <cellStyle name="0_BP3_Financial Statements_01_2010" xfId="31"/>
    <cellStyle name="0_BP3_Financial Statements_02_2010" xfId="32"/>
    <cellStyle name="0_BP3_Financial Statements_12_2009_NewBud" xfId="33"/>
    <cellStyle name="1000-sep_Ark1" xfId="34"/>
    <cellStyle name="1000-sep+,00_Slideshow" xfId="35"/>
    <cellStyle name="20% - 1. jelölőszín" xfId="36"/>
    <cellStyle name="20% - 2. jelölőszín" xfId="37"/>
    <cellStyle name="20% - 3. jelölőszín" xfId="38"/>
    <cellStyle name="20% - 4. jelölőszín" xfId="39"/>
    <cellStyle name="20% - 5. jelölőszín" xfId="40"/>
    <cellStyle name="20% - akcent 1 10" xfId="41"/>
    <cellStyle name="20% - akcent 1 100" xfId="42"/>
    <cellStyle name="20% - akcent 1 100 2" xfId="43"/>
    <cellStyle name="20% - akcent 1 101" xfId="44"/>
    <cellStyle name="20% - akcent 1 101 2" xfId="45"/>
    <cellStyle name="20% - akcent 1 102" xfId="46"/>
    <cellStyle name="20% - akcent 1 102 2" xfId="47"/>
    <cellStyle name="20% - akcent 1 103" xfId="48"/>
    <cellStyle name="20% - akcent 1 103 2" xfId="49"/>
    <cellStyle name="20% - akcent 1 104" xfId="50"/>
    <cellStyle name="20% - akcent 1 104 2" xfId="51"/>
    <cellStyle name="20% - akcent 1 105" xfId="52"/>
    <cellStyle name="20% - akcent 1 105 2" xfId="53"/>
    <cellStyle name="20% - akcent 1 106" xfId="54"/>
    <cellStyle name="20% - akcent 1 106 2" xfId="55"/>
    <cellStyle name="20% - akcent 1 107" xfId="56"/>
    <cellStyle name="20% - akcent 1 107 2" xfId="57"/>
    <cellStyle name="20% - akcent 1 108" xfId="58"/>
    <cellStyle name="20% - akcent 1 108 2" xfId="59"/>
    <cellStyle name="20% - akcent 1 109" xfId="60"/>
    <cellStyle name="20% - akcent 1 109 2" xfId="61"/>
    <cellStyle name="20% - akcent 1 11" xfId="62"/>
    <cellStyle name="20% - akcent 1 110" xfId="63"/>
    <cellStyle name="20% - akcent 1 110 2" xfId="64"/>
    <cellStyle name="20% - akcent 1 111" xfId="65"/>
    <cellStyle name="20% - akcent 1 111 2" xfId="66"/>
    <cellStyle name="20% - akcent 1 112" xfId="67"/>
    <cellStyle name="20% - akcent 1 112 2" xfId="68"/>
    <cellStyle name="20% - akcent 1 113" xfId="69"/>
    <cellStyle name="20% - akcent 1 113 2" xfId="70"/>
    <cellStyle name="20% - akcent 1 114" xfId="71"/>
    <cellStyle name="20% - akcent 1 114 2" xfId="72"/>
    <cellStyle name="20% - akcent 1 115" xfId="73"/>
    <cellStyle name="20% - akcent 1 115 2" xfId="74"/>
    <cellStyle name="20% - akcent 1 116" xfId="75"/>
    <cellStyle name="20% - akcent 1 116 2" xfId="76"/>
    <cellStyle name="20% - akcent 1 117" xfId="77"/>
    <cellStyle name="20% - akcent 1 117 2" xfId="78"/>
    <cellStyle name="20% - akcent 1 118" xfId="79"/>
    <cellStyle name="20% - akcent 1 118 2" xfId="80"/>
    <cellStyle name="20% - akcent 1 119" xfId="81"/>
    <cellStyle name="20% - akcent 1 119 2" xfId="82"/>
    <cellStyle name="20% - akcent 1 12" xfId="83"/>
    <cellStyle name="20% - akcent 1 120" xfId="84"/>
    <cellStyle name="20% - akcent 1 121" xfId="85"/>
    <cellStyle name="20% - akcent 1 13" xfId="86"/>
    <cellStyle name="20% - akcent 1 14" xfId="87"/>
    <cellStyle name="20% - akcent 1 15" xfId="88"/>
    <cellStyle name="20% - akcent 1 16" xfId="89"/>
    <cellStyle name="20% - akcent 1 17" xfId="90"/>
    <cellStyle name="20% - akcent 1 18" xfId="91"/>
    <cellStyle name="20% - akcent 1 19" xfId="92"/>
    <cellStyle name="20% - akcent 1 2" xfId="93"/>
    <cellStyle name="20% - akcent 1 2 2" xfId="94"/>
    <cellStyle name="20% - akcent 1 2 22" xfId="95"/>
    <cellStyle name="20% - akcent 1 2 22 2" xfId="96"/>
    <cellStyle name="20% - akcent 1 2 22 3" xfId="97"/>
    <cellStyle name="20% - akcent 1 2 22 4" xfId="98"/>
    <cellStyle name="20% - akcent 1 2 22 5" xfId="99"/>
    <cellStyle name="20% - akcent 1 2 22 6" xfId="100"/>
    <cellStyle name="20% - akcent 1 2 23" xfId="101"/>
    <cellStyle name="20% - akcent 1 2 23 2" xfId="102"/>
    <cellStyle name="20% - akcent 1 2 23 3" xfId="103"/>
    <cellStyle name="20% - akcent 1 2 23 4" xfId="104"/>
    <cellStyle name="20% - akcent 1 2 23 5" xfId="105"/>
    <cellStyle name="20% - akcent 1 2 23 6" xfId="106"/>
    <cellStyle name="20% - akcent 1 2 24" xfId="107"/>
    <cellStyle name="20% - akcent 1 2 24 2" xfId="108"/>
    <cellStyle name="20% - akcent 1 2 24 3" xfId="109"/>
    <cellStyle name="20% - akcent 1 2 24 4" xfId="110"/>
    <cellStyle name="20% - akcent 1 2 24 5" xfId="111"/>
    <cellStyle name="20% - akcent 1 2 24 6" xfId="112"/>
    <cellStyle name="20% - akcent 1 2 25" xfId="113"/>
    <cellStyle name="20% - akcent 1 2 25 2" xfId="114"/>
    <cellStyle name="20% - akcent 1 2 25 3" xfId="115"/>
    <cellStyle name="20% - akcent 1 2 25 4" xfId="116"/>
    <cellStyle name="20% - akcent 1 2 25 5" xfId="117"/>
    <cellStyle name="20% - akcent 1 2 25 6" xfId="118"/>
    <cellStyle name="20% - akcent 1 2 26" xfId="119"/>
    <cellStyle name="20% - akcent 1 2 26 2" xfId="120"/>
    <cellStyle name="20% - akcent 1 2 26 3" xfId="121"/>
    <cellStyle name="20% - akcent 1 2 26 4" xfId="122"/>
    <cellStyle name="20% - akcent 1 2 26 5" xfId="123"/>
    <cellStyle name="20% - akcent 1 2 26 6" xfId="124"/>
    <cellStyle name="20% - akcent 1 2 27" xfId="125"/>
    <cellStyle name="20% - akcent 1 2 27 2" xfId="126"/>
    <cellStyle name="20% - akcent 1 2 27 3" xfId="127"/>
    <cellStyle name="20% - akcent 1 2 27 4" xfId="128"/>
    <cellStyle name="20% - akcent 1 2 27 5" xfId="129"/>
    <cellStyle name="20% - akcent 1 2 27 6" xfId="130"/>
    <cellStyle name="20% - akcent 1 2 28" xfId="131"/>
    <cellStyle name="20% - akcent 1 2 28 2" xfId="132"/>
    <cellStyle name="20% - akcent 1 2 28 3" xfId="133"/>
    <cellStyle name="20% - akcent 1 2 28 4" xfId="134"/>
    <cellStyle name="20% - akcent 1 2 28 5" xfId="135"/>
    <cellStyle name="20% - akcent 1 2 28 6" xfId="136"/>
    <cellStyle name="20% - akcent 1 2 29" xfId="137"/>
    <cellStyle name="20% - akcent 1 2 29 2" xfId="138"/>
    <cellStyle name="20% - akcent 1 2 3" xfId="139"/>
    <cellStyle name="20% - akcent 1 2 3 2" xfId="140"/>
    <cellStyle name="20% - akcent 1 2 3 3" xfId="141"/>
    <cellStyle name="20% - akcent 1 2 3 4" xfId="142"/>
    <cellStyle name="20% - akcent 1 2 3 5" xfId="143"/>
    <cellStyle name="20% - akcent 1 2 3 6" xfId="144"/>
    <cellStyle name="20% - akcent 1 2 3 7" xfId="145"/>
    <cellStyle name="20% - akcent 1 2 30" xfId="146"/>
    <cellStyle name="20% - akcent 1 2 30 2" xfId="147"/>
    <cellStyle name="20% - akcent 1 2 31" xfId="148"/>
    <cellStyle name="20% - akcent 1 2 31 2" xfId="149"/>
    <cellStyle name="20% - akcent 1 2 32" xfId="150"/>
    <cellStyle name="20% - akcent 1 2 32 2" xfId="151"/>
    <cellStyle name="20% - akcent 1 2 33" xfId="152"/>
    <cellStyle name="20% - akcent 1 2 34" xfId="153"/>
    <cellStyle name="20% - akcent 1 2 35" xfId="154"/>
    <cellStyle name="20% - akcent 1 2 36" xfId="155"/>
    <cellStyle name="20% - akcent 1 2 37" xfId="156"/>
    <cellStyle name="20% - akcent 1 2 38" xfId="157"/>
    <cellStyle name="20% - akcent 1 2 39" xfId="158"/>
    <cellStyle name="20% - akcent 1 2 4" xfId="159"/>
    <cellStyle name="20% - akcent 1 2 4 2" xfId="160"/>
    <cellStyle name="20% - akcent 1 2 4 3" xfId="161"/>
    <cellStyle name="20% - akcent 1 2 4 4" xfId="162"/>
    <cellStyle name="20% - akcent 1 2 4 5" xfId="163"/>
    <cellStyle name="20% - akcent 1 2 4 6" xfId="164"/>
    <cellStyle name="20% - akcent 1 2 4 7" xfId="165"/>
    <cellStyle name="20% - akcent 1 2 48" xfId="166"/>
    <cellStyle name="20% - akcent 1 2 49" xfId="167"/>
    <cellStyle name="20% - akcent 1 2 5" xfId="168"/>
    <cellStyle name="20% - akcent 1 2 5 3" xfId="169"/>
    <cellStyle name="20% - akcent 1 2 5 4" xfId="170"/>
    <cellStyle name="20% - akcent 1 2 5 5" xfId="171"/>
    <cellStyle name="20% - akcent 1 2 5 6" xfId="172"/>
    <cellStyle name="20% - akcent 1 2 50" xfId="173"/>
    <cellStyle name="20% - akcent 1 2 51" xfId="174"/>
    <cellStyle name="20% - akcent 1 2 6" xfId="175"/>
    <cellStyle name="20% - akcent 1 2 6 2" xfId="176"/>
    <cellStyle name="20% - akcent 1 2 6 3" xfId="177"/>
    <cellStyle name="20% - akcent 1 2 6 4" xfId="178"/>
    <cellStyle name="20% - akcent 1 2 6 5" xfId="179"/>
    <cellStyle name="20% - akcent 1 2 6 6" xfId="180"/>
    <cellStyle name="20% - akcent 1 2 7" xfId="181"/>
    <cellStyle name="20% - akcent 1 2 7 2" xfId="182"/>
    <cellStyle name="20% - akcent 1 2 7 3" xfId="183"/>
    <cellStyle name="20% - akcent 1 2 7 4" xfId="184"/>
    <cellStyle name="20% - akcent 1 2 7 5" xfId="185"/>
    <cellStyle name="20% - akcent 1 2 7 6" xfId="186"/>
    <cellStyle name="20% - akcent 1 2 8" xfId="187"/>
    <cellStyle name="20% - akcent 1 2 8 2" xfId="188"/>
    <cellStyle name="20% - akcent 1 2 8 3" xfId="189"/>
    <cellStyle name="20% - akcent 1 2 8 4" xfId="190"/>
    <cellStyle name="20% - akcent 1 2 8 5" xfId="191"/>
    <cellStyle name="20% - akcent 1 2 8 6" xfId="192"/>
    <cellStyle name="20% - akcent 1 2 9" xfId="193"/>
    <cellStyle name="20% - akcent 1 2 9 2" xfId="194"/>
    <cellStyle name="20% - akcent 1 2 9 3" xfId="195"/>
    <cellStyle name="20% - akcent 1 2 9 4" xfId="196"/>
    <cellStyle name="20% - akcent 1 2 9 5" xfId="197"/>
    <cellStyle name="20% - akcent 1 2 9 6" xfId="198"/>
    <cellStyle name="20% - akcent 1 20" xfId="199"/>
    <cellStyle name="20% - akcent 1 21" xfId="200"/>
    <cellStyle name="20% - akcent 1 22" xfId="201"/>
    <cellStyle name="20% - akcent 1 23" xfId="202"/>
    <cellStyle name="20% - akcent 1 24" xfId="203"/>
    <cellStyle name="20% - akcent 1 25" xfId="204"/>
    <cellStyle name="20% - akcent 1 26" xfId="205"/>
    <cellStyle name="20% - akcent 1 27" xfId="206"/>
    <cellStyle name="20% - akcent 1 28" xfId="207"/>
    <cellStyle name="20% - akcent 1 29" xfId="208"/>
    <cellStyle name="20% - akcent 1 3" xfId="209"/>
    <cellStyle name="20% - akcent 1 3 2" xfId="210"/>
    <cellStyle name="20% - akcent 1 3 2 2" xfId="211"/>
    <cellStyle name="20% - akcent 1 3 3" xfId="212"/>
    <cellStyle name="20% - akcent 1 3 3 2" xfId="213"/>
    <cellStyle name="20% - akcent 1 3 4" xfId="214"/>
    <cellStyle name="20% - akcent 1 3 4 2" xfId="215"/>
    <cellStyle name="20% - akcent 1 3 5" xfId="216"/>
    <cellStyle name="20% - akcent 1 3 6" xfId="217"/>
    <cellStyle name="20% - akcent 1 3 7" xfId="218"/>
    <cellStyle name="20% - akcent 1 3 8" xfId="219"/>
    <cellStyle name="20% - akcent 1 30" xfId="220"/>
    <cellStyle name="20% - akcent 1 30 2" xfId="221"/>
    <cellStyle name="20% - akcent 1 31" xfId="222"/>
    <cellStyle name="20% - akcent 1 31 2" xfId="223"/>
    <cellStyle name="20% - akcent 1 32" xfId="224"/>
    <cellStyle name="20% - akcent 1 32 2" xfId="225"/>
    <cellStyle name="20% - akcent 1 33" xfId="226"/>
    <cellStyle name="20% - akcent 1 33 2" xfId="227"/>
    <cellStyle name="20% - akcent 1 34" xfId="228"/>
    <cellStyle name="20% - akcent 1 34 2" xfId="229"/>
    <cellStyle name="20% - akcent 1 35" xfId="230"/>
    <cellStyle name="20% - akcent 1 35 2" xfId="231"/>
    <cellStyle name="20% - akcent 1 36" xfId="232"/>
    <cellStyle name="20% - akcent 1 36 2" xfId="233"/>
    <cellStyle name="20% - akcent 1 37" xfId="234"/>
    <cellStyle name="20% - akcent 1 37 2" xfId="235"/>
    <cellStyle name="20% - akcent 1 38" xfId="236"/>
    <cellStyle name="20% - akcent 1 38 2" xfId="237"/>
    <cellStyle name="20% - akcent 1 39" xfId="238"/>
    <cellStyle name="20% - akcent 1 39 2" xfId="239"/>
    <cellStyle name="20% - akcent 1 4" xfId="240"/>
    <cellStyle name="20% - akcent 1 4 2" xfId="241"/>
    <cellStyle name="20% - akcent 1 4 2 2" xfId="242"/>
    <cellStyle name="20% - akcent 1 4 3" xfId="243"/>
    <cellStyle name="20% - akcent 1 4 3 2" xfId="244"/>
    <cellStyle name="20% - akcent 1 4 4" xfId="245"/>
    <cellStyle name="20% - akcent 1 4 4 2" xfId="246"/>
    <cellStyle name="20% - akcent 1 4 5" xfId="247"/>
    <cellStyle name="20% - akcent 1 4 6" xfId="248"/>
    <cellStyle name="20% - akcent 1 4 7" xfId="249"/>
    <cellStyle name="20% - akcent 1 4 8" xfId="250"/>
    <cellStyle name="20% - akcent 1 40" xfId="251"/>
    <cellStyle name="20% - akcent 1 40 2" xfId="252"/>
    <cellStyle name="20% - akcent 1 41" xfId="253"/>
    <cellStyle name="20% - akcent 1 41 2" xfId="254"/>
    <cellStyle name="20% - akcent 1 42" xfId="255"/>
    <cellStyle name="20% - akcent 1 42 2" xfId="256"/>
    <cellStyle name="20% - akcent 1 43" xfId="257"/>
    <cellStyle name="20% - akcent 1 43 2" xfId="258"/>
    <cellStyle name="20% - akcent 1 44" xfId="259"/>
    <cellStyle name="20% - akcent 1 44 2" xfId="260"/>
    <cellStyle name="20% - akcent 1 45" xfId="261"/>
    <cellStyle name="20% - akcent 1 45 2" xfId="262"/>
    <cellStyle name="20% - akcent 1 46" xfId="263"/>
    <cellStyle name="20% - akcent 1 46 2" xfId="264"/>
    <cellStyle name="20% - akcent 1 47" xfId="265"/>
    <cellStyle name="20% - akcent 1 47 2" xfId="266"/>
    <cellStyle name="20% - akcent 1 48" xfId="267"/>
    <cellStyle name="20% - akcent 1 48 2" xfId="268"/>
    <cellStyle name="20% - akcent 1 49" xfId="269"/>
    <cellStyle name="20% - akcent 1 49 2" xfId="270"/>
    <cellStyle name="20% - akcent 1 5" xfId="271"/>
    <cellStyle name="20% - akcent 1 5 2" xfId="272"/>
    <cellStyle name="20% - akcent 1 5 3" xfId="273"/>
    <cellStyle name="20% - akcent 1 50" xfId="274"/>
    <cellStyle name="20% - akcent 1 50 2" xfId="275"/>
    <cellStyle name="20% - akcent 1 51" xfId="276"/>
    <cellStyle name="20% - akcent 1 51 2" xfId="277"/>
    <cellStyle name="20% - akcent 1 52" xfId="278"/>
    <cellStyle name="20% - akcent 1 52 2" xfId="279"/>
    <cellStyle name="20% - akcent 1 53" xfId="280"/>
    <cellStyle name="20% - akcent 1 53 2" xfId="281"/>
    <cellStyle name="20% - akcent 1 54" xfId="282"/>
    <cellStyle name="20% - akcent 1 54 2" xfId="283"/>
    <cellStyle name="20% - akcent 1 55" xfId="284"/>
    <cellStyle name="20% - akcent 1 55 2" xfId="285"/>
    <cellStyle name="20% - akcent 1 56" xfId="286"/>
    <cellStyle name="20% - akcent 1 56 2" xfId="287"/>
    <cellStyle name="20% - akcent 1 57" xfId="288"/>
    <cellStyle name="20% - akcent 1 57 2" xfId="289"/>
    <cellStyle name="20% - akcent 1 58" xfId="290"/>
    <cellStyle name="20% - akcent 1 58 2" xfId="291"/>
    <cellStyle name="20% - akcent 1 59" xfId="292"/>
    <cellStyle name="20% - akcent 1 59 2" xfId="293"/>
    <cellStyle name="20% - akcent 1 6" xfId="294"/>
    <cellStyle name="20% - akcent 1 60" xfId="295"/>
    <cellStyle name="20% - akcent 1 60 2" xfId="296"/>
    <cellStyle name="20% - akcent 1 61" xfId="297"/>
    <cellStyle name="20% - akcent 1 61 2" xfId="298"/>
    <cellStyle name="20% - akcent 1 62" xfId="299"/>
    <cellStyle name="20% - akcent 1 62 2" xfId="300"/>
    <cellStyle name="20% - akcent 1 63" xfId="301"/>
    <cellStyle name="20% - akcent 1 63 2" xfId="302"/>
    <cellStyle name="20% - akcent 1 64" xfId="303"/>
    <cellStyle name="20% - akcent 1 64 2" xfId="304"/>
    <cellStyle name="20% - akcent 1 65" xfId="305"/>
    <cellStyle name="20% - akcent 1 65 2" xfId="306"/>
    <cellStyle name="20% - akcent 1 66" xfId="307"/>
    <cellStyle name="20% - akcent 1 66 2" xfId="308"/>
    <cellStyle name="20% - akcent 1 67" xfId="309"/>
    <cellStyle name="20% - akcent 1 67 2" xfId="310"/>
    <cellStyle name="20% - akcent 1 68" xfId="311"/>
    <cellStyle name="20% - akcent 1 68 2" xfId="312"/>
    <cellStyle name="20% - akcent 1 69" xfId="313"/>
    <cellStyle name="20% - akcent 1 69 2" xfId="314"/>
    <cellStyle name="20% - akcent 1 7" xfId="315"/>
    <cellStyle name="20% - akcent 1 70" xfId="316"/>
    <cellStyle name="20% - akcent 1 70 2" xfId="317"/>
    <cellStyle name="20% - akcent 1 71" xfId="318"/>
    <cellStyle name="20% - akcent 1 71 2" xfId="319"/>
    <cellStyle name="20% - akcent 1 72" xfId="320"/>
    <cellStyle name="20% - akcent 1 72 2" xfId="321"/>
    <cellStyle name="20% - akcent 1 73" xfId="322"/>
    <cellStyle name="20% - akcent 1 73 2" xfId="323"/>
    <cellStyle name="20% - akcent 1 74" xfId="324"/>
    <cellStyle name="20% - akcent 1 74 2" xfId="325"/>
    <cellStyle name="20% - akcent 1 75" xfId="326"/>
    <cellStyle name="20% - akcent 1 75 2" xfId="327"/>
    <cellStyle name="20% - akcent 1 76" xfId="328"/>
    <cellStyle name="20% - akcent 1 76 2" xfId="329"/>
    <cellStyle name="20% - akcent 1 77" xfId="330"/>
    <cellStyle name="20% - akcent 1 77 2" xfId="331"/>
    <cellStyle name="20% - akcent 1 78" xfId="332"/>
    <cellStyle name="20% - akcent 1 78 2" xfId="333"/>
    <cellStyle name="20% - akcent 1 79" xfId="334"/>
    <cellStyle name="20% - akcent 1 79 2" xfId="335"/>
    <cellStyle name="20% - akcent 1 8" xfId="336"/>
    <cellStyle name="20% - akcent 1 80" xfId="337"/>
    <cellStyle name="20% - akcent 1 80 2" xfId="338"/>
    <cellStyle name="20% - akcent 1 81" xfId="339"/>
    <cellStyle name="20% - akcent 1 81 2" xfId="340"/>
    <cellStyle name="20% - akcent 1 82" xfId="341"/>
    <cellStyle name="20% - akcent 1 82 2" xfId="342"/>
    <cellStyle name="20% - akcent 1 83" xfId="343"/>
    <cellStyle name="20% - akcent 1 83 2" xfId="344"/>
    <cellStyle name="20% - akcent 1 84" xfId="345"/>
    <cellStyle name="20% - akcent 1 84 2" xfId="346"/>
    <cellStyle name="20% - akcent 1 85" xfId="347"/>
    <cellStyle name="20% - akcent 1 85 2" xfId="348"/>
    <cellStyle name="20% - akcent 1 86" xfId="349"/>
    <cellStyle name="20% - akcent 1 86 2" xfId="350"/>
    <cellStyle name="20% - akcent 1 87" xfId="351"/>
    <cellStyle name="20% - akcent 1 87 2" xfId="352"/>
    <cellStyle name="20% - akcent 1 88" xfId="353"/>
    <cellStyle name="20% - akcent 1 88 2" xfId="354"/>
    <cellStyle name="20% - akcent 1 89" xfId="355"/>
    <cellStyle name="20% - akcent 1 89 2" xfId="356"/>
    <cellStyle name="20% - akcent 1 9" xfId="357"/>
    <cellStyle name="20% - akcent 1 90" xfId="358"/>
    <cellStyle name="20% - akcent 1 90 2" xfId="359"/>
    <cellStyle name="20% - akcent 1 91" xfId="360"/>
    <cellStyle name="20% - akcent 1 91 2" xfId="361"/>
    <cellStyle name="20% - akcent 1 92" xfId="362"/>
    <cellStyle name="20% - akcent 1 92 2" xfId="363"/>
    <cellStyle name="20% - akcent 1 93" xfId="364"/>
    <cellStyle name="20% - akcent 1 93 2" xfId="365"/>
    <cellStyle name="20% - akcent 1 94" xfId="366"/>
    <cellStyle name="20% - akcent 1 94 2" xfId="367"/>
    <cellStyle name="20% - akcent 1 95" xfId="368"/>
    <cellStyle name="20% - akcent 1 95 2" xfId="369"/>
    <cellStyle name="20% - akcent 1 96" xfId="370"/>
    <cellStyle name="20% - akcent 1 96 2" xfId="371"/>
    <cellStyle name="20% - akcent 1 97" xfId="372"/>
    <cellStyle name="20% - akcent 1 97 2" xfId="373"/>
    <cellStyle name="20% - akcent 1 98" xfId="374"/>
    <cellStyle name="20% - akcent 1 98 2" xfId="375"/>
    <cellStyle name="20% - akcent 1 99" xfId="376"/>
    <cellStyle name="20% - akcent 1 99 2" xfId="377"/>
    <cellStyle name="20% - akcent 2 10" xfId="378"/>
    <cellStyle name="20% - akcent 2 100" xfId="379"/>
    <cellStyle name="20% - akcent 2 100 2" xfId="380"/>
    <cellStyle name="20% - akcent 2 101" xfId="381"/>
    <cellStyle name="20% - akcent 2 101 2" xfId="382"/>
    <cellStyle name="20% - akcent 2 102" xfId="383"/>
    <cellStyle name="20% - akcent 2 102 2" xfId="384"/>
    <cellStyle name="20% - akcent 2 103" xfId="385"/>
    <cellStyle name="20% - akcent 2 103 2" xfId="386"/>
    <cellStyle name="20% - akcent 2 104" xfId="387"/>
    <cellStyle name="20% - akcent 2 104 2" xfId="388"/>
    <cellStyle name="20% - akcent 2 105" xfId="389"/>
    <cellStyle name="20% - akcent 2 105 2" xfId="390"/>
    <cellStyle name="20% - akcent 2 106" xfId="391"/>
    <cellStyle name="20% - akcent 2 106 2" xfId="392"/>
    <cellStyle name="20% - akcent 2 107" xfId="393"/>
    <cellStyle name="20% - akcent 2 107 2" xfId="394"/>
    <cellStyle name="20% - akcent 2 108" xfId="395"/>
    <cellStyle name="20% - akcent 2 108 2" xfId="396"/>
    <cellStyle name="20% - akcent 2 109" xfId="397"/>
    <cellStyle name="20% - akcent 2 109 2" xfId="398"/>
    <cellStyle name="20% - akcent 2 11" xfId="399"/>
    <cellStyle name="20% - akcent 2 110" xfId="400"/>
    <cellStyle name="20% - akcent 2 110 2" xfId="401"/>
    <cellStyle name="20% - akcent 2 111" xfId="402"/>
    <cellStyle name="20% - akcent 2 111 2" xfId="403"/>
    <cellStyle name="20% - akcent 2 112" xfId="404"/>
    <cellStyle name="20% - akcent 2 112 2" xfId="405"/>
    <cellStyle name="20% - akcent 2 113" xfId="406"/>
    <cellStyle name="20% - akcent 2 113 2" xfId="407"/>
    <cellStyle name="20% - akcent 2 114" xfId="408"/>
    <cellStyle name="20% - akcent 2 114 2" xfId="409"/>
    <cellStyle name="20% - akcent 2 115" xfId="410"/>
    <cellStyle name="20% - akcent 2 115 2" xfId="411"/>
    <cellStyle name="20% - akcent 2 116" xfId="412"/>
    <cellStyle name="20% - akcent 2 116 2" xfId="413"/>
    <cellStyle name="20% - akcent 2 117" xfId="414"/>
    <cellStyle name="20% - akcent 2 117 2" xfId="415"/>
    <cellStyle name="20% - akcent 2 118" xfId="416"/>
    <cellStyle name="20% - akcent 2 118 2" xfId="417"/>
    <cellStyle name="20% - akcent 2 119" xfId="418"/>
    <cellStyle name="20% - akcent 2 119 2" xfId="419"/>
    <cellStyle name="20% - akcent 2 12" xfId="420"/>
    <cellStyle name="20% - akcent 2 120" xfId="421"/>
    <cellStyle name="20% - akcent 2 121" xfId="422"/>
    <cellStyle name="20% - akcent 2 13" xfId="423"/>
    <cellStyle name="20% - akcent 2 14" xfId="424"/>
    <cellStyle name="20% - akcent 2 15" xfId="425"/>
    <cellStyle name="20% - akcent 2 16" xfId="426"/>
    <cellStyle name="20% - akcent 2 17" xfId="427"/>
    <cellStyle name="20% - akcent 2 18" xfId="428"/>
    <cellStyle name="20% - akcent 2 19" xfId="429"/>
    <cellStyle name="20% - akcent 2 2" xfId="430"/>
    <cellStyle name="20% - akcent 2 2 10" xfId="431"/>
    <cellStyle name="20% - akcent 2 2 10 2" xfId="432"/>
    <cellStyle name="20% - akcent 2 2 10 3" xfId="433"/>
    <cellStyle name="20% - akcent 2 2 10 4" xfId="434"/>
    <cellStyle name="20% - akcent 2 2 10 5" xfId="435"/>
    <cellStyle name="20% - akcent 2 2 10 6" xfId="436"/>
    <cellStyle name="20% - akcent 2 2 11" xfId="437"/>
    <cellStyle name="20% - akcent 2 2 11 2" xfId="438"/>
    <cellStyle name="20% - akcent 2 2 11 3" xfId="439"/>
    <cellStyle name="20% - akcent 2 2 11 4" xfId="440"/>
    <cellStyle name="20% - akcent 2 2 11 5" xfId="441"/>
    <cellStyle name="20% - akcent 2 2 11 6" xfId="442"/>
    <cellStyle name="20% - akcent 2 2 12" xfId="443"/>
    <cellStyle name="20% - akcent 2 2 12 2" xfId="444"/>
    <cellStyle name="20% - akcent 2 2 12 3" xfId="445"/>
    <cellStyle name="20% - akcent 2 2 12 4" xfId="446"/>
    <cellStyle name="20% - akcent 2 2 12 5" xfId="447"/>
    <cellStyle name="20% - akcent 2 2 12 6" xfId="448"/>
    <cellStyle name="20% - akcent 2 2 13" xfId="449"/>
    <cellStyle name="20% - akcent 2 2 13 2" xfId="450"/>
    <cellStyle name="20% - akcent 2 2 13 3" xfId="451"/>
    <cellStyle name="20% - akcent 2 2 13 4" xfId="452"/>
    <cellStyle name="20% - akcent 2 2 13 5" xfId="453"/>
    <cellStyle name="20% - akcent 2 2 13 6" xfId="454"/>
    <cellStyle name="20% - akcent 2 2 14" xfId="455"/>
    <cellStyle name="20% - akcent 2 2 14 2" xfId="456"/>
    <cellStyle name="20% - akcent 2 2 14 3" xfId="457"/>
    <cellStyle name="20% - akcent 2 2 14 4" xfId="458"/>
    <cellStyle name="20% - akcent 2 2 14 5" xfId="459"/>
    <cellStyle name="20% - akcent 2 2 14 6" xfId="460"/>
    <cellStyle name="20% - akcent 2 2 15" xfId="461"/>
    <cellStyle name="20% - akcent 2 2 15 2" xfId="462"/>
    <cellStyle name="20% - akcent 2 2 15 3" xfId="463"/>
    <cellStyle name="20% - akcent 2 2 15 4" xfId="464"/>
    <cellStyle name="20% - akcent 2 2 15 5" xfId="465"/>
    <cellStyle name="20% - akcent 2 2 15 6" xfId="466"/>
    <cellStyle name="20% - akcent 2 2 16" xfId="467"/>
    <cellStyle name="20% - akcent 2 2 16 2" xfId="468"/>
    <cellStyle name="20% - akcent 2 2 16 3" xfId="469"/>
    <cellStyle name="20% - akcent 2 2 16 4" xfId="470"/>
    <cellStyle name="20% - akcent 2 2 16 5" xfId="471"/>
    <cellStyle name="20% - akcent 2 2 16 6" xfId="472"/>
    <cellStyle name="20% - akcent 2 2 17" xfId="473"/>
    <cellStyle name="20% - akcent 2 2 17 2" xfId="474"/>
    <cellStyle name="20% - akcent 2 2 17 3" xfId="475"/>
    <cellStyle name="20% - akcent 2 2 17 4" xfId="476"/>
    <cellStyle name="20% - akcent 2 2 17 5" xfId="477"/>
    <cellStyle name="20% - akcent 2 2 17 6" xfId="478"/>
    <cellStyle name="20% - akcent 2 2 18" xfId="479"/>
    <cellStyle name="20% - akcent 2 2 18 2" xfId="480"/>
    <cellStyle name="20% - akcent 2 2 18 3" xfId="481"/>
    <cellStyle name="20% - akcent 2 2 18 4" xfId="482"/>
    <cellStyle name="20% - akcent 2 2 18 5" xfId="483"/>
    <cellStyle name="20% - akcent 2 2 18 6" xfId="484"/>
    <cellStyle name="20% - akcent 2 2 19" xfId="485"/>
    <cellStyle name="20% - akcent 2 2 19 2" xfId="486"/>
    <cellStyle name="20% - akcent 2 2 19 3" xfId="487"/>
    <cellStyle name="20% - akcent 2 2 19 4" xfId="488"/>
    <cellStyle name="20% - akcent 2 2 19 5" xfId="489"/>
    <cellStyle name="20% - akcent 2 2 19 6" xfId="490"/>
    <cellStyle name="20% - akcent 2 2 2" xfId="491"/>
    <cellStyle name="20% - akcent 2 2 2 2" xfId="492"/>
    <cellStyle name="20% - akcent 2 2 2 3" xfId="493"/>
    <cellStyle name="20% - akcent 2 2 2 4" xfId="494"/>
    <cellStyle name="20% - akcent 2 2 2 5" xfId="495"/>
    <cellStyle name="20% - akcent 2 2 2 6" xfId="496"/>
    <cellStyle name="20% - akcent 2 2 2 7" xfId="497"/>
    <cellStyle name="20% - akcent 2 2 20" xfId="498"/>
    <cellStyle name="20% - akcent 2 2 20 2" xfId="499"/>
    <cellStyle name="20% - akcent 2 2 20 3" xfId="500"/>
    <cellStyle name="20% - akcent 2 2 20 4" xfId="501"/>
    <cellStyle name="20% - akcent 2 2 20 5" xfId="502"/>
    <cellStyle name="20% - akcent 2 2 20 6" xfId="503"/>
    <cellStyle name="20% - akcent 2 2 21" xfId="504"/>
    <cellStyle name="20% - akcent 2 2 21 2" xfId="505"/>
    <cellStyle name="20% - akcent 2 2 21 3" xfId="506"/>
    <cellStyle name="20% - akcent 2 2 21 4" xfId="507"/>
    <cellStyle name="20% - akcent 2 2 21 5" xfId="508"/>
    <cellStyle name="20% - akcent 2 2 21 6" xfId="509"/>
    <cellStyle name="20% - akcent 2 2 22" xfId="510"/>
    <cellStyle name="20% - akcent 2 2 22 2" xfId="511"/>
    <cellStyle name="20% - akcent 2 2 22 3" xfId="512"/>
    <cellStyle name="20% - akcent 2 2 22 4" xfId="513"/>
    <cellStyle name="20% - akcent 2 2 22 5" xfId="514"/>
    <cellStyle name="20% - akcent 2 2 22 6" xfId="515"/>
    <cellStyle name="20% - akcent 2 2 23" xfId="516"/>
    <cellStyle name="20% - akcent 2 2 23 2" xfId="517"/>
    <cellStyle name="20% - akcent 2 2 23 3" xfId="518"/>
    <cellStyle name="20% - akcent 2 2 23 4" xfId="519"/>
    <cellStyle name="20% - akcent 2 2 23 5" xfId="520"/>
    <cellStyle name="20% - akcent 2 2 23 6" xfId="521"/>
    <cellStyle name="20% - akcent 2 2 24" xfId="522"/>
    <cellStyle name="20% - akcent 2 2 24 2" xfId="523"/>
    <cellStyle name="20% - akcent 2 2 24 3" xfId="524"/>
    <cellStyle name="20% - akcent 2 2 24 4" xfId="525"/>
    <cellStyle name="20% - akcent 2 2 24 5" xfId="526"/>
    <cellStyle name="20% - akcent 2 2 24 6" xfId="527"/>
    <cellStyle name="20% - akcent 2 2 25" xfId="528"/>
    <cellStyle name="20% - akcent 2 2 25 2" xfId="529"/>
    <cellStyle name="20% - akcent 2 2 25 3" xfId="530"/>
    <cellStyle name="20% - akcent 2 2 25 4" xfId="531"/>
    <cellStyle name="20% - akcent 2 2 25 5" xfId="532"/>
    <cellStyle name="20% - akcent 2 2 25 6" xfId="533"/>
    <cellStyle name="20% - akcent 2 2 26" xfId="534"/>
    <cellStyle name="20% - akcent 2 2 26 2" xfId="535"/>
    <cellStyle name="20% - akcent 2 2 26 3" xfId="536"/>
    <cellStyle name="20% - akcent 2 2 26 4" xfId="537"/>
    <cellStyle name="20% - akcent 2 2 26 5" xfId="538"/>
    <cellStyle name="20% - akcent 2 2 26 6" xfId="539"/>
    <cellStyle name="20% - akcent 2 2 27" xfId="540"/>
    <cellStyle name="20% - akcent 2 2 27 2" xfId="541"/>
    <cellStyle name="20% - akcent 2 2 27 3" xfId="542"/>
    <cellStyle name="20% - akcent 2 2 27 4" xfId="543"/>
    <cellStyle name="20% - akcent 2 2 27 5" xfId="544"/>
    <cellStyle name="20% - akcent 2 2 27 6" xfId="545"/>
    <cellStyle name="20% - akcent 2 2 28" xfId="546"/>
    <cellStyle name="20% - akcent 2 2 28 2" xfId="547"/>
    <cellStyle name="20% - akcent 2 2 28 3" xfId="548"/>
    <cellStyle name="20% - akcent 2 2 28 4" xfId="549"/>
    <cellStyle name="20% - akcent 2 2 28 5" xfId="550"/>
    <cellStyle name="20% - akcent 2 2 28 6" xfId="551"/>
    <cellStyle name="20% - akcent 2 2 29" xfId="552"/>
    <cellStyle name="20% - akcent 2 2 29 2" xfId="553"/>
    <cellStyle name="20% - akcent 2 2 3" xfId="554"/>
    <cellStyle name="20% - akcent 2 2 3 2" xfId="555"/>
    <cellStyle name="20% - akcent 2 2 3 3" xfId="556"/>
    <cellStyle name="20% - akcent 2 2 3 4" xfId="557"/>
    <cellStyle name="20% - akcent 2 2 3 5" xfId="558"/>
    <cellStyle name="20% - akcent 2 2 3 6" xfId="559"/>
    <cellStyle name="20% - akcent 2 2 3 7" xfId="560"/>
    <cellStyle name="20% - akcent 2 2 30" xfId="561"/>
    <cellStyle name="20% - akcent 2 2 30 2" xfId="562"/>
    <cellStyle name="20% - akcent 2 2 31" xfId="563"/>
    <cellStyle name="20% - akcent 2 2 31 2" xfId="564"/>
    <cellStyle name="20% - akcent 2 2 32" xfId="565"/>
    <cellStyle name="20% - akcent 2 2 32 2" xfId="566"/>
    <cellStyle name="20% - akcent 2 2 33" xfId="567"/>
    <cellStyle name="20% - akcent 2 2 34" xfId="568"/>
    <cellStyle name="20% - akcent 2 2 35" xfId="569"/>
    <cellStyle name="20% - akcent 2 2 36" xfId="570"/>
    <cellStyle name="20% - akcent 2 2 37" xfId="571"/>
    <cellStyle name="20% - akcent 2 2 38" xfId="572"/>
    <cellStyle name="20% - akcent 2 2 39" xfId="573"/>
    <cellStyle name="20% - akcent 2 2 4" xfId="574"/>
    <cellStyle name="20% - akcent 2 2 4 2" xfId="575"/>
    <cellStyle name="20% - akcent 2 2 4 3" xfId="576"/>
    <cellStyle name="20% - akcent 2 2 4 4" xfId="577"/>
    <cellStyle name="20% - akcent 2 2 4 5" xfId="578"/>
    <cellStyle name="20% - akcent 2 2 4 6" xfId="579"/>
    <cellStyle name="20% - akcent 2 2 4 7" xfId="580"/>
    <cellStyle name="20% - akcent 2 2 40" xfId="581"/>
    <cellStyle name="20% - akcent 2 2 41" xfId="582"/>
    <cellStyle name="20% - akcent 2 2 42" xfId="583"/>
    <cellStyle name="20% - akcent 2 2 43" xfId="584"/>
    <cellStyle name="20% - akcent 2 2 44" xfId="585"/>
    <cellStyle name="20% - akcent 2 2 45" xfId="586"/>
    <cellStyle name="20% - akcent 2 2 46" xfId="587"/>
    <cellStyle name="20% - akcent 2 2 47" xfId="588"/>
    <cellStyle name="20% - akcent 2 2 48" xfId="589"/>
    <cellStyle name="20% - akcent 2 2 49" xfId="590"/>
    <cellStyle name="20% - akcent 2 2 5" xfId="591"/>
    <cellStyle name="20% - akcent 2 2 5 2" xfId="592"/>
    <cellStyle name="20% - akcent 2 2 5 3" xfId="593"/>
    <cellStyle name="20% - akcent 2 2 5 4" xfId="594"/>
    <cellStyle name="20% - akcent 2 2 5 5" xfId="595"/>
    <cellStyle name="20% - akcent 2 2 5 6" xfId="596"/>
    <cellStyle name="20% - akcent 2 2 50" xfId="597"/>
    <cellStyle name="20% - akcent 2 2 51" xfId="598"/>
    <cellStyle name="20% - akcent 2 2 6" xfId="599"/>
    <cellStyle name="20% - akcent 2 2 6 2" xfId="600"/>
    <cellStyle name="20% - akcent 2 2 6 3" xfId="601"/>
    <cellStyle name="20% - akcent 2 2 6 4" xfId="602"/>
    <cellStyle name="20% - akcent 2 2 6 5" xfId="603"/>
    <cellStyle name="20% - akcent 2 2 6 6" xfId="604"/>
    <cellStyle name="20% - akcent 2 2 7" xfId="605"/>
    <cellStyle name="20% - akcent 2 2 7 2" xfId="606"/>
    <cellStyle name="20% - akcent 2 2 7 3" xfId="607"/>
    <cellStyle name="20% - akcent 2 2 7 4" xfId="608"/>
    <cellStyle name="20% - akcent 2 2 7 5" xfId="609"/>
    <cellStyle name="20% - akcent 2 2 7 6" xfId="610"/>
    <cellStyle name="20% - akcent 2 2 8" xfId="611"/>
    <cellStyle name="20% - akcent 2 2 8 2" xfId="612"/>
    <cellStyle name="20% - akcent 2 2 8 3" xfId="613"/>
    <cellStyle name="20% - akcent 2 2 8 4" xfId="614"/>
    <cellStyle name="20% - akcent 2 2 8 5" xfId="615"/>
    <cellStyle name="20% - akcent 2 2 8 6" xfId="616"/>
    <cellStyle name="20% - akcent 2 2 9" xfId="617"/>
    <cellStyle name="20% - akcent 2 2 9 2" xfId="618"/>
    <cellStyle name="20% - akcent 2 2 9 3" xfId="619"/>
    <cellStyle name="20% - akcent 2 2 9 4" xfId="620"/>
    <cellStyle name="20% - akcent 2 2 9 5" xfId="621"/>
    <cellStyle name="20% - akcent 2 2 9 6" xfId="622"/>
    <cellStyle name="20% - akcent 2 20" xfId="623"/>
    <cellStyle name="20% - akcent 2 21" xfId="624"/>
    <cellStyle name="20% - akcent 2 22" xfId="625"/>
    <cellStyle name="20% - akcent 2 23" xfId="626"/>
    <cellStyle name="20% - akcent 2 24" xfId="627"/>
    <cellStyle name="20% - akcent 2 25" xfId="628"/>
    <cellStyle name="20% - akcent 2 26" xfId="629"/>
    <cellStyle name="20% - akcent 2 27" xfId="630"/>
    <cellStyle name="20% - akcent 2 28" xfId="631"/>
    <cellStyle name="20% - akcent 2 29" xfId="632"/>
    <cellStyle name="20% - akcent 2 3" xfId="633"/>
    <cellStyle name="20% - akcent 2 3 2" xfId="634"/>
    <cellStyle name="20% - akcent 2 3 2 2" xfId="635"/>
    <cellStyle name="20% - akcent 2 3 3" xfId="636"/>
    <cellStyle name="20% - akcent 2 3 3 2" xfId="637"/>
    <cellStyle name="20% - akcent 2 3 4" xfId="638"/>
    <cellStyle name="20% - akcent 2 3 4 2" xfId="639"/>
    <cellStyle name="20% - akcent 2 3 5" xfId="640"/>
    <cellStyle name="20% - akcent 2 3 6" xfId="641"/>
    <cellStyle name="20% - akcent 2 3 7" xfId="642"/>
    <cellStyle name="20% - akcent 2 3 8" xfId="643"/>
    <cellStyle name="20% - akcent 2 30" xfId="644"/>
    <cellStyle name="20% - akcent 2 30 2" xfId="645"/>
    <cellStyle name="20% - akcent 2 31" xfId="646"/>
    <cellStyle name="20% - akcent 2 31 2" xfId="647"/>
    <cellStyle name="20% - akcent 2 32" xfId="648"/>
    <cellStyle name="20% - akcent 2 32 2" xfId="649"/>
    <cellStyle name="20% - akcent 2 33" xfId="650"/>
    <cellStyle name="20% - akcent 2 33 2" xfId="651"/>
    <cellStyle name="20% - akcent 2 34" xfId="652"/>
    <cellStyle name="20% - akcent 2 34 2" xfId="653"/>
    <cellStyle name="20% - akcent 2 35" xfId="654"/>
    <cellStyle name="20% - akcent 2 35 2" xfId="655"/>
    <cellStyle name="20% - akcent 2 36" xfId="656"/>
    <cellStyle name="20% - akcent 2 36 2" xfId="657"/>
    <cellStyle name="20% - akcent 2 37" xfId="658"/>
    <cellStyle name="20% - akcent 2 37 2" xfId="659"/>
    <cellStyle name="20% - akcent 2 38" xfId="660"/>
    <cellStyle name="20% - akcent 2 38 2" xfId="661"/>
    <cellStyle name="20% - akcent 2 39" xfId="662"/>
    <cellStyle name="20% - akcent 2 39 2" xfId="663"/>
    <cellStyle name="20% - akcent 2 4" xfId="664"/>
    <cellStyle name="20% - akcent 2 4 2" xfId="665"/>
    <cellStyle name="20% - akcent 2 4 2 2" xfId="666"/>
    <cellStyle name="20% - akcent 2 4 3" xfId="667"/>
    <cellStyle name="20% - akcent 2 4 3 2" xfId="668"/>
    <cellStyle name="20% - akcent 2 4 4" xfId="669"/>
    <cellStyle name="20% - akcent 2 4 4 2" xfId="670"/>
    <cellStyle name="20% - akcent 2 4 5" xfId="671"/>
    <cellStyle name="20% - akcent 2 4 6" xfId="672"/>
    <cellStyle name="20% - akcent 2 4 7" xfId="673"/>
    <cellStyle name="20% - akcent 2 4 8" xfId="674"/>
    <cellStyle name="20% - akcent 2 40" xfId="675"/>
    <cellStyle name="20% - akcent 2 40 2" xfId="676"/>
    <cellStyle name="20% - akcent 2 41" xfId="677"/>
    <cellStyle name="20% - akcent 2 41 2" xfId="678"/>
    <cellStyle name="20% - akcent 2 42" xfId="679"/>
    <cellStyle name="20% - akcent 2 42 2" xfId="680"/>
    <cellStyle name="20% - akcent 2 43" xfId="681"/>
    <cellStyle name="20% - akcent 2 43 2" xfId="682"/>
    <cellStyle name="20% - akcent 2 44" xfId="683"/>
    <cellStyle name="20% - akcent 2 44 2" xfId="684"/>
    <cellStyle name="20% - akcent 2 45" xfId="685"/>
    <cellStyle name="20% - akcent 2 45 2" xfId="686"/>
    <cellStyle name="20% - akcent 2 46" xfId="687"/>
    <cellStyle name="20% - akcent 2 46 2" xfId="688"/>
    <cellStyle name="20% - akcent 2 47" xfId="689"/>
    <cellStyle name="20% - akcent 2 47 2" xfId="690"/>
    <cellStyle name="20% - akcent 2 48" xfId="691"/>
    <cellStyle name="20% - akcent 2 48 2" xfId="692"/>
    <cellStyle name="20% - akcent 2 49" xfId="693"/>
    <cellStyle name="20% - akcent 2 49 2" xfId="694"/>
    <cellStyle name="20% - akcent 2 5" xfId="695"/>
    <cellStyle name="20% - akcent 2 5 2" xfId="696"/>
    <cellStyle name="20% - akcent 2 5 3" xfId="697"/>
    <cellStyle name="20% - akcent 2 50" xfId="698"/>
    <cellStyle name="20% - akcent 2 50 2" xfId="699"/>
    <cellStyle name="20% - akcent 2 51" xfId="700"/>
    <cellStyle name="20% - akcent 2 51 2" xfId="701"/>
    <cellStyle name="20% - akcent 2 52" xfId="702"/>
    <cellStyle name="20% - akcent 2 52 2" xfId="703"/>
    <cellStyle name="20% - akcent 2 53" xfId="704"/>
    <cellStyle name="20% - akcent 2 53 2" xfId="705"/>
    <cellStyle name="20% - akcent 2 54" xfId="706"/>
    <cellStyle name="20% - akcent 2 54 2" xfId="707"/>
    <cellStyle name="20% - akcent 2 55" xfId="708"/>
    <cellStyle name="20% - akcent 2 55 2" xfId="709"/>
    <cellStyle name="20% - akcent 2 56" xfId="710"/>
    <cellStyle name="20% - akcent 2 56 2" xfId="711"/>
    <cellStyle name="20% - akcent 2 57" xfId="712"/>
    <cellStyle name="20% - akcent 2 57 2" xfId="713"/>
    <cellStyle name="20% - akcent 2 58" xfId="714"/>
    <cellStyle name="20% - akcent 2 58 2" xfId="715"/>
    <cellStyle name="20% - akcent 2 59" xfId="716"/>
    <cellStyle name="20% - akcent 2 59 2" xfId="717"/>
    <cellStyle name="20% - akcent 2 6" xfId="718"/>
    <cellStyle name="20% - akcent 2 60" xfId="719"/>
    <cellStyle name="20% - akcent 2 60 2" xfId="720"/>
    <cellStyle name="20% - akcent 2 61" xfId="721"/>
    <cellStyle name="20% - akcent 2 61 2" xfId="722"/>
    <cellStyle name="20% - akcent 2 62" xfId="723"/>
    <cellStyle name="20% - akcent 2 62 2" xfId="724"/>
    <cellStyle name="20% - akcent 2 63" xfId="725"/>
    <cellStyle name="20% - akcent 2 63 2" xfId="726"/>
    <cellStyle name="20% - akcent 2 64" xfId="727"/>
    <cellStyle name="20% - akcent 2 64 2" xfId="728"/>
    <cellStyle name="20% - akcent 2 65" xfId="729"/>
    <cellStyle name="20% - akcent 2 65 2" xfId="730"/>
    <cellStyle name="20% - akcent 2 66" xfId="731"/>
    <cellStyle name="20% - akcent 2 66 2" xfId="732"/>
    <cellStyle name="20% - akcent 2 67" xfId="733"/>
    <cellStyle name="20% - akcent 2 67 2" xfId="734"/>
    <cellStyle name="20% - akcent 2 68" xfId="735"/>
    <cellStyle name="20% - akcent 2 68 2" xfId="736"/>
    <cellStyle name="20% - akcent 2 69" xfId="737"/>
    <cellStyle name="20% - akcent 2 69 2" xfId="738"/>
    <cellStyle name="20% - akcent 2 7" xfId="739"/>
    <cellStyle name="20% - akcent 2 70" xfId="740"/>
    <cellStyle name="20% - akcent 2 70 2" xfId="741"/>
    <cellStyle name="20% - akcent 2 71" xfId="742"/>
    <cellStyle name="20% - akcent 2 71 2" xfId="743"/>
    <cellStyle name="20% - akcent 2 72" xfId="744"/>
    <cellStyle name="20% - akcent 2 72 2" xfId="745"/>
    <cellStyle name="20% - akcent 2 73" xfId="746"/>
    <cellStyle name="20% - akcent 2 73 2" xfId="747"/>
    <cellStyle name="20% - akcent 2 74" xfId="748"/>
    <cellStyle name="20% - akcent 2 74 2" xfId="749"/>
    <cellStyle name="20% - akcent 2 75" xfId="750"/>
    <cellStyle name="20% - akcent 2 75 2" xfId="751"/>
    <cellStyle name="20% - akcent 2 76" xfId="752"/>
    <cellStyle name="20% - akcent 2 76 2" xfId="753"/>
    <cellStyle name="20% - akcent 2 77" xfId="754"/>
    <cellStyle name="20% - akcent 2 77 2" xfId="755"/>
    <cellStyle name="20% - akcent 2 78" xfId="756"/>
    <cellStyle name="20% - akcent 2 78 2" xfId="757"/>
    <cellStyle name="20% - akcent 2 79" xfId="758"/>
    <cellStyle name="20% - akcent 2 79 2" xfId="759"/>
    <cellStyle name="20% - akcent 2 8" xfId="760"/>
    <cellStyle name="20% - akcent 2 80" xfId="761"/>
    <cellStyle name="20% - akcent 2 80 2" xfId="762"/>
    <cellStyle name="20% - akcent 2 81" xfId="763"/>
    <cellStyle name="20% - akcent 2 81 2" xfId="764"/>
    <cellStyle name="20% - akcent 2 82" xfId="765"/>
    <cellStyle name="20% - akcent 2 82 2" xfId="766"/>
    <cellStyle name="20% - akcent 2 83" xfId="767"/>
    <cellStyle name="20% - akcent 2 83 2" xfId="768"/>
    <cellStyle name="20% - akcent 2 84" xfId="769"/>
    <cellStyle name="20% - akcent 2 84 2" xfId="770"/>
    <cellStyle name="20% - akcent 2 85" xfId="771"/>
    <cellStyle name="20% - akcent 2 85 2" xfId="772"/>
    <cellStyle name="20% - akcent 2 86" xfId="773"/>
    <cellStyle name="20% - akcent 2 86 2" xfId="774"/>
    <cellStyle name="20% - akcent 2 87" xfId="775"/>
    <cellStyle name="20% - akcent 2 87 2" xfId="776"/>
    <cellStyle name="20% - akcent 2 88" xfId="777"/>
    <cellStyle name="20% - akcent 2 88 2" xfId="778"/>
    <cellStyle name="20% - akcent 2 89" xfId="779"/>
    <cellStyle name="20% - akcent 2 89 2" xfId="780"/>
    <cellStyle name="20% - akcent 2 9" xfId="781"/>
    <cellStyle name="20% - akcent 2 90" xfId="782"/>
    <cellStyle name="20% - akcent 2 90 2" xfId="783"/>
    <cellStyle name="20% - akcent 2 91" xfId="784"/>
    <cellStyle name="20% - akcent 2 91 2" xfId="785"/>
    <cellStyle name="20% - akcent 2 92" xfId="786"/>
    <cellStyle name="20% - akcent 2 92 2" xfId="787"/>
    <cellStyle name="20% - akcent 2 93" xfId="788"/>
    <cellStyle name="20% - akcent 2 93 2" xfId="789"/>
    <cellStyle name="20% - akcent 2 94" xfId="790"/>
    <cellStyle name="20% - akcent 2 94 2" xfId="791"/>
    <cellStyle name="20% - akcent 2 95" xfId="792"/>
    <cellStyle name="20% - akcent 2 95 2" xfId="793"/>
    <cellStyle name="20% - akcent 2 96" xfId="794"/>
    <cellStyle name="20% - akcent 2 96 2" xfId="795"/>
    <cellStyle name="20% - akcent 2 97" xfId="796"/>
    <cellStyle name="20% - akcent 2 97 2" xfId="797"/>
    <cellStyle name="20% - akcent 2 98" xfId="798"/>
    <cellStyle name="20% - akcent 2 98 2" xfId="799"/>
    <cellStyle name="20% - akcent 2 99" xfId="800"/>
    <cellStyle name="20% - akcent 2 99 2" xfId="801"/>
    <cellStyle name="20% - akcent 3 10" xfId="802"/>
    <cellStyle name="20% - akcent 3 100" xfId="803"/>
    <cellStyle name="20% - akcent 3 100 2" xfId="804"/>
    <cellStyle name="20% - akcent 3 101" xfId="805"/>
    <cellStyle name="20% - akcent 3 101 2" xfId="806"/>
    <cellStyle name="20% - akcent 3 102" xfId="807"/>
    <cellStyle name="20% - akcent 3 102 2" xfId="808"/>
    <cellStyle name="20% - akcent 3 103" xfId="809"/>
    <cellStyle name="20% - akcent 3 103 2" xfId="810"/>
    <cellStyle name="20% - akcent 3 104" xfId="811"/>
    <cellStyle name="20% - akcent 3 104 2" xfId="812"/>
    <cellStyle name="20% - akcent 3 105" xfId="813"/>
    <cellStyle name="20% - akcent 3 105 2" xfId="814"/>
    <cellStyle name="20% - akcent 3 106" xfId="815"/>
    <cellStyle name="20% - akcent 3 106 2" xfId="816"/>
    <cellStyle name="20% - akcent 3 107" xfId="817"/>
    <cellStyle name="20% - akcent 3 107 2" xfId="818"/>
    <cellStyle name="20% - akcent 3 108" xfId="819"/>
    <cellStyle name="20% - akcent 3 108 2" xfId="820"/>
    <cellStyle name="20% - akcent 3 109" xfId="821"/>
    <cellStyle name="20% - akcent 3 109 2" xfId="822"/>
    <cellStyle name="20% - akcent 3 11" xfId="823"/>
    <cellStyle name="20% - akcent 3 110" xfId="824"/>
    <cellStyle name="20% - akcent 3 110 2" xfId="825"/>
    <cellStyle name="20% - akcent 3 111" xfId="826"/>
    <cellStyle name="20% - akcent 3 111 2" xfId="827"/>
    <cellStyle name="20% - akcent 3 112" xfId="828"/>
    <cellStyle name="20% - akcent 3 112 2" xfId="829"/>
    <cellStyle name="20% - akcent 3 113" xfId="830"/>
    <cellStyle name="20% - akcent 3 113 2" xfId="831"/>
    <cellStyle name="20% - akcent 3 114" xfId="832"/>
    <cellStyle name="20% - akcent 3 114 2" xfId="833"/>
    <cellStyle name="20% - akcent 3 115" xfId="834"/>
    <cellStyle name="20% - akcent 3 115 2" xfId="835"/>
    <cellStyle name="20% - akcent 3 116" xfId="836"/>
    <cellStyle name="20% - akcent 3 116 2" xfId="837"/>
    <cellStyle name="20% - akcent 3 117" xfId="838"/>
    <cellStyle name="20% - akcent 3 117 2" xfId="839"/>
    <cellStyle name="20% - akcent 3 118" xfId="840"/>
    <cellStyle name="20% - akcent 3 118 2" xfId="841"/>
    <cellStyle name="20% - akcent 3 119" xfId="842"/>
    <cellStyle name="20% - akcent 3 119 2" xfId="843"/>
    <cellStyle name="20% - akcent 3 12" xfId="844"/>
    <cellStyle name="20% - akcent 3 120" xfId="845"/>
    <cellStyle name="20% - akcent 3 121" xfId="846"/>
    <cellStyle name="20% - akcent 3 13" xfId="847"/>
    <cellStyle name="20% - akcent 3 14" xfId="848"/>
    <cellStyle name="20% - akcent 3 15" xfId="849"/>
    <cellStyle name="20% - akcent 3 16" xfId="850"/>
    <cellStyle name="20% - akcent 3 17" xfId="851"/>
    <cellStyle name="20% - akcent 3 18" xfId="852"/>
    <cellStyle name="20% - akcent 3 19" xfId="853"/>
    <cellStyle name="20% - akcent 3 2" xfId="854"/>
    <cellStyle name="20% - akcent 3 2 10" xfId="855"/>
    <cellStyle name="20% - akcent 3 2 10 2" xfId="856"/>
    <cellStyle name="20% - akcent 3 2 10 3" xfId="857"/>
    <cellStyle name="20% - akcent 3 2 10 4" xfId="858"/>
    <cellStyle name="20% - akcent 3 2 10 5" xfId="859"/>
    <cellStyle name="20% - akcent 3 2 10 6" xfId="860"/>
    <cellStyle name="20% - akcent 3 2 11" xfId="861"/>
    <cellStyle name="20% - akcent 3 2 11 2" xfId="862"/>
    <cellStyle name="20% - akcent 3 2 11 3" xfId="863"/>
    <cellStyle name="20% - akcent 3 2 11 4" xfId="864"/>
    <cellStyle name="20% - akcent 3 2 11 5" xfId="865"/>
    <cellStyle name="20% - akcent 3 2 11 6" xfId="866"/>
    <cellStyle name="20% - akcent 3 2 12" xfId="867"/>
    <cellStyle name="20% - akcent 3 2 12 2" xfId="868"/>
    <cellStyle name="20% - akcent 3 2 12 3" xfId="869"/>
    <cellStyle name="20% - akcent 3 2 12 4" xfId="870"/>
    <cellStyle name="20% - akcent 3 2 12 5" xfId="871"/>
    <cellStyle name="20% - akcent 3 2 12 6" xfId="872"/>
    <cellStyle name="20% - akcent 3 2 13" xfId="873"/>
    <cellStyle name="20% - akcent 3 2 13 2" xfId="874"/>
    <cellStyle name="20% - akcent 3 2 13 3" xfId="875"/>
    <cellStyle name="20% - akcent 3 2 13 4" xfId="876"/>
    <cellStyle name="20% - akcent 3 2 13 5" xfId="877"/>
    <cellStyle name="20% - akcent 3 2 13 6" xfId="878"/>
    <cellStyle name="20% - akcent 3 2 14" xfId="879"/>
    <cellStyle name="20% - akcent 3 2 14 2" xfId="880"/>
    <cellStyle name="20% - akcent 3 2 14 3" xfId="881"/>
    <cellStyle name="20% - akcent 3 2 14 4" xfId="882"/>
    <cellStyle name="20% - akcent 3 2 14 5" xfId="883"/>
    <cellStyle name="20% - akcent 3 2 14 6" xfId="884"/>
    <cellStyle name="20% - akcent 3 2 15" xfId="885"/>
    <cellStyle name="20% - akcent 3 2 15 2" xfId="886"/>
    <cellStyle name="20% - akcent 3 2 15 3" xfId="887"/>
    <cellStyle name="20% - akcent 3 2 15 4" xfId="888"/>
    <cellStyle name="20% - akcent 3 2 15 5" xfId="889"/>
    <cellStyle name="20% - akcent 3 2 15 6" xfId="890"/>
    <cellStyle name="20% - akcent 3 2 16" xfId="891"/>
    <cellStyle name="20% - akcent 3 2 16 2" xfId="892"/>
    <cellStyle name="20% - akcent 3 2 16 3" xfId="893"/>
    <cellStyle name="20% - akcent 3 2 16 4" xfId="894"/>
    <cellStyle name="20% - akcent 3 2 16 5" xfId="895"/>
    <cellStyle name="20% - akcent 3 2 16 6" xfId="896"/>
    <cellStyle name="20% - akcent 3 2 17" xfId="897"/>
    <cellStyle name="20% - akcent 3 2 17 2" xfId="898"/>
    <cellStyle name="20% - akcent 3 2 17 3" xfId="899"/>
    <cellStyle name="20% - akcent 3 2 17 4" xfId="900"/>
    <cellStyle name="20% - akcent 3 2 17 5" xfId="901"/>
    <cellStyle name="20% - akcent 3 2 17 6" xfId="902"/>
    <cellStyle name="20% - akcent 3 2 18" xfId="903"/>
    <cellStyle name="20% - akcent 3 2 18 2" xfId="904"/>
    <cellStyle name="20% - akcent 3 2 18 3" xfId="905"/>
    <cellStyle name="20% - akcent 3 2 18 4" xfId="906"/>
    <cellStyle name="20% - akcent 3 2 18 5" xfId="907"/>
    <cellStyle name="20% - akcent 3 2 18 6" xfId="908"/>
    <cellStyle name="20% - akcent 3 2 19" xfId="909"/>
    <cellStyle name="20% - akcent 3 2 19 2" xfId="910"/>
    <cellStyle name="20% - akcent 3 2 19 3" xfId="911"/>
    <cellStyle name="20% - akcent 3 2 19 4" xfId="912"/>
    <cellStyle name="20% - akcent 3 2 19 5" xfId="913"/>
    <cellStyle name="20% - akcent 3 2 19 6" xfId="914"/>
    <cellStyle name="20% - akcent 3 2 2" xfId="915"/>
    <cellStyle name="20% - akcent 3 2 2 2" xfId="916"/>
    <cellStyle name="20% - akcent 3 2 2 3" xfId="917"/>
    <cellStyle name="20% - akcent 3 2 2 4" xfId="918"/>
    <cellStyle name="20% - akcent 3 2 2 5" xfId="919"/>
    <cellStyle name="20% - akcent 3 2 2 6" xfId="920"/>
    <cellStyle name="20% - akcent 3 2 2 7" xfId="921"/>
    <cellStyle name="20% - akcent 3 2 20" xfId="922"/>
    <cellStyle name="20% - akcent 3 2 20 2" xfId="923"/>
    <cellStyle name="20% - akcent 3 2 20 3" xfId="924"/>
    <cellStyle name="20% - akcent 3 2 20 4" xfId="925"/>
    <cellStyle name="20% - akcent 3 2 20 5" xfId="926"/>
    <cellStyle name="20% - akcent 3 2 20 6" xfId="927"/>
    <cellStyle name="20% - akcent 3 2 21" xfId="928"/>
    <cellStyle name="20% - akcent 3 2 21 2" xfId="929"/>
    <cellStyle name="20% - akcent 3 2 21 3" xfId="930"/>
    <cellStyle name="20% - akcent 3 2 21 4" xfId="931"/>
    <cellStyle name="20% - akcent 3 2 21 5" xfId="932"/>
    <cellStyle name="20% - akcent 3 2 21 6" xfId="933"/>
    <cellStyle name="20% - akcent 3 2 22" xfId="934"/>
    <cellStyle name="20% - akcent 3 2 22 2" xfId="935"/>
    <cellStyle name="20% - akcent 3 2 22 3" xfId="936"/>
    <cellStyle name="20% - akcent 3 2 22 4" xfId="937"/>
    <cellStyle name="20% - akcent 3 2 22 5" xfId="938"/>
    <cellStyle name="20% - akcent 3 2 22 6" xfId="939"/>
    <cellStyle name="20% - akcent 3 2 23" xfId="940"/>
    <cellStyle name="20% - akcent 3 2 23 2" xfId="941"/>
    <cellStyle name="20% - akcent 3 2 23 3" xfId="942"/>
    <cellStyle name="20% - akcent 3 2 23 4" xfId="943"/>
    <cellStyle name="20% - akcent 3 2 23 5" xfId="944"/>
    <cellStyle name="20% - akcent 3 2 23 6" xfId="945"/>
    <cellStyle name="20% - akcent 3 2 24" xfId="946"/>
    <cellStyle name="20% - akcent 3 2 24 2" xfId="947"/>
    <cellStyle name="20% - akcent 3 2 24 3" xfId="948"/>
    <cellStyle name="20% - akcent 3 2 24 4" xfId="949"/>
    <cellStyle name="20% - akcent 3 2 24 5" xfId="950"/>
    <cellStyle name="20% - akcent 3 2 24 6" xfId="951"/>
    <cellStyle name="20% - akcent 3 2 25" xfId="952"/>
    <cellStyle name="20% - akcent 3 2 25 2" xfId="953"/>
    <cellStyle name="20% - akcent 3 2 25 3" xfId="954"/>
    <cellStyle name="20% - akcent 3 2 25 4" xfId="955"/>
    <cellStyle name="20% - akcent 3 2 25 5" xfId="956"/>
    <cellStyle name="20% - akcent 3 2 25 6" xfId="957"/>
    <cellStyle name="20% - akcent 3 2 26" xfId="958"/>
    <cellStyle name="20% - akcent 3 2 26 2" xfId="959"/>
    <cellStyle name="20% - akcent 3 2 26 3" xfId="960"/>
    <cellStyle name="20% - akcent 3 2 26 4" xfId="961"/>
    <cellStyle name="20% - akcent 3 2 26 5" xfId="962"/>
    <cellStyle name="20% - akcent 3 2 26 6" xfId="963"/>
    <cellStyle name="20% - akcent 3 2 27" xfId="964"/>
    <cellStyle name="20% - akcent 3 2 27 2" xfId="965"/>
    <cellStyle name="20% - akcent 3 2 27 3" xfId="966"/>
    <cellStyle name="20% - akcent 3 2 27 4" xfId="967"/>
    <cellStyle name="20% - akcent 3 2 27 5" xfId="968"/>
    <cellStyle name="20% - akcent 3 2 27 6" xfId="969"/>
    <cellStyle name="20% - akcent 3 2 28" xfId="970"/>
    <cellStyle name="20% - akcent 3 2 28 2" xfId="971"/>
    <cellStyle name="20% - akcent 3 2 28 3" xfId="972"/>
    <cellStyle name="20% - akcent 3 2 28 4" xfId="973"/>
    <cellStyle name="20% - akcent 3 2 28 5" xfId="974"/>
    <cellStyle name="20% - akcent 3 2 28 6" xfId="975"/>
    <cellStyle name="20% - akcent 3 2 29" xfId="976"/>
    <cellStyle name="20% - akcent 3 2 29 2" xfId="977"/>
    <cellStyle name="20% - akcent 3 2 3" xfId="978"/>
    <cellStyle name="20% - akcent 3 2 3 2" xfId="979"/>
    <cellStyle name="20% - akcent 3 2 3 3" xfId="980"/>
    <cellStyle name="20% - akcent 3 2 3 4" xfId="981"/>
    <cellStyle name="20% - akcent 3 2 3 5" xfId="982"/>
    <cellStyle name="20% - akcent 3 2 3 6" xfId="983"/>
    <cellStyle name="20% - akcent 3 2 3 7" xfId="984"/>
    <cellStyle name="20% - akcent 3 2 30" xfId="985"/>
    <cellStyle name="20% - akcent 3 2 30 2" xfId="986"/>
    <cellStyle name="20% - akcent 3 2 31" xfId="987"/>
    <cellStyle name="20% - akcent 3 2 31 2" xfId="988"/>
    <cellStyle name="20% - akcent 3 2 32" xfId="989"/>
    <cellStyle name="20% - akcent 3 2 32 2" xfId="990"/>
    <cellStyle name="20% - akcent 3 2 33" xfId="991"/>
    <cellStyle name="20% - akcent 3 2 34" xfId="992"/>
    <cellStyle name="20% - akcent 3 2 35" xfId="993"/>
    <cellStyle name="20% - akcent 3 2 36" xfId="994"/>
    <cellStyle name="20% - akcent 3 2 37" xfId="995"/>
    <cellStyle name="20% - akcent 3 2 38" xfId="996"/>
    <cellStyle name="20% - akcent 3 2 39" xfId="997"/>
    <cellStyle name="20% - akcent 3 2 4" xfId="998"/>
    <cellStyle name="20% - akcent 3 2 4 2" xfId="999"/>
    <cellStyle name="20% - akcent 3 2 4 3" xfId="1000"/>
    <cellStyle name="20% - akcent 3 2 4 4" xfId="1001"/>
    <cellStyle name="20% - akcent 3 2 4 5" xfId="1002"/>
    <cellStyle name="20% - akcent 3 2 4 6" xfId="1003"/>
    <cellStyle name="20% - akcent 3 2 4 7" xfId="1004"/>
    <cellStyle name="20% - akcent 3 2 40" xfId="1005"/>
    <cellStyle name="20% - akcent 3 2 41" xfId="1006"/>
    <cellStyle name="20% - akcent 3 2 42" xfId="1007"/>
    <cellStyle name="20% - akcent 3 2 43" xfId="1008"/>
    <cellStyle name="20% - akcent 3 2 44" xfId="1009"/>
    <cellStyle name="20% - akcent 3 2 45" xfId="1010"/>
    <cellStyle name="20% - akcent 3 2 46" xfId="1011"/>
    <cellStyle name="20% - akcent 3 2 47" xfId="1012"/>
    <cellStyle name="20% - akcent 3 2 48" xfId="1013"/>
    <cellStyle name="20% - akcent 3 2 49" xfId="1014"/>
    <cellStyle name="20% - akcent 3 2 5" xfId="1015"/>
    <cellStyle name="20% - akcent 3 2 5 2" xfId="1016"/>
    <cellStyle name="20% - akcent 3 2 5 3" xfId="1017"/>
    <cellStyle name="20% - akcent 3 2 5 4" xfId="1018"/>
    <cellStyle name="20% - akcent 3 2 5 5" xfId="1019"/>
    <cellStyle name="20% - akcent 3 2 5 6" xfId="1020"/>
    <cellStyle name="20% - akcent 3 2 50" xfId="1021"/>
    <cellStyle name="20% - akcent 3 2 51" xfId="1022"/>
    <cellStyle name="20% - akcent 3 2 6" xfId="1023"/>
    <cellStyle name="20% - akcent 3 2 6 2" xfId="1024"/>
    <cellStyle name="20% - akcent 3 2 6 3" xfId="1025"/>
    <cellStyle name="20% - akcent 3 2 6 4" xfId="1026"/>
    <cellStyle name="20% - akcent 3 2 6 5" xfId="1027"/>
    <cellStyle name="20% - akcent 3 2 6 6" xfId="1028"/>
    <cellStyle name="20% - akcent 3 2 7" xfId="1029"/>
    <cellStyle name="20% - akcent 3 2 7 2" xfId="1030"/>
    <cellStyle name="20% - akcent 3 2 7 3" xfId="1031"/>
    <cellStyle name="20% - akcent 3 2 7 4" xfId="1032"/>
    <cellStyle name="20% - akcent 3 2 7 5" xfId="1033"/>
    <cellStyle name="20% - akcent 3 2 7 6" xfId="1034"/>
    <cellStyle name="20% - akcent 3 2 8" xfId="1035"/>
    <cellStyle name="20% - akcent 3 2 8 2" xfId="1036"/>
    <cellStyle name="20% - akcent 3 2 8 3" xfId="1037"/>
    <cellStyle name="20% - akcent 3 2 8 4" xfId="1038"/>
    <cellStyle name="20% - akcent 3 2 8 5" xfId="1039"/>
    <cellStyle name="20% - akcent 3 2 8 6" xfId="1040"/>
    <cellStyle name="20% - akcent 3 2 9" xfId="1041"/>
    <cellStyle name="20% - akcent 3 2 9 2" xfId="1042"/>
    <cellStyle name="20% - akcent 3 2 9 3" xfId="1043"/>
    <cellStyle name="20% - akcent 3 2 9 4" xfId="1044"/>
    <cellStyle name="20% - akcent 3 2 9 5" xfId="1045"/>
    <cellStyle name="20% - akcent 3 2 9 6" xfId="1046"/>
    <cellStyle name="20% - akcent 3 20" xfId="1047"/>
    <cellStyle name="20% - akcent 3 21" xfId="1048"/>
    <cellStyle name="20% - akcent 3 22" xfId="1049"/>
    <cellStyle name="20% - akcent 3 23" xfId="1050"/>
    <cellStyle name="20% - akcent 3 24" xfId="1051"/>
    <cellStyle name="20% - akcent 3 25" xfId="1052"/>
    <cellStyle name="20% - akcent 3 26" xfId="1053"/>
    <cellStyle name="20% - akcent 3 27" xfId="1054"/>
    <cellStyle name="20% - akcent 3 28" xfId="1055"/>
    <cellStyle name="20% - akcent 3 29" xfId="1056"/>
    <cellStyle name="20% - akcent 3 3" xfId="1057"/>
    <cellStyle name="20% - akcent 3 3 2" xfId="1058"/>
    <cellStyle name="20% - akcent 3 3 2 2" xfId="1059"/>
    <cellStyle name="20% - akcent 3 3 3" xfId="1060"/>
    <cellStyle name="20% - akcent 3 3 3 2" xfId="1061"/>
    <cellStyle name="20% - akcent 3 3 4" xfId="1062"/>
    <cellStyle name="20% - akcent 3 3 4 2" xfId="1063"/>
    <cellStyle name="20% - akcent 3 3 5" xfId="1064"/>
    <cellStyle name="20% - akcent 3 3 6" xfId="1065"/>
    <cellStyle name="20% - akcent 3 3 7" xfId="1066"/>
    <cellStyle name="20% - akcent 3 3 8" xfId="1067"/>
    <cellStyle name="20% - akcent 3 30" xfId="1068"/>
    <cellStyle name="20% - akcent 3 30 2" xfId="1069"/>
    <cellStyle name="20% - akcent 3 31" xfId="1070"/>
    <cellStyle name="20% - akcent 3 31 2" xfId="1071"/>
    <cellStyle name="20% - akcent 3 32" xfId="1072"/>
    <cellStyle name="20% - akcent 3 32 2" xfId="1073"/>
    <cellStyle name="20% - akcent 3 33" xfId="1074"/>
    <cellStyle name="20% - akcent 3 33 2" xfId="1075"/>
    <cellStyle name="20% - akcent 3 34" xfId="1076"/>
    <cellStyle name="20% - akcent 3 34 2" xfId="1077"/>
    <cellStyle name="20% - akcent 3 35" xfId="1078"/>
    <cellStyle name="20% - akcent 3 35 2" xfId="1079"/>
    <cellStyle name="20% - akcent 3 36" xfId="1080"/>
    <cellStyle name="20% - akcent 3 36 2" xfId="1081"/>
    <cellStyle name="20% - akcent 3 37" xfId="1082"/>
    <cellStyle name="20% - akcent 3 37 2" xfId="1083"/>
    <cellStyle name="20% - akcent 3 38" xfId="1084"/>
    <cellStyle name="20% - akcent 3 38 2" xfId="1085"/>
    <cellStyle name="20% - akcent 3 39" xfId="1086"/>
    <cellStyle name="20% - akcent 3 39 2" xfId="1087"/>
    <cellStyle name="20% - akcent 3 4" xfId="1088"/>
    <cellStyle name="20% - akcent 3 4 2" xfId="1089"/>
    <cellStyle name="20% - akcent 3 4 2 2" xfId="1090"/>
    <cellStyle name="20% - akcent 3 4 3" xfId="1091"/>
    <cellStyle name="20% - akcent 3 4 3 2" xfId="1092"/>
    <cellStyle name="20% - akcent 3 4 4" xfId="1093"/>
    <cellStyle name="20% - akcent 3 4 4 2" xfId="1094"/>
    <cellStyle name="20% - akcent 3 4 5" xfId="1095"/>
    <cellStyle name="20% - akcent 3 4 6" xfId="1096"/>
    <cellStyle name="20% - akcent 3 4 7" xfId="1097"/>
    <cellStyle name="20% - akcent 3 4 8" xfId="1098"/>
    <cellStyle name="20% - akcent 3 40" xfId="1099"/>
    <cellStyle name="20% - akcent 3 40 2" xfId="1100"/>
    <cellStyle name="20% - akcent 3 41" xfId="1101"/>
    <cellStyle name="20% - akcent 3 41 2" xfId="1102"/>
    <cellStyle name="20% - akcent 3 42" xfId="1103"/>
    <cellStyle name="20% - akcent 3 42 2" xfId="1104"/>
    <cellStyle name="20% - akcent 3 43" xfId="1105"/>
    <cellStyle name="20% - akcent 3 43 2" xfId="1106"/>
    <cellStyle name="20% - akcent 3 44" xfId="1107"/>
    <cellStyle name="20% - akcent 3 44 2" xfId="1108"/>
    <cellStyle name="20% - akcent 3 45" xfId="1109"/>
    <cellStyle name="20% - akcent 3 45 2" xfId="1110"/>
    <cellStyle name="20% - akcent 3 46" xfId="1111"/>
    <cellStyle name="20% - akcent 3 46 2" xfId="1112"/>
    <cellStyle name="20% - akcent 3 47" xfId="1113"/>
    <cellStyle name="20% - akcent 3 47 2" xfId="1114"/>
    <cellStyle name="20% - akcent 3 48" xfId="1115"/>
    <cellStyle name="20% - akcent 3 48 2" xfId="1116"/>
    <cellStyle name="20% - akcent 3 49" xfId="1117"/>
    <cellStyle name="20% - akcent 3 49 2" xfId="1118"/>
    <cellStyle name="20% - akcent 3 5" xfId="1119"/>
    <cellStyle name="20% - akcent 3 5 2" xfId="1120"/>
    <cellStyle name="20% - akcent 3 5 3" xfId="1121"/>
    <cellStyle name="20% - akcent 3 50" xfId="1122"/>
    <cellStyle name="20% - akcent 3 50 2" xfId="1123"/>
    <cellStyle name="20% - akcent 3 51" xfId="1124"/>
    <cellStyle name="20% - akcent 3 51 2" xfId="1125"/>
    <cellStyle name="20% - akcent 3 52" xfId="1126"/>
    <cellStyle name="20% - akcent 3 52 2" xfId="1127"/>
    <cellStyle name="20% - akcent 3 53" xfId="1128"/>
    <cellStyle name="20% - akcent 3 53 2" xfId="1129"/>
    <cellStyle name="20% - akcent 3 54" xfId="1130"/>
    <cellStyle name="20% - akcent 3 54 2" xfId="1131"/>
    <cellStyle name="20% - akcent 3 55" xfId="1132"/>
    <cellStyle name="20% - akcent 3 55 2" xfId="1133"/>
    <cellStyle name="20% - akcent 3 56" xfId="1134"/>
    <cellStyle name="20% - akcent 3 56 2" xfId="1135"/>
    <cellStyle name="20% - akcent 3 57" xfId="1136"/>
    <cellStyle name="20% - akcent 3 57 2" xfId="1137"/>
    <cellStyle name="20% - akcent 3 58" xfId="1138"/>
    <cellStyle name="20% - akcent 3 58 2" xfId="1139"/>
    <cellStyle name="20% - akcent 3 59" xfId="1140"/>
    <cellStyle name="20% - akcent 3 59 2" xfId="1141"/>
    <cellStyle name="20% - akcent 3 6" xfId="1142"/>
    <cellStyle name="20% - akcent 3 60" xfId="1143"/>
    <cellStyle name="20% - akcent 3 60 2" xfId="1144"/>
    <cellStyle name="20% - akcent 3 61" xfId="1145"/>
    <cellStyle name="20% - akcent 3 61 2" xfId="1146"/>
    <cellStyle name="20% - akcent 3 62" xfId="1147"/>
    <cellStyle name="20% - akcent 3 62 2" xfId="1148"/>
    <cellStyle name="20% - akcent 3 63" xfId="1149"/>
    <cellStyle name="20% - akcent 3 63 2" xfId="1150"/>
    <cellStyle name="20% - akcent 3 64" xfId="1151"/>
    <cellStyle name="20% - akcent 3 64 2" xfId="1152"/>
    <cellStyle name="20% - akcent 3 65" xfId="1153"/>
    <cellStyle name="20% - akcent 3 65 2" xfId="1154"/>
    <cellStyle name="20% - akcent 3 66" xfId="1155"/>
    <cellStyle name="20% - akcent 3 66 2" xfId="1156"/>
    <cellStyle name="20% - akcent 3 67" xfId="1157"/>
    <cellStyle name="20% - akcent 3 67 2" xfId="1158"/>
    <cellStyle name="20% - akcent 3 68" xfId="1159"/>
    <cellStyle name="20% - akcent 3 68 2" xfId="1160"/>
    <cellStyle name="20% - akcent 3 69" xfId="1161"/>
    <cellStyle name="20% - akcent 3 69 2" xfId="1162"/>
    <cellStyle name="20% - akcent 3 7" xfId="1163"/>
    <cellStyle name="20% - akcent 3 70" xfId="1164"/>
    <cellStyle name="20% - akcent 3 70 2" xfId="1165"/>
    <cellStyle name="20% - akcent 3 71" xfId="1166"/>
    <cellStyle name="20% - akcent 3 71 2" xfId="1167"/>
    <cellStyle name="20% - akcent 3 72" xfId="1168"/>
    <cellStyle name="20% - akcent 3 72 2" xfId="1169"/>
    <cellStyle name="20% - akcent 3 73" xfId="1170"/>
    <cellStyle name="20% - akcent 3 73 2" xfId="1171"/>
    <cellStyle name="20% - akcent 3 74" xfId="1172"/>
    <cellStyle name="20% - akcent 3 74 2" xfId="1173"/>
    <cellStyle name="20% - akcent 3 75" xfId="1174"/>
    <cellStyle name="20% - akcent 3 75 2" xfId="1175"/>
    <cellStyle name="20% - akcent 3 76" xfId="1176"/>
    <cellStyle name="20% - akcent 3 76 2" xfId="1177"/>
    <cellStyle name="20% - akcent 3 77" xfId="1178"/>
    <cellStyle name="20% - akcent 3 77 2" xfId="1179"/>
    <cellStyle name="20% - akcent 3 78" xfId="1180"/>
    <cellStyle name="20% - akcent 3 78 2" xfId="1181"/>
    <cellStyle name="20% - akcent 3 79" xfId="1182"/>
    <cellStyle name="20% - akcent 3 79 2" xfId="1183"/>
    <cellStyle name="20% - akcent 3 8" xfId="1184"/>
    <cellStyle name="20% - akcent 3 80" xfId="1185"/>
    <cellStyle name="20% - akcent 3 80 2" xfId="1186"/>
    <cellStyle name="20% - akcent 3 81" xfId="1187"/>
    <cellStyle name="20% - akcent 3 81 2" xfId="1188"/>
    <cellStyle name="20% - akcent 3 82" xfId="1189"/>
    <cellStyle name="20% - akcent 3 82 2" xfId="1190"/>
    <cellStyle name="20% - akcent 3 83" xfId="1191"/>
    <cellStyle name="20% - akcent 3 83 2" xfId="1192"/>
    <cellStyle name="20% - akcent 3 84" xfId="1193"/>
    <cellStyle name="20% - akcent 3 84 2" xfId="1194"/>
    <cellStyle name="20% - akcent 3 85" xfId="1195"/>
    <cellStyle name="20% - akcent 3 85 2" xfId="1196"/>
    <cellStyle name="20% - akcent 3 86" xfId="1197"/>
    <cellStyle name="20% - akcent 3 86 2" xfId="1198"/>
    <cellStyle name="20% - akcent 3 87" xfId="1199"/>
    <cellStyle name="20% - akcent 3 87 2" xfId="1200"/>
    <cellStyle name="20% - akcent 3 88" xfId="1201"/>
    <cellStyle name="20% - akcent 3 88 2" xfId="1202"/>
    <cellStyle name="20% - akcent 3 89" xfId="1203"/>
    <cellStyle name="20% - akcent 3 89 2" xfId="1204"/>
    <cellStyle name="20% - akcent 3 9" xfId="1205"/>
    <cellStyle name="20% - akcent 3 90" xfId="1206"/>
    <cellStyle name="20% - akcent 3 90 2" xfId="1207"/>
    <cellStyle name="20% - akcent 3 91" xfId="1208"/>
    <cellStyle name="20% - akcent 3 91 2" xfId="1209"/>
    <cellStyle name="20% - akcent 3 92" xfId="1210"/>
    <cellStyle name="20% - akcent 3 92 2" xfId="1211"/>
    <cellStyle name="20% - akcent 3 93" xfId="1212"/>
    <cellStyle name="20% - akcent 3 93 2" xfId="1213"/>
    <cellStyle name="20% - akcent 3 94" xfId="1214"/>
    <cellStyle name="20% - akcent 3 94 2" xfId="1215"/>
    <cellStyle name="20% - akcent 3 95" xfId="1216"/>
    <cellStyle name="20% - akcent 3 95 2" xfId="1217"/>
    <cellStyle name="20% - akcent 3 96" xfId="1218"/>
    <cellStyle name="20% - akcent 3 96 2" xfId="1219"/>
    <cellStyle name="20% - akcent 3 97" xfId="1220"/>
    <cellStyle name="20% - akcent 3 97 2" xfId="1221"/>
    <cellStyle name="20% - akcent 3 98" xfId="1222"/>
    <cellStyle name="20% - akcent 3 98 2" xfId="1223"/>
    <cellStyle name="20% - akcent 3 99" xfId="1224"/>
    <cellStyle name="20% - akcent 3 99 2" xfId="1225"/>
    <cellStyle name="20% - akcent 4 10" xfId="1226"/>
    <cellStyle name="20% - akcent 4 100" xfId="1227"/>
    <cellStyle name="20% - akcent 4 100 2" xfId="1228"/>
    <cellStyle name="20% - akcent 4 101" xfId="1229"/>
    <cellStyle name="20% - akcent 4 101 2" xfId="1230"/>
    <cellStyle name="20% - akcent 4 102" xfId="1231"/>
    <cellStyle name="20% - akcent 4 102 2" xfId="1232"/>
    <cellStyle name="20% - akcent 4 103" xfId="1233"/>
    <cellStyle name="20% - akcent 4 103 2" xfId="1234"/>
    <cellStyle name="20% - akcent 4 104" xfId="1235"/>
    <cellStyle name="20% - akcent 4 104 2" xfId="1236"/>
    <cellStyle name="20% - akcent 4 105" xfId="1237"/>
    <cellStyle name="20% - akcent 4 105 2" xfId="1238"/>
    <cellStyle name="20% - akcent 4 106" xfId="1239"/>
    <cellStyle name="20% - akcent 4 106 2" xfId="1240"/>
    <cellStyle name="20% - akcent 4 107" xfId="1241"/>
    <cellStyle name="20% - akcent 4 107 2" xfId="1242"/>
    <cellStyle name="20% - akcent 4 108" xfId="1243"/>
    <cellStyle name="20% - akcent 4 108 2" xfId="1244"/>
    <cellStyle name="20% - akcent 4 109" xfId="1245"/>
    <cellStyle name="20% - akcent 4 109 2" xfId="1246"/>
    <cellStyle name="20% - akcent 4 11" xfId="1247"/>
    <cellStyle name="20% - akcent 4 110" xfId="1248"/>
    <cellStyle name="20% - akcent 4 110 2" xfId="1249"/>
    <cellStyle name="20% - akcent 4 111" xfId="1250"/>
    <cellStyle name="20% - akcent 4 111 2" xfId="1251"/>
    <cellStyle name="20% - akcent 4 112" xfId="1252"/>
    <cellStyle name="20% - akcent 4 112 2" xfId="1253"/>
    <cellStyle name="20% - akcent 4 113" xfId="1254"/>
    <cellStyle name="20% - akcent 4 113 2" xfId="1255"/>
    <cellStyle name="20% - akcent 4 114" xfId="1256"/>
    <cellStyle name="20% - akcent 4 114 2" xfId="1257"/>
    <cellStyle name="20% - akcent 4 115" xfId="1258"/>
    <cellStyle name="20% - akcent 4 115 2" xfId="1259"/>
    <cellStyle name="20% - akcent 4 116" xfId="1260"/>
    <cellStyle name="20% - akcent 4 116 2" xfId="1261"/>
    <cellStyle name="20% - akcent 4 117" xfId="1262"/>
    <cellStyle name="20% - akcent 4 117 2" xfId="1263"/>
    <cellStyle name="20% - akcent 4 118" xfId="1264"/>
    <cellStyle name="20% - akcent 4 118 2" xfId="1265"/>
    <cellStyle name="20% - akcent 4 119" xfId="1266"/>
    <cellStyle name="20% - akcent 4 119 2" xfId="1267"/>
    <cellStyle name="20% - akcent 4 12" xfId="1268"/>
    <cellStyle name="20% - akcent 4 120" xfId="1269"/>
    <cellStyle name="20% - akcent 4 121" xfId="1270"/>
    <cellStyle name="20% - akcent 4 13" xfId="1271"/>
    <cellStyle name="20% - akcent 4 14" xfId="1272"/>
    <cellStyle name="20% - akcent 4 15" xfId="1273"/>
    <cellStyle name="20% - akcent 4 16" xfId="1274"/>
    <cellStyle name="20% - akcent 4 17" xfId="1275"/>
    <cellStyle name="20% - akcent 4 18" xfId="1276"/>
    <cellStyle name="20% - akcent 4 19" xfId="1277"/>
    <cellStyle name="20% - akcent 4 2" xfId="1278"/>
    <cellStyle name="20% - akcent 4 2 10" xfId="1279"/>
    <cellStyle name="20% - akcent 4 2 10 2" xfId="1280"/>
    <cellStyle name="20% - akcent 4 2 10 3" xfId="1281"/>
    <cellStyle name="20% - akcent 4 2 10 4" xfId="1282"/>
    <cellStyle name="20% - akcent 4 2 10 5" xfId="1283"/>
    <cellStyle name="20% - akcent 4 2 10 6" xfId="1284"/>
    <cellStyle name="20% - akcent 4 2 11" xfId="1285"/>
    <cellStyle name="20% - akcent 4 2 11 2" xfId="1286"/>
    <cellStyle name="20% - akcent 4 2 11 3" xfId="1287"/>
    <cellStyle name="20% - akcent 4 2 11 4" xfId="1288"/>
    <cellStyle name="20% - akcent 4 2 11 5" xfId="1289"/>
    <cellStyle name="20% - akcent 4 2 11 6" xfId="1290"/>
    <cellStyle name="20% - akcent 4 2 12" xfId="1291"/>
    <cellStyle name="20% - akcent 4 2 12 2" xfId="1292"/>
    <cellStyle name="20% - akcent 4 2 12 3" xfId="1293"/>
    <cellStyle name="20% - akcent 4 2 12 4" xfId="1294"/>
    <cellStyle name="20% - akcent 4 2 12 5" xfId="1295"/>
    <cellStyle name="20% - akcent 4 2 12 6" xfId="1296"/>
    <cellStyle name="20% - akcent 4 2 13" xfId="1297"/>
    <cellStyle name="20% - akcent 4 2 13 2" xfId="1298"/>
    <cellStyle name="20% - akcent 4 2 13 3" xfId="1299"/>
    <cellStyle name="20% - akcent 4 2 13 4" xfId="1300"/>
    <cellStyle name="20% - akcent 4 2 13 5" xfId="1301"/>
    <cellStyle name="20% - akcent 4 2 13 6" xfId="1302"/>
    <cellStyle name="20% - akcent 4 2 14" xfId="1303"/>
    <cellStyle name="20% - akcent 4 2 14 2" xfId="1304"/>
    <cellStyle name="20% - akcent 4 2 14 3" xfId="1305"/>
    <cellStyle name="20% - akcent 4 2 14 4" xfId="1306"/>
    <cellStyle name="20% - akcent 4 2 14 5" xfId="1307"/>
    <cellStyle name="20% - akcent 4 2 14 6" xfId="1308"/>
    <cellStyle name="20% - akcent 4 2 15" xfId="1309"/>
    <cellStyle name="20% - akcent 4 2 15 2" xfId="1310"/>
    <cellStyle name="20% - akcent 4 2 15 3" xfId="1311"/>
    <cellStyle name="20% - akcent 4 2 15 4" xfId="1312"/>
    <cellStyle name="20% - akcent 4 2 15 5" xfId="1313"/>
    <cellStyle name="20% - akcent 4 2 15 6" xfId="1314"/>
    <cellStyle name="20% - akcent 4 2 16" xfId="1315"/>
    <cellStyle name="20% - akcent 4 2 16 2" xfId="1316"/>
    <cellStyle name="20% - akcent 4 2 16 3" xfId="1317"/>
    <cellStyle name="20% - akcent 4 2 16 4" xfId="1318"/>
    <cellStyle name="20% - akcent 4 2 16 5" xfId="1319"/>
    <cellStyle name="20% - akcent 4 2 16 6" xfId="1320"/>
    <cellStyle name="20% - akcent 4 2 17" xfId="1321"/>
    <cellStyle name="20% - akcent 4 2 17 2" xfId="1322"/>
    <cellStyle name="20% - akcent 4 2 17 3" xfId="1323"/>
    <cellStyle name="20% - akcent 4 2 17 4" xfId="1324"/>
    <cellStyle name="20% - akcent 4 2 17 5" xfId="1325"/>
    <cellStyle name="20% - akcent 4 2 17 6" xfId="1326"/>
    <cellStyle name="20% - akcent 4 2 18" xfId="1327"/>
    <cellStyle name="20% - akcent 4 2 18 2" xfId="1328"/>
    <cellStyle name="20% - akcent 4 2 18 3" xfId="1329"/>
    <cellStyle name="20% - akcent 4 2 18 4" xfId="1330"/>
    <cellStyle name="20% - akcent 4 2 18 5" xfId="1331"/>
    <cellStyle name="20% - akcent 4 2 18 6" xfId="1332"/>
    <cellStyle name="20% - akcent 4 2 19" xfId="1333"/>
    <cellStyle name="20% - akcent 4 2 19 2" xfId="1334"/>
    <cellStyle name="20% - akcent 4 2 19 3" xfId="1335"/>
    <cellStyle name="20% - akcent 4 2 19 4" xfId="1336"/>
    <cellStyle name="20% - akcent 4 2 19 5" xfId="1337"/>
    <cellStyle name="20% - akcent 4 2 19 6" xfId="1338"/>
    <cellStyle name="20% - akcent 4 2 2" xfId="1339"/>
    <cellStyle name="20% - akcent 4 2 2 2" xfId="1340"/>
    <cellStyle name="20% - akcent 4 2 2 3" xfId="1341"/>
    <cellStyle name="20% - akcent 4 2 2 4" xfId="1342"/>
    <cellStyle name="20% - akcent 4 2 2 5" xfId="1343"/>
    <cellStyle name="20% - akcent 4 2 2 6" xfId="1344"/>
    <cellStyle name="20% - akcent 4 2 2 7" xfId="1345"/>
    <cellStyle name="20% - akcent 4 2 20" xfId="1346"/>
    <cellStyle name="20% - akcent 4 2 20 2" xfId="1347"/>
    <cellStyle name="20% - akcent 4 2 20 3" xfId="1348"/>
    <cellStyle name="20% - akcent 4 2 20 4" xfId="1349"/>
    <cellStyle name="20% - akcent 4 2 20 5" xfId="1350"/>
    <cellStyle name="20% - akcent 4 2 20 6" xfId="1351"/>
    <cellStyle name="20% - akcent 4 2 21" xfId="1352"/>
    <cellStyle name="20% - akcent 4 2 21 2" xfId="1353"/>
    <cellStyle name="20% - akcent 4 2 21 3" xfId="1354"/>
    <cellStyle name="20% - akcent 4 2 21 4" xfId="1355"/>
    <cellStyle name="20% - akcent 4 2 21 5" xfId="1356"/>
    <cellStyle name="20% - akcent 4 2 21 6" xfId="1357"/>
    <cellStyle name="20% - akcent 4 2 22" xfId="1358"/>
    <cellStyle name="20% - akcent 4 2 22 2" xfId="1359"/>
    <cellStyle name="20% - akcent 4 2 22 3" xfId="1360"/>
    <cellStyle name="20% - akcent 4 2 22 4" xfId="1361"/>
    <cellStyle name="20% - akcent 4 2 22 5" xfId="1362"/>
    <cellStyle name="20% - akcent 4 2 22 6" xfId="1363"/>
    <cellStyle name="20% - akcent 4 2 23" xfId="1364"/>
    <cellStyle name="20% - akcent 4 2 23 2" xfId="1365"/>
    <cellStyle name="20% - akcent 4 2 23 3" xfId="1366"/>
    <cellStyle name="20% - akcent 4 2 23 4" xfId="1367"/>
    <cellStyle name="20% - akcent 4 2 23 5" xfId="1368"/>
    <cellStyle name="20% - akcent 4 2 23 6" xfId="1369"/>
    <cellStyle name="20% - akcent 4 2 24" xfId="1370"/>
    <cellStyle name="20% - akcent 4 2 24 2" xfId="1371"/>
    <cellStyle name="20% - akcent 4 2 24 3" xfId="1372"/>
    <cellStyle name="20% - akcent 4 2 24 4" xfId="1373"/>
    <cellStyle name="20% - akcent 4 2 24 5" xfId="1374"/>
    <cellStyle name="20% - akcent 4 2 24 6" xfId="1375"/>
    <cellStyle name="20% - akcent 4 2 25" xfId="1376"/>
    <cellStyle name="20% - akcent 4 2 25 2" xfId="1377"/>
    <cellStyle name="20% - akcent 4 2 25 3" xfId="1378"/>
    <cellStyle name="20% - akcent 4 2 25 4" xfId="1379"/>
    <cellStyle name="20% - akcent 4 2 25 5" xfId="1380"/>
    <cellStyle name="20% - akcent 4 2 25 6" xfId="1381"/>
    <cellStyle name="20% - akcent 4 2 26" xfId="1382"/>
    <cellStyle name="20% - akcent 4 2 26 2" xfId="1383"/>
    <cellStyle name="20% - akcent 4 2 26 3" xfId="1384"/>
    <cellStyle name="20% - akcent 4 2 26 4" xfId="1385"/>
    <cellStyle name="20% - akcent 4 2 26 5" xfId="1386"/>
    <cellStyle name="20% - akcent 4 2 26 6" xfId="1387"/>
    <cellStyle name="20% - akcent 4 2 27" xfId="1388"/>
    <cellStyle name="20% - akcent 4 2 27 2" xfId="1389"/>
    <cellStyle name="20% - akcent 4 2 27 3" xfId="1390"/>
    <cellStyle name="20% - akcent 4 2 27 4" xfId="1391"/>
    <cellStyle name="20% - akcent 4 2 27 5" xfId="1392"/>
    <cellStyle name="20% - akcent 4 2 27 6" xfId="1393"/>
    <cellStyle name="20% - akcent 4 2 28" xfId="1394"/>
    <cellStyle name="20% - akcent 4 2 28 2" xfId="1395"/>
    <cellStyle name="20% - akcent 4 2 28 3" xfId="1396"/>
    <cellStyle name="20% - akcent 4 2 28 4" xfId="1397"/>
    <cellStyle name="20% - akcent 4 2 28 5" xfId="1398"/>
    <cellStyle name="20% - akcent 4 2 28 6" xfId="1399"/>
    <cellStyle name="20% - akcent 4 2 29" xfId="1400"/>
    <cellStyle name="20% - akcent 4 2 29 2" xfId="1401"/>
    <cellStyle name="20% - akcent 4 2 3" xfId="1402"/>
    <cellStyle name="20% - akcent 4 2 3 2" xfId="1403"/>
    <cellStyle name="20% - akcent 4 2 3 3" xfId="1404"/>
    <cellStyle name="20% - akcent 4 2 3 4" xfId="1405"/>
    <cellStyle name="20% - akcent 4 2 3 5" xfId="1406"/>
    <cellStyle name="20% - akcent 4 2 3 6" xfId="1407"/>
    <cellStyle name="20% - akcent 4 2 3 7" xfId="1408"/>
    <cellStyle name="20% - akcent 4 2 30" xfId="1409"/>
    <cellStyle name="20% - akcent 4 2 30 2" xfId="1410"/>
    <cellStyle name="20% - akcent 4 2 31" xfId="1411"/>
    <cellStyle name="20% - akcent 4 2 31 2" xfId="1412"/>
    <cellStyle name="20% - akcent 4 2 32" xfId="1413"/>
    <cellStyle name="20% - akcent 4 2 32 2" xfId="1414"/>
    <cellStyle name="20% - akcent 4 2 33" xfId="1415"/>
    <cellStyle name="20% - akcent 4 2 34" xfId="1416"/>
    <cellStyle name="20% - akcent 4 2 35" xfId="1417"/>
    <cellStyle name="20% - akcent 4 2 36" xfId="1418"/>
    <cellStyle name="20% - akcent 4 2 37" xfId="1419"/>
    <cellStyle name="20% - akcent 4 2 38" xfId="1420"/>
    <cellStyle name="20% - akcent 4 2 39" xfId="1421"/>
    <cellStyle name="20% - akcent 4 2 4" xfId="1422"/>
    <cellStyle name="20% - akcent 4 2 4 2" xfId="1423"/>
    <cellStyle name="20% - akcent 4 2 4 3" xfId="1424"/>
    <cellStyle name="20% - akcent 4 2 4 4" xfId="1425"/>
    <cellStyle name="20% - akcent 4 2 4 5" xfId="1426"/>
    <cellStyle name="20% - akcent 4 2 4 6" xfId="1427"/>
    <cellStyle name="20% - akcent 4 2 4 7" xfId="1428"/>
    <cellStyle name="20% - akcent 4 2 40" xfId="1429"/>
    <cellStyle name="20% - akcent 4 2 41" xfId="1430"/>
    <cellStyle name="20% - akcent 4 2 42" xfId="1431"/>
    <cellStyle name="20% - akcent 4 2 43" xfId="1432"/>
    <cellStyle name="20% - akcent 4 2 44" xfId="1433"/>
    <cellStyle name="20% - akcent 4 2 45" xfId="1434"/>
    <cellStyle name="20% - akcent 4 2 46" xfId="1435"/>
    <cellStyle name="20% - akcent 4 2 47" xfId="1436"/>
    <cellStyle name="20% - akcent 4 2 48" xfId="1437"/>
    <cellStyle name="20% - akcent 4 2 49" xfId="1438"/>
    <cellStyle name="20% - akcent 4 2 5" xfId="1439"/>
    <cellStyle name="20% - akcent 4 2 5 2" xfId="1440"/>
    <cellStyle name="20% - akcent 4 2 5 3" xfId="1441"/>
    <cellStyle name="20% - akcent 4 2 5 4" xfId="1442"/>
    <cellStyle name="20% - akcent 4 2 5 5" xfId="1443"/>
    <cellStyle name="20% - akcent 4 2 5 6" xfId="1444"/>
    <cellStyle name="20% - akcent 4 2 50" xfId="1445"/>
    <cellStyle name="20% - akcent 4 2 51" xfId="1446"/>
    <cellStyle name="20% - akcent 4 2 6" xfId="1447"/>
    <cellStyle name="20% - akcent 4 2 6 2" xfId="1448"/>
    <cellStyle name="20% - akcent 4 2 6 3" xfId="1449"/>
    <cellStyle name="20% - akcent 4 2 6 4" xfId="1450"/>
    <cellStyle name="20% - akcent 4 2 6 5" xfId="1451"/>
    <cellStyle name="20% - akcent 4 2 6 6" xfId="1452"/>
    <cellStyle name="20% - akcent 4 2 7" xfId="1453"/>
    <cellStyle name="20% - akcent 4 2 7 2" xfId="1454"/>
    <cellStyle name="20% - akcent 4 2 7 3" xfId="1455"/>
    <cellStyle name="20% - akcent 4 2 7 4" xfId="1456"/>
    <cellStyle name="20% - akcent 4 2 7 5" xfId="1457"/>
    <cellStyle name="20% - akcent 4 2 7 6" xfId="1458"/>
    <cellStyle name="20% - akcent 4 2 8" xfId="1459"/>
    <cellStyle name="20% - akcent 4 2 8 2" xfId="1460"/>
    <cellStyle name="20% - akcent 4 2 8 3" xfId="1461"/>
    <cellStyle name="20% - akcent 4 2 8 4" xfId="1462"/>
    <cellStyle name="20% - akcent 4 2 8 5" xfId="1463"/>
    <cellStyle name="20% - akcent 4 2 8 6" xfId="1464"/>
    <cellStyle name="20% - akcent 4 2 9" xfId="1465"/>
    <cellStyle name="20% - akcent 4 2 9 2" xfId="1466"/>
    <cellStyle name="20% - akcent 4 2 9 3" xfId="1467"/>
    <cellStyle name="20% - akcent 4 2 9 4" xfId="1468"/>
    <cellStyle name="20% - akcent 4 2 9 5" xfId="1469"/>
    <cellStyle name="20% - akcent 4 2 9 6" xfId="1470"/>
    <cellStyle name="20% - akcent 4 20" xfId="1471"/>
    <cellStyle name="20% - akcent 4 21" xfId="1472"/>
    <cellStyle name="20% - akcent 4 22" xfId="1473"/>
    <cellStyle name="20% - akcent 4 23" xfId="1474"/>
    <cellStyle name="20% - akcent 4 24" xfId="1475"/>
    <cellStyle name="20% - akcent 4 25" xfId="1476"/>
    <cellStyle name="20% - akcent 4 26" xfId="1477"/>
    <cellStyle name="20% - akcent 4 27" xfId="1478"/>
    <cellStyle name="20% - akcent 4 28" xfId="1479"/>
    <cellStyle name="20% - akcent 4 29" xfId="1480"/>
    <cellStyle name="20% - akcent 4 3" xfId="1481"/>
    <cellStyle name="20% - akcent 4 3 2" xfId="1482"/>
    <cellStyle name="20% - akcent 4 3 2 2" xfId="1483"/>
    <cellStyle name="20% - akcent 4 3 3" xfId="1484"/>
    <cellStyle name="20% - akcent 4 3 3 2" xfId="1485"/>
    <cellStyle name="20% - akcent 4 3 4" xfId="1486"/>
    <cellStyle name="20% - akcent 4 3 4 2" xfId="1487"/>
    <cellStyle name="20% - akcent 4 3 5" xfId="1488"/>
    <cellStyle name="20% - akcent 4 3 6" xfId="1489"/>
    <cellStyle name="20% - akcent 4 3 7" xfId="1490"/>
    <cellStyle name="20% - akcent 4 3 8" xfId="1491"/>
    <cellStyle name="20% - akcent 4 30" xfId="1492"/>
    <cellStyle name="20% - akcent 4 30 2" xfId="1493"/>
    <cellStyle name="20% - akcent 4 31" xfId="1494"/>
    <cellStyle name="20% - akcent 4 31 2" xfId="1495"/>
    <cellStyle name="20% - akcent 4 32" xfId="1496"/>
    <cellStyle name="20% - akcent 4 32 2" xfId="1497"/>
    <cellStyle name="20% - akcent 4 33" xfId="1498"/>
    <cellStyle name="20% - akcent 4 33 2" xfId="1499"/>
    <cellStyle name="20% - akcent 4 34" xfId="1500"/>
    <cellStyle name="20% - akcent 4 34 2" xfId="1501"/>
    <cellStyle name="20% - akcent 4 35" xfId="1502"/>
    <cellStyle name="20% - akcent 4 35 2" xfId="1503"/>
    <cellStyle name="20% - akcent 4 36" xfId="1504"/>
    <cellStyle name="20% - akcent 4 36 2" xfId="1505"/>
    <cellStyle name="20% - akcent 4 37" xfId="1506"/>
    <cellStyle name="20% - akcent 4 37 2" xfId="1507"/>
    <cellStyle name="20% - akcent 4 38" xfId="1508"/>
    <cellStyle name="20% - akcent 4 38 2" xfId="1509"/>
    <cellStyle name="20% - akcent 4 39" xfId="1510"/>
    <cellStyle name="20% - akcent 4 39 2" xfId="1511"/>
    <cellStyle name="20% - akcent 4 4" xfId="1512"/>
    <cellStyle name="20% - akcent 4 4 2" xfId="1513"/>
    <cellStyle name="20% - akcent 4 4 2 2" xfId="1514"/>
    <cellStyle name="20% - akcent 4 4 3" xfId="1515"/>
    <cellStyle name="20% - akcent 4 4 3 2" xfId="1516"/>
    <cellStyle name="20% - akcent 4 4 4" xfId="1517"/>
    <cellStyle name="20% - akcent 4 4 4 2" xfId="1518"/>
    <cellStyle name="20% - akcent 4 4 5" xfId="1519"/>
    <cellStyle name="20% - akcent 4 4 6" xfId="1520"/>
    <cellStyle name="20% - akcent 4 4 7" xfId="1521"/>
    <cellStyle name="20% - akcent 4 4 8" xfId="1522"/>
    <cellStyle name="20% - akcent 4 40" xfId="1523"/>
    <cellStyle name="20% - akcent 4 40 2" xfId="1524"/>
    <cellStyle name="20% - akcent 4 41" xfId="1525"/>
    <cellStyle name="20% - akcent 4 41 2" xfId="1526"/>
    <cellStyle name="20% - akcent 4 42" xfId="1527"/>
    <cellStyle name="20% - akcent 4 42 2" xfId="1528"/>
    <cellStyle name="20% - akcent 4 43" xfId="1529"/>
    <cellStyle name="20% - akcent 4 43 2" xfId="1530"/>
    <cellStyle name="20% - akcent 4 44" xfId="1531"/>
    <cellStyle name="20% - akcent 4 44 2" xfId="1532"/>
    <cellStyle name="20% - akcent 4 45" xfId="1533"/>
    <cellStyle name="20% - akcent 4 45 2" xfId="1534"/>
    <cellStyle name="20% - akcent 4 46" xfId="1535"/>
    <cellStyle name="20% - akcent 4 46 2" xfId="1536"/>
    <cellStyle name="20% - akcent 4 47" xfId="1537"/>
    <cellStyle name="20% - akcent 4 47 2" xfId="1538"/>
    <cellStyle name="20% - akcent 4 48" xfId="1539"/>
    <cellStyle name="20% - akcent 4 48 2" xfId="1540"/>
    <cellStyle name="20% - akcent 4 49" xfId="1541"/>
    <cellStyle name="20% - akcent 4 49 2" xfId="1542"/>
    <cellStyle name="20% - akcent 4 5" xfId="1543"/>
    <cellStyle name="20% - akcent 4 5 2" xfId="1544"/>
    <cellStyle name="20% - akcent 4 5 3" xfId="1545"/>
    <cellStyle name="20% - akcent 4 50" xfId="1546"/>
    <cellStyle name="20% - akcent 4 50 2" xfId="1547"/>
    <cellStyle name="20% - akcent 4 51" xfId="1548"/>
    <cellStyle name="20% - akcent 4 51 2" xfId="1549"/>
    <cellStyle name="20% - akcent 4 52" xfId="1550"/>
    <cellStyle name="20% - akcent 4 52 2" xfId="1551"/>
    <cellStyle name="20% - akcent 4 53" xfId="1552"/>
    <cellStyle name="20% - akcent 4 53 2" xfId="1553"/>
    <cellStyle name="20% - akcent 4 54" xfId="1554"/>
    <cellStyle name="20% - akcent 4 54 2" xfId="1555"/>
    <cellStyle name="20% - akcent 4 55" xfId="1556"/>
    <cellStyle name="20% - akcent 4 55 2" xfId="1557"/>
    <cellStyle name="20% - akcent 4 56" xfId="1558"/>
    <cellStyle name="20% - akcent 4 56 2" xfId="1559"/>
    <cellStyle name="20% - akcent 4 57" xfId="1560"/>
    <cellStyle name="20% - akcent 4 57 2" xfId="1561"/>
    <cellStyle name="20% - akcent 4 58" xfId="1562"/>
    <cellStyle name="20% - akcent 4 58 2" xfId="1563"/>
    <cellStyle name="20% - akcent 4 59" xfId="1564"/>
    <cellStyle name="20% - akcent 4 59 2" xfId="1565"/>
    <cellStyle name="20% - akcent 4 6" xfId="1566"/>
    <cellStyle name="20% - akcent 4 60" xfId="1567"/>
    <cellStyle name="20% - akcent 4 60 2" xfId="1568"/>
    <cellStyle name="20% - akcent 4 61" xfId="1569"/>
    <cellStyle name="20% - akcent 4 61 2" xfId="1570"/>
    <cellStyle name="20% - akcent 4 62" xfId="1571"/>
    <cellStyle name="20% - akcent 4 62 2" xfId="1572"/>
    <cellStyle name="20% - akcent 4 63" xfId="1573"/>
    <cellStyle name="20% - akcent 4 63 2" xfId="1574"/>
    <cellStyle name="20% - akcent 4 64" xfId="1575"/>
    <cellStyle name="20% - akcent 4 64 2" xfId="1576"/>
    <cellStyle name="20% - akcent 4 65" xfId="1577"/>
    <cellStyle name="20% - akcent 4 65 2" xfId="1578"/>
    <cellStyle name="20% - akcent 4 66" xfId="1579"/>
    <cellStyle name="20% - akcent 4 66 2" xfId="1580"/>
    <cellStyle name="20% - akcent 4 67" xfId="1581"/>
    <cellStyle name="20% - akcent 4 67 2" xfId="1582"/>
    <cellStyle name="20% - akcent 4 68" xfId="1583"/>
    <cellStyle name="20% - akcent 4 68 2" xfId="1584"/>
    <cellStyle name="20% - akcent 4 69" xfId="1585"/>
    <cellStyle name="20% - akcent 4 69 2" xfId="1586"/>
    <cellStyle name="20% - akcent 4 7" xfId="1587"/>
    <cellStyle name="20% - akcent 4 70" xfId="1588"/>
    <cellStyle name="20% - akcent 4 70 2" xfId="1589"/>
    <cellStyle name="20% - akcent 4 71" xfId="1590"/>
    <cellStyle name="20% - akcent 4 71 2" xfId="1591"/>
    <cellStyle name="20% - akcent 4 72" xfId="1592"/>
    <cellStyle name="20% - akcent 4 72 2" xfId="1593"/>
    <cellStyle name="20% - akcent 4 73" xfId="1594"/>
    <cellStyle name="20% - akcent 4 73 2" xfId="1595"/>
    <cellStyle name="20% - akcent 4 74" xfId="1596"/>
    <cellStyle name="20% - akcent 4 74 2" xfId="1597"/>
    <cellStyle name="20% - akcent 4 75" xfId="1598"/>
    <cellStyle name="20% - akcent 4 75 2" xfId="1599"/>
    <cellStyle name="20% - akcent 4 76" xfId="1600"/>
    <cellStyle name="20% - akcent 4 76 2" xfId="1601"/>
    <cellStyle name="20% - akcent 4 77" xfId="1602"/>
    <cellStyle name="20% - akcent 4 77 2" xfId="1603"/>
    <cellStyle name="20% - akcent 4 78" xfId="1604"/>
    <cellStyle name="20% - akcent 4 78 2" xfId="1605"/>
    <cellStyle name="20% - akcent 4 79" xfId="1606"/>
    <cellStyle name="20% - akcent 4 79 2" xfId="1607"/>
    <cellStyle name="20% - akcent 4 8" xfId="1608"/>
    <cellStyle name="20% - akcent 4 80" xfId="1609"/>
    <cellStyle name="20% - akcent 4 80 2" xfId="1610"/>
    <cellStyle name="20% - akcent 4 81" xfId="1611"/>
    <cellStyle name="20% - akcent 4 81 2" xfId="1612"/>
    <cellStyle name="20% - akcent 4 82" xfId="1613"/>
    <cellStyle name="20% - akcent 4 82 2" xfId="1614"/>
    <cellStyle name="20% - akcent 4 83" xfId="1615"/>
    <cellStyle name="20% - akcent 4 83 2" xfId="1616"/>
    <cellStyle name="20% - akcent 4 84" xfId="1617"/>
    <cellStyle name="20% - akcent 4 84 2" xfId="1618"/>
    <cellStyle name="20% - akcent 4 85" xfId="1619"/>
    <cellStyle name="20% - akcent 4 85 2" xfId="1620"/>
    <cellStyle name="20% - akcent 4 86" xfId="1621"/>
    <cellStyle name="20% - akcent 4 86 2" xfId="1622"/>
    <cellStyle name="20% - akcent 4 87" xfId="1623"/>
    <cellStyle name="20% - akcent 4 87 2" xfId="1624"/>
    <cellStyle name="20% - akcent 4 88" xfId="1625"/>
    <cellStyle name="20% - akcent 4 88 2" xfId="1626"/>
    <cellStyle name="20% - akcent 4 89" xfId="1627"/>
    <cellStyle name="20% - akcent 4 89 2" xfId="1628"/>
    <cellStyle name="20% - akcent 4 9" xfId="1629"/>
    <cellStyle name="20% - akcent 4 90" xfId="1630"/>
    <cellStyle name="20% - akcent 4 90 2" xfId="1631"/>
    <cellStyle name="20% - akcent 4 91" xfId="1632"/>
    <cellStyle name="20% - akcent 4 91 2" xfId="1633"/>
    <cellStyle name="20% - akcent 4 92" xfId="1634"/>
    <cellStyle name="20% - akcent 4 92 2" xfId="1635"/>
    <cellStyle name="20% - akcent 4 93" xfId="1636"/>
    <cellStyle name="20% - akcent 4 93 2" xfId="1637"/>
    <cellStyle name="20% - akcent 4 94" xfId="1638"/>
    <cellStyle name="20% - akcent 4 94 2" xfId="1639"/>
    <cellStyle name="20% - akcent 4 95" xfId="1640"/>
    <cellStyle name="20% - akcent 4 95 2" xfId="1641"/>
    <cellStyle name="20% - akcent 4 96" xfId="1642"/>
    <cellStyle name="20% - akcent 4 96 2" xfId="1643"/>
    <cellStyle name="20% - akcent 4 97" xfId="1644"/>
    <cellStyle name="20% - akcent 4 97 2" xfId="1645"/>
    <cellStyle name="20% - akcent 4 98" xfId="1646"/>
    <cellStyle name="20% - akcent 4 98 2" xfId="1647"/>
    <cellStyle name="20% - akcent 4 99" xfId="1648"/>
    <cellStyle name="20% - akcent 4 99 2" xfId="1649"/>
    <cellStyle name="20% - akcent 5 10" xfId="1650"/>
    <cellStyle name="20% - akcent 5 100" xfId="1651"/>
    <cellStyle name="20% - akcent 5 100 2" xfId="1652"/>
    <cellStyle name="20% - akcent 5 101" xfId="1653"/>
    <cellStyle name="20% - akcent 5 101 2" xfId="1654"/>
    <cellStyle name="20% - akcent 5 102" xfId="1655"/>
    <cellStyle name="20% - akcent 5 102 2" xfId="1656"/>
    <cellStyle name="20% - akcent 5 103" xfId="1657"/>
    <cellStyle name="20% - akcent 5 103 2" xfId="1658"/>
    <cellStyle name="20% - akcent 5 104" xfId="1659"/>
    <cellStyle name="20% - akcent 5 104 2" xfId="1660"/>
    <cellStyle name="20% - akcent 5 105" xfId="1661"/>
    <cellStyle name="20% - akcent 5 105 2" xfId="1662"/>
    <cellStyle name="20% - akcent 5 106" xfId="1663"/>
    <cellStyle name="20% - akcent 5 106 2" xfId="1664"/>
    <cellStyle name="20% - akcent 5 107" xfId="1665"/>
    <cellStyle name="20% - akcent 5 107 2" xfId="1666"/>
    <cellStyle name="20% - akcent 5 108" xfId="1667"/>
    <cellStyle name="20% - akcent 5 108 2" xfId="1668"/>
    <cellStyle name="20% - akcent 5 109" xfId="1669"/>
    <cellStyle name="20% - akcent 5 109 2" xfId="1670"/>
    <cellStyle name="20% - akcent 5 11" xfId="1671"/>
    <cellStyle name="20% - akcent 5 110" xfId="1672"/>
    <cellStyle name="20% - akcent 5 110 2" xfId="1673"/>
    <cellStyle name="20% - akcent 5 111" xfId="1674"/>
    <cellStyle name="20% - akcent 5 111 2" xfId="1675"/>
    <cellStyle name="20% - akcent 5 112" xfId="1676"/>
    <cellStyle name="20% - akcent 5 112 2" xfId="1677"/>
    <cellStyle name="20% - akcent 5 113" xfId="1678"/>
    <cellStyle name="20% - akcent 5 113 2" xfId="1679"/>
    <cellStyle name="20% - akcent 5 114" xfId="1680"/>
    <cellStyle name="20% - akcent 5 114 2" xfId="1681"/>
    <cellStyle name="20% - akcent 5 115" xfId="1682"/>
    <cellStyle name="20% - akcent 5 115 2" xfId="1683"/>
    <cellStyle name="20% - akcent 5 116" xfId="1684"/>
    <cellStyle name="20% - akcent 5 116 2" xfId="1685"/>
    <cellStyle name="20% - akcent 5 117" xfId="1686"/>
    <cellStyle name="20% - akcent 5 117 2" xfId="1687"/>
    <cellStyle name="20% - akcent 5 118" xfId="1688"/>
    <cellStyle name="20% - akcent 5 118 2" xfId="1689"/>
    <cellStyle name="20% - akcent 5 119" xfId="1690"/>
    <cellStyle name="20% - akcent 5 119 2" xfId="1691"/>
    <cellStyle name="20% - akcent 5 12" xfId="1692"/>
    <cellStyle name="20% - akcent 5 120" xfId="1693"/>
    <cellStyle name="20% - akcent 5 121" xfId="1694"/>
    <cellStyle name="20% - akcent 5 13" xfId="1695"/>
    <cellStyle name="20% - akcent 5 14" xfId="1696"/>
    <cellStyle name="20% - akcent 5 15" xfId="1697"/>
    <cellStyle name="20% - akcent 5 16" xfId="1698"/>
    <cellStyle name="20% - akcent 5 17" xfId="1699"/>
    <cellStyle name="20% - akcent 5 18" xfId="1700"/>
    <cellStyle name="20% - akcent 5 19" xfId="1701"/>
    <cellStyle name="20% - akcent 5 2" xfId="1702"/>
    <cellStyle name="20% - akcent 5 2 10" xfId="1703"/>
    <cellStyle name="20% - akcent 5 2 10 2" xfId="1704"/>
    <cellStyle name="20% - akcent 5 2 10 3" xfId="1705"/>
    <cellStyle name="20% - akcent 5 2 10 4" xfId="1706"/>
    <cellStyle name="20% - akcent 5 2 10 5" xfId="1707"/>
    <cellStyle name="20% - akcent 5 2 10 6" xfId="1708"/>
    <cellStyle name="20% - akcent 5 2 11" xfId="1709"/>
    <cellStyle name="20% - akcent 5 2 11 2" xfId="1710"/>
    <cellStyle name="20% - akcent 5 2 11 3" xfId="1711"/>
    <cellStyle name="20% - akcent 5 2 11 4" xfId="1712"/>
    <cellStyle name="20% - akcent 5 2 11 5" xfId="1713"/>
    <cellStyle name="20% - akcent 5 2 11 6" xfId="1714"/>
    <cellStyle name="20% - akcent 5 2 12" xfId="1715"/>
    <cellStyle name="20% - akcent 5 2 12 2" xfId="1716"/>
    <cellStyle name="20% - akcent 5 2 12 3" xfId="1717"/>
    <cellStyle name="20% - akcent 5 2 12 4" xfId="1718"/>
    <cellStyle name="20% - akcent 5 2 12 5" xfId="1719"/>
    <cellStyle name="20% - akcent 5 2 12 6" xfId="1720"/>
    <cellStyle name="20% - akcent 5 2 13" xfId="1721"/>
    <cellStyle name="20% - akcent 5 2 13 2" xfId="1722"/>
    <cellStyle name="20% - akcent 5 2 13 3" xfId="1723"/>
    <cellStyle name="20% - akcent 5 2 13 4" xfId="1724"/>
    <cellStyle name="20% - akcent 5 2 13 5" xfId="1725"/>
    <cellStyle name="20% - akcent 5 2 13 6" xfId="1726"/>
    <cellStyle name="20% - akcent 5 2 14" xfId="1727"/>
    <cellStyle name="20% - akcent 5 2 14 2" xfId="1728"/>
    <cellStyle name="20% - akcent 5 2 14 3" xfId="1729"/>
    <cellStyle name="20% - akcent 5 2 14 4" xfId="1730"/>
    <cellStyle name="20% - akcent 5 2 14 5" xfId="1731"/>
    <cellStyle name="20% - akcent 5 2 14 6" xfId="1732"/>
    <cellStyle name="20% - akcent 5 2 15" xfId="1733"/>
    <cellStyle name="20% - akcent 5 2 15 2" xfId="1734"/>
    <cellStyle name="20% - akcent 5 2 15 3" xfId="1735"/>
    <cellStyle name="20% - akcent 5 2 15 4" xfId="1736"/>
    <cellStyle name="20% - akcent 5 2 15 5" xfId="1737"/>
    <cellStyle name="20% - akcent 5 2 15 6" xfId="1738"/>
    <cellStyle name="20% - akcent 5 2 16" xfId="1739"/>
    <cellStyle name="20% - akcent 5 2 16 2" xfId="1740"/>
    <cellStyle name="20% - akcent 5 2 16 3" xfId="1741"/>
    <cellStyle name="20% - akcent 5 2 16 4" xfId="1742"/>
    <cellStyle name="20% - akcent 5 2 16 5" xfId="1743"/>
    <cellStyle name="20% - akcent 5 2 16 6" xfId="1744"/>
    <cellStyle name="20% - akcent 5 2 17" xfId="1745"/>
    <cellStyle name="20% - akcent 5 2 17 2" xfId="1746"/>
    <cellStyle name="20% - akcent 5 2 17 3" xfId="1747"/>
    <cellStyle name="20% - akcent 5 2 17 4" xfId="1748"/>
    <cellStyle name="20% - akcent 5 2 17 5" xfId="1749"/>
    <cellStyle name="20% - akcent 5 2 17 6" xfId="1750"/>
    <cellStyle name="20% - akcent 5 2 18" xfId="1751"/>
    <cellStyle name="20% - akcent 5 2 18 2" xfId="1752"/>
    <cellStyle name="20% - akcent 5 2 18 3" xfId="1753"/>
    <cellStyle name="20% - akcent 5 2 18 4" xfId="1754"/>
    <cellStyle name="20% - akcent 5 2 18 5" xfId="1755"/>
    <cellStyle name="20% - akcent 5 2 18 6" xfId="1756"/>
    <cellStyle name="20% - akcent 5 2 19" xfId="1757"/>
    <cellStyle name="20% - akcent 5 2 19 2" xfId="1758"/>
    <cellStyle name="20% - akcent 5 2 19 3" xfId="1759"/>
    <cellStyle name="20% - akcent 5 2 19 4" xfId="1760"/>
    <cellStyle name="20% - akcent 5 2 19 5" xfId="1761"/>
    <cellStyle name="20% - akcent 5 2 19 6" xfId="1762"/>
    <cellStyle name="20% - akcent 5 2 2" xfId="1763"/>
    <cellStyle name="20% - akcent 5 2 2 2" xfId="1764"/>
    <cellStyle name="20% - akcent 5 2 2 3" xfId="1765"/>
    <cellStyle name="20% - akcent 5 2 2 4" xfId="1766"/>
    <cellStyle name="20% - akcent 5 2 2 5" xfId="1767"/>
    <cellStyle name="20% - akcent 5 2 2 6" xfId="1768"/>
    <cellStyle name="20% - akcent 5 2 2 7" xfId="1769"/>
    <cellStyle name="20% - akcent 5 2 20" xfId="1770"/>
    <cellStyle name="20% - akcent 5 2 20 2" xfId="1771"/>
    <cellStyle name="20% - akcent 5 2 20 3" xfId="1772"/>
    <cellStyle name="20% - akcent 5 2 20 4" xfId="1773"/>
    <cellStyle name="20% - akcent 5 2 20 5" xfId="1774"/>
    <cellStyle name="20% - akcent 5 2 20 6" xfId="1775"/>
    <cellStyle name="20% - akcent 5 2 21" xfId="1776"/>
    <cellStyle name="20% - akcent 5 2 21 2" xfId="1777"/>
    <cellStyle name="20% - akcent 5 2 21 3" xfId="1778"/>
    <cellStyle name="20% - akcent 5 2 21 4" xfId="1779"/>
    <cellStyle name="20% - akcent 5 2 21 5" xfId="1780"/>
    <cellStyle name="20% - akcent 5 2 21 6" xfId="1781"/>
    <cellStyle name="20% - akcent 5 2 22" xfId="1782"/>
    <cellStyle name="20% - akcent 5 2 22 2" xfId="1783"/>
    <cellStyle name="20% - akcent 5 2 22 3" xfId="1784"/>
    <cellStyle name="20% - akcent 5 2 22 4" xfId="1785"/>
    <cellStyle name="20% - akcent 5 2 22 5" xfId="1786"/>
    <cellStyle name="20% - akcent 5 2 22 6" xfId="1787"/>
    <cellStyle name="20% - akcent 5 2 23" xfId="1788"/>
    <cellStyle name="20% - akcent 5 2 23 2" xfId="1789"/>
    <cellStyle name="20% - akcent 5 2 23 3" xfId="1790"/>
    <cellStyle name="20% - akcent 5 2 23 4" xfId="1791"/>
    <cellStyle name="20% - akcent 5 2 23 5" xfId="1792"/>
    <cellStyle name="20% - akcent 5 2 23 6" xfId="1793"/>
    <cellStyle name="20% - akcent 5 2 24" xfId="1794"/>
    <cellStyle name="20% - akcent 5 2 24 2" xfId="1795"/>
    <cellStyle name="20% - akcent 5 2 24 3" xfId="1796"/>
    <cellStyle name="20% - akcent 5 2 24 4" xfId="1797"/>
    <cellStyle name="20% - akcent 5 2 24 5" xfId="1798"/>
    <cellStyle name="20% - akcent 5 2 24 6" xfId="1799"/>
    <cellStyle name="20% - akcent 5 2 25" xfId="1800"/>
    <cellStyle name="20% - akcent 5 2 25 2" xfId="1801"/>
    <cellStyle name="20% - akcent 5 2 25 3" xfId="1802"/>
    <cellStyle name="20% - akcent 5 2 25 4" xfId="1803"/>
    <cellStyle name="20% - akcent 5 2 25 5" xfId="1804"/>
    <cellStyle name="20% - akcent 5 2 25 6" xfId="1805"/>
    <cellStyle name="20% - akcent 5 2 26" xfId="1806"/>
    <cellStyle name="20% - akcent 5 2 26 2" xfId="1807"/>
    <cellStyle name="20% - akcent 5 2 26 3" xfId="1808"/>
    <cellStyle name="20% - akcent 5 2 26 4" xfId="1809"/>
    <cellStyle name="20% - akcent 5 2 26 5" xfId="1810"/>
    <cellStyle name="20% - akcent 5 2 26 6" xfId="1811"/>
    <cellStyle name="20% - akcent 5 2 27" xfId="1812"/>
    <cellStyle name="20% - akcent 5 2 27 2" xfId="1813"/>
    <cellStyle name="20% - akcent 5 2 27 3" xfId="1814"/>
    <cellStyle name="20% - akcent 5 2 27 4" xfId="1815"/>
    <cellStyle name="20% - akcent 5 2 27 5" xfId="1816"/>
    <cellStyle name="20% - akcent 5 2 27 6" xfId="1817"/>
    <cellStyle name="20% - akcent 5 2 28" xfId="1818"/>
    <cellStyle name="20% - akcent 5 2 28 2" xfId="1819"/>
    <cellStyle name="20% - akcent 5 2 28 3" xfId="1820"/>
    <cellStyle name="20% - akcent 5 2 28 4" xfId="1821"/>
    <cellStyle name="20% - akcent 5 2 28 5" xfId="1822"/>
    <cellStyle name="20% - akcent 5 2 28 6" xfId="1823"/>
    <cellStyle name="20% - akcent 5 2 29" xfId="1824"/>
    <cellStyle name="20% - akcent 5 2 29 2" xfId="1825"/>
    <cellStyle name="20% - akcent 5 2 3" xfId="1826"/>
    <cellStyle name="20% - akcent 5 2 3 2" xfId="1827"/>
    <cellStyle name="20% - akcent 5 2 3 3" xfId="1828"/>
    <cellStyle name="20% - akcent 5 2 3 4" xfId="1829"/>
    <cellStyle name="20% - akcent 5 2 3 5" xfId="1830"/>
    <cellStyle name="20% - akcent 5 2 3 6" xfId="1831"/>
    <cellStyle name="20% - akcent 5 2 3 7" xfId="1832"/>
    <cellStyle name="20% - akcent 5 2 30" xfId="1833"/>
    <cellStyle name="20% - akcent 5 2 30 2" xfId="1834"/>
    <cellStyle name="20% - akcent 5 2 31" xfId="1835"/>
    <cellStyle name="20% - akcent 5 2 31 2" xfId="1836"/>
    <cellStyle name="20% - akcent 5 2 32" xfId="1837"/>
    <cellStyle name="20% - akcent 5 2 32 2" xfId="1838"/>
    <cellStyle name="20% - akcent 5 2 33" xfId="1839"/>
    <cellStyle name="20% - akcent 5 2 34" xfId="1840"/>
    <cellStyle name="20% - akcent 5 2 35" xfId="1841"/>
    <cellStyle name="20% - akcent 5 2 36" xfId="1842"/>
    <cellStyle name="20% - akcent 5 2 37" xfId="1843"/>
    <cellStyle name="20% - akcent 5 2 38" xfId="1844"/>
    <cellStyle name="20% - akcent 5 2 39" xfId="1845"/>
    <cellStyle name="20% - akcent 5 2 4" xfId="1846"/>
    <cellStyle name="20% - akcent 5 2 4 2" xfId="1847"/>
    <cellStyle name="20% - akcent 5 2 4 3" xfId="1848"/>
    <cellStyle name="20% - akcent 5 2 4 4" xfId="1849"/>
    <cellStyle name="20% - akcent 5 2 4 5" xfId="1850"/>
    <cellStyle name="20% - akcent 5 2 4 6" xfId="1851"/>
    <cellStyle name="20% - akcent 5 2 4 7" xfId="1852"/>
    <cellStyle name="20% - akcent 5 2 40" xfId="1853"/>
    <cellStyle name="20% - akcent 5 2 41" xfId="1854"/>
    <cellStyle name="20% - akcent 5 2 42" xfId="1855"/>
    <cellStyle name="20% - akcent 5 2 43" xfId="1856"/>
    <cellStyle name="20% - akcent 5 2 44" xfId="1857"/>
    <cellStyle name="20% - akcent 5 2 45" xfId="1858"/>
    <cellStyle name="20% - akcent 5 2 46" xfId="1859"/>
    <cellStyle name="20% - akcent 5 2 47" xfId="1860"/>
    <cellStyle name="20% - akcent 5 2 48" xfId="1861"/>
    <cellStyle name="20% - akcent 5 2 49" xfId="1862"/>
    <cellStyle name="20% - akcent 5 2 5" xfId="1863"/>
    <cellStyle name="20% - akcent 5 2 5 2" xfId="1864"/>
    <cellStyle name="20% - akcent 5 2 5 3" xfId="1865"/>
    <cellStyle name="20% - akcent 5 2 5 4" xfId="1866"/>
    <cellStyle name="20% - akcent 5 2 5 5" xfId="1867"/>
    <cellStyle name="20% - akcent 5 2 5 6" xfId="1868"/>
    <cellStyle name="20% - akcent 5 2 50" xfId="1869"/>
    <cellStyle name="20% - akcent 5 2 51" xfId="1870"/>
    <cellStyle name="20% - akcent 5 2 6" xfId="1871"/>
    <cellStyle name="20% - akcent 5 2 6 2" xfId="1872"/>
    <cellStyle name="20% - akcent 5 2 6 3" xfId="1873"/>
    <cellStyle name="20% - akcent 5 2 6 4" xfId="1874"/>
    <cellStyle name="20% - akcent 5 2 6 5" xfId="1875"/>
    <cellStyle name="20% - akcent 5 2 6 6" xfId="1876"/>
    <cellStyle name="20% - akcent 5 2 7" xfId="1877"/>
    <cellStyle name="20% - akcent 5 2 7 2" xfId="1878"/>
    <cellStyle name="20% - akcent 5 2 7 3" xfId="1879"/>
    <cellStyle name="20% - akcent 5 2 7 4" xfId="1880"/>
    <cellStyle name="20% - akcent 5 2 7 5" xfId="1881"/>
    <cellStyle name="20% - akcent 5 2 7 6" xfId="1882"/>
    <cellStyle name="20% - akcent 5 2 8" xfId="1883"/>
    <cellStyle name="20% - akcent 5 2 8 2" xfId="1884"/>
    <cellStyle name="20% - akcent 5 2 8 3" xfId="1885"/>
    <cellStyle name="20% - akcent 5 2 8 4" xfId="1886"/>
    <cellStyle name="20% - akcent 5 2 8 5" xfId="1887"/>
    <cellStyle name="20% - akcent 5 2 8 6" xfId="1888"/>
    <cellStyle name="20% - akcent 5 2 9" xfId="1889"/>
    <cellStyle name="20% - akcent 5 2 9 2" xfId="1890"/>
    <cellStyle name="20% - akcent 5 2 9 3" xfId="1891"/>
    <cellStyle name="20% - akcent 5 2 9 4" xfId="1892"/>
    <cellStyle name="20% - akcent 5 2 9 5" xfId="1893"/>
    <cellStyle name="20% - akcent 5 2 9 6" xfId="1894"/>
    <cellStyle name="20% - akcent 5 20" xfId="1895"/>
    <cellStyle name="20% - akcent 5 21" xfId="1896"/>
    <cellStyle name="20% - akcent 5 22" xfId="1897"/>
    <cellStyle name="20% - akcent 5 23" xfId="1898"/>
    <cellStyle name="20% - akcent 5 24" xfId="1899"/>
    <cellStyle name="20% - akcent 5 25" xfId="1900"/>
    <cellStyle name="20% - akcent 5 26" xfId="1901"/>
    <cellStyle name="20% - akcent 5 27" xfId="1902"/>
    <cellStyle name="20% - akcent 5 28" xfId="1903"/>
    <cellStyle name="20% - akcent 5 29" xfId="1904"/>
    <cellStyle name="20% - akcent 5 3" xfId="1905"/>
    <cellStyle name="20% - akcent 5 3 2" xfId="1906"/>
    <cellStyle name="20% - akcent 5 3 2 2" xfId="1907"/>
    <cellStyle name="20% - akcent 5 3 3" xfId="1908"/>
    <cellStyle name="20% - akcent 5 3 3 2" xfId="1909"/>
    <cellStyle name="20% - akcent 5 3 4" xfId="1910"/>
    <cellStyle name="20% - akcent 5 3 4 2" xfId="1911"/>
    <cellStyle name="20% - akcent 5 3 5" xfId="1912"/>
    <cellStyle name="20% - akcent 5 3 6" xfId="1913"/>
    <cellStyle name="20% - akcent 5 3 7" xfId="1914"/>
    <cellStyle name="20% - akcent 5 3 8" xfId="1915"/>
    <cellStyle name="20% - akcent 5 30" xfId="1916"/>
    <cellStyle name="20% - akcent 5 30 2" xfId="1917"/>
    <cellStyle name="20% - akcent 5 31" xfId="1918"/>
    <cellStyle name="20% - akcent 5 31 2" xfId="1919"/>
    <cellStyle name="20% - akcent 5 32" xfId="1920"/>
    <cellStyle name="20% - akcent 5 32 2" xfId="1921"/>
    <cellStyle name="20% - akcent 5 33" xfId="1922"/>
    <cellStyle name="20% - akcent 5 33 2" xfId="1923"/>
    <cellStyle name="20% - akcent 5 34" xfId="1924"/>
    <cellStyle name="20% - akcent 5 34 2" xfId="1925"/>
    <cellStyle name="20% - akcent 5 35" xfId="1926"/>
    <cellStyle name="20% - akcent 5 35 2" xfId="1927"/>
    <cellStyle name="20% - akcent 5 36" xfId="1928"/>
    <cellStyle name="20% - akcent 5 36 2" xfId="1929"/>
    <cellStyle name="20% - akcent 5 37" xfId="1930"/>
    <cellStyle name="20% - akcent 5 37 2" xfId="1931"/>
    <cellStyle name="20% - akcent 5 38" xfId="1932"/>
    <cellStyle name="20% - akcent 5 38 2" xfId="1933"/>
    <cellStyle name="20% - akcent 5 39" xfId="1934"/>
    <cellStyle name="20% - akcent 5 39 2" xfId="1935"/>
    <cellStyle name="20% - akcent 5 4" xfId="1936"/>
    <cellStyle name="20% - akcent 5 4 2" xfId="1937"/>
    <cellStyle name="20% - akcent 5 4 2 2" xfId="1938"/>
    <cellStyle name="20% - akcent 5 4 3" xfId="1939"/>
    <cellStyle name="20% - akcent 5 4 3 2" xfId="1940"/>
    <cellStyle name="20% - akcent 5 4 4" xfId="1941"/>
    <cellStyle name="20% - akcent 5 4 4 2" xfId="1942"/>
    <cellStyle name="20% - akcent 5 4 5" xfId="1943"/>
    <cellStyle name="20% - akcent 5 4 6" xfId="1944"/>
    <cellStyle name="20% - akcent 5 4 7" xfId="1945"/>
    <cellStyle name="20% - akcent 5 4 8" xfId="1946"/>
    <cellStyle name="20% - akcent 5 40" xfId="1947"/>
    <cellStyle name="20% - akcent 5 40 2" xfId="1948"/>
    <cellStyle name="20% - akcent 5 41" xfId="1949"/>
    <cellStyle name="20% - akcent 5 41 2" xfId="1950"/>
    <cellStyle name="20% - akcent 5 42" xfId="1951"/>
    <cellStyle name="20% - akcent 5 42 2" xfId="1952"/>
    <cellStyle name="20% - akcent 5 43" xfId="1953"/>
    <cellStyle name="20% - akcent 5 43 2" xfId="1954"/>
    <cellStyle name="20% - akcent 5 44" xfId="1955"/>
    <cellStyle name="20% - akcent 5 44 2" xfId="1956"/>
    <cellStyle name="20% - akcent 5 45" xfId="1957"/>
    <cellStyle name="20% - akcent 5 45 2" xfId="1958"/>
    <cellStyle name="20% - akcent 5 46" xfId="1959"/>
    <cellStyle name="20% - akcent 5 46 2" xfId="1960"/>
    <cellStyle name="20% - akcent 5 47" xfId="1961"/>
    <cellStyle name="20% - akcent 5 47 2" xfId="1962"/>
    <cellStyle name="20% - akcent 5 48" xfId="1963"/>
    <cellStyle name="20% - akcent 5 48 2" xfId="1964"/>
    <cellStyle name="20% - akcent 5 49" xfId="1965"/>
    <cellStyle name="20% - akcent 5 49 2" xfId="1966"/>
    <cellStyle name="20% - akcent 5 5" xfId="1967"/>
    <cellStyle name="20% - akcent 5 5 2" xfId="1968"/>
    <cellStyle name="20% - akcent 5 5 3" xfId="1969"/>
    <cellStyle name="20% - akcent 5 50" xfId="1970"/>
    <cellStyle name="20% - akcent 5 50 2" xfId="1971"/>
    <cellStyle name="20% - akcent 5 51" xfId="1972"/>
    <cellStyle name="20% - akcent 5 51 2" xfId="1973"/>
    <cellStyle name="20% - akcent 5 52" xfId="1974"/>
    <cellStyle name="20% - akcent 5 52 2" xfId="1975"/>
    <cellStyle name="20% - akcent 5 53" xfId="1976"/>
    <cellStyle name="20% - akcent 5 53 2" xfId="1977"/>
    <cellStyle name="20% - akcent 5 54" xfId="1978"/>
    <cellStyle name="20% - akcent 5 54 2" xfId="1979"/>
    <cellStyle name="20% - akcent 5 55" xfId="1980"/>
    <cellStyle name="20% - akcent 5 55 2" xfId="1981"/>
    <cellStyle name="20% - akcent 5 56" xfId="1982"/>
    <cellStyle name="20% - akcent 5 56 2" xfId="1983"/>
    <cellStyle name="20% - akcent 5 57" xfId="1984"/>
    <cellStyle name="20% - akcent 5 57 2" xfId="1985"/>
    <cellStyle name="20% - akcent 5 58" xfId="1986"/>
    <cellStyle name="20% - akcent 5 58 2" xfId="1987"/>
    <cellStyle name="20% - akcent 5 59" xfId="1988"/>
    <cellStyle name="20% - akcent 5 59 2" xfId="1989"/>
    <cellStyle name="20% - akcent 5 6" xfId="1990"/>
    <cellStyle name="20% - akcent 5 60" xfId="1991"/>
    <cellStyle name="20% - akcent 5 60 2" xfId="1992"/>
    <cellStyle name="20% - akcent 5 61" xfId="1993"/>
    <cellStyle name="20% - akcent 5 61 2" xfId="1994"/>
    <cellStyle name="20% - akcent 5 62" xfId="1995"/>
    <cellStyle name="20% - akcent 5 62 2" xfId="1996"/>
    <cellStyle name="20% - akcent 5 63" xfId="1997"/>
    <cellStyle name="20% - akcent 5 63 2" xfId="1998"/>
    <cellStyle name="20% - akcent 5 64" xfId="1999"/>
    <cellStyle name="20% - akcent 5 64 2" xfId="2000"/>
    <cellStyle name="20% - akcent 5 65" xfId="2001"/>
    <cellStyle name="20% - akcent 5 65 2" xfId="2002"/>
    <cellStyle name="20% - akcent 5 66" xfId="2003"/>
    <cellStyle name="20% - akcent 5 66 2" xfId="2004"/>
    <cellStyle name="20% - akcent 5 67" xfId="2005"/>
    <cellStyle name="20% - akcent 5 67 2" xfId="2006"/>
    <cellStyle name="20% - akcent 5 68" xfId="2007"/>
    <cellStyle name="20% - akcent 5 68 2" xfId="2008"/>
    <cellStyle name="20% - akcent 5 69" xfId="2009"/>
    <cellStyle name="20% - akcent 5 69 2" xfId="2010"/>
    <cellStyle name="20% - akcent 5 7" xfId="2011"/>
    <cellStyle name="20% - akcent 5 70" xfId="2012"/>
    <cellStyle name="20% - akcent 5 70 2" xfId="2013"/>
    <cellStyle name="20% - akcent 5 71" xfId="2014"/>
    <cellStyle name="20% - akcent 5 71 2" xfId="2015"/>
    <cellStyle name="20% - akcent 5 72" xfId="2016"/>
    <cellStyle name="20% - akcent 5 72 2" xfId="2017"/>
    <cellStyle name="20% - akcent 5 73" xfId="2018"/>
    <cellStyle name="20% - akcent 5 73 2" xfId="2019"/>
    <cellStyle name="20% - akcent 5 74" xfId="2020"/>
    <cellStyle name="20% - akcent 5 74 2" xfId="2021"/>
    <cellStyle name="20% - akcent 5 75" xfId="2022"/>
    <cellStyle name="20% - akcent 5 75 2" xfId="2023"/>
    <cellStyle name="20% - akcent 5 76" xfId="2024"/>
    <cellStyle name="20% - akcent 5 76 2" xfId="2025"/>
    <cellStyle name="20% - akcent 5 77" xfId="2026"/>
    <cellStyle name="20% - akcent 5 77 2" xfId="2027"/>
    <cellStyle name="20% - akcent 5 78" xfId="2028"/>
    <cellStyle name="20% - akcent 5 78 2" xfId="2029"/>
    <cellStyle name="20% - akcent 5 79" xfId="2030"/>
    <cellStyle name="20% - akcent 5 79 2" xfId="2031"/>
    <cellStyle name="20% - akcent 5 8" xfId="2032"/>
    <cellStyle name="20% - akcent 5 80" xfId="2033"/>
    <cellStyle name="20% - akcent 5 80 2" xfId="2034"/>
    <cellStyle name="20% - akcent 5 81" xfId="2035"/>
    <cellStyle name="20% - akcent 5 81 2" xfId="2036"/>
    <cellStyle name="20% - akcent 5 82" xfId="2037"/>
    <cellStyle name="20% - akcent 5 82 2" xfId="2038"/>
    <cellStyle name="20% - akcent 5 83" xfId="2039"/>
    <cellStyle name="20% - akcent 5 83 2" xfId="2040"/>
    <cellStyle name="20% - akcent 5 84" xfId="2041"/>
    <cellStyle name="20% - akcent 5 84 2" xfId="2042"/>
    <cellStyle name="20% - akcent 5 85" xfId="2043"/>
    <cellStyle name="20% - akcent 5 85 2" xfId="2044"/>
    <cellStyle name="20% - akcent 5 86" xfId="2045"/>
    <cellStyle name="20% - akcent 5 86 2" xfId="2046"/>
    <cellStyle name="20% - akcent 5 87" xfId="2047"/>
    <cellStyle name="20% - akcent 5 87 2" xfId="2048"/>
    <cellStyle name="20% - akcent 5 88" xfId="2049"/>
    <cellStyle name="20% - akcent 5 88 2" xfId="2050"/>
    <cellStyle name="20% - akcent 5 89" xfId="2051"/>
    <cellStyle name="20% - akcent 5 89 2" xfId="2052"/>
    <cellStyle name="20% - akcent 5 9" xfId="2053"/>
    <cellStyle name="20% - akcent 5 90" xfId="2054"/>
    <cellStyle name="20% - akcent 5 90 2" xfId="2055"/>
    <cellStyle name="20% - akcent 5 91" xfId="2056"/>
    <cellStyle name="20% - akcent 5 91 2" xfId="2057"/>
    <cellStyle name="20% - akcent 5 92" xfId="2058"/>
    <cellStyle name="20% - akcent 5 92 2" xfId="2059"/>
    <cellStyle name="20% - akcent 5 93" xfId="2060"/>
    <cellStyle name="20% - akcent 5 93 2" xfId="2061"/>
    <cellStyle name="20% - akcent 5 94" xfId="2062"/>
    <cellStyle name="20% - akcent 5 94 2" xfId="2063"/>
    <cellStyle name="20% - akcent 5 95" xfId="2064"/>
    <cellStyle name="20% - akcent 5 95 2" xfId="2065"/>
    <cellStyle name="20% - akcent 5 96" xfId="2066"/>
    <cellStyle name="20% - akcent 5 96 2" xfId="2067"/>
    <cellStyle name="20% - akcent 5 97" xfId="2068"/>
    <cellStyle name="20% - akcent 5 97 2" xfId="2069"/>
    <cellStyle name="20% - akcent 5 98" xfId="2070"/>
    <cellStyle name="20% - akcent 5 98 2" xfId="2071"/>
    <cellStyle name="20% - akcent 5 99" xfId="2072"/>
    <cellStyle name="20% - akcent 5 99 2" xfId="2073"/>
    <cellStyle name="20% - akcent 6 10" xfId="2074"/>
    <cellStyle name="20% - akcent 6 100" xfId="2075"/>
    <cellStyle name="20% - akcent 6 100 2" xfId="2076"/>
    <cellStyle name="20% - akcent 6 101" xfId="2077"/>
    <cellStyle name="20% - akcent 6 101 2" xfId="2078"/>
    <cellStyle name="20% - akcent 6 102" xfId="2079"/>
    <cellStyle name="20% - akcent 6 102 2" xfId="2080"/>
    <cellStyle name="20% - akcent 6 103" xfId="2081"/>
    <cellStyle name="20% - akcent 6 103 2" xfId="2082"/>
    <cellStyle name="20% - akcent 6 104" xfId="2083"/>
    <cellStyle name="20% - akcent 6 104 2" xfId="2084"/>
    <cellStyle name="20% - akcent 6 105" xfId="2085"/>
    <cellStyle name="20% - akcent 6 105 2" xfId="2086"/>
    <cellStyle name="20% - akcent 6 106" xfId="2087"/>
    <cellStyle name="20% - akcent 6 106 2" xfId="2088"/>
    <cellStyle name="20% - akcent 6 107" xfId="2089"/>
    <cellStyle name="20% - akcent 6 107 2" xfId="2090"/>
    <cellStyle name="20% - akcent 6 108" xfId="2091"/>
    <cellStyle name="20% - akcent 6 108 2" xfId="2092"/>
    <cellStyle name="20% - akcent 6 109" xfId="2093"/>
    <cellStyle name="20% - akcent 6 109 2" xfId="2094"/>
    <cellStyle name="20% - akcent 6 11" xfId="2095"/>
    <cellStyle name="20% - akcent 6 110" xfId="2096"/>
    <cellStyle name="20% - akcent 6 110 2" xfId="2097"/>
    <cellStyle name="20% - akcent 6 111" xfId="2098"/>
    <cellStyle name="20% - akcent 6 111 2" xfId="2099"/>
    <cellStyle name="20% - akcent 6 112" xfId="2100"/>
    <cellStyle name="20% - akcent 6 112 2" xfId="2101"/>
    <cellStyle name="20% - akcent 6 113" xfId="2102"/>
    <cellStyle name="20% - akcent 6 113 2" xfId="2103"/>
    <cellStyle name="20% - akcent 6 114" xfId="2104"/>
    <cellStyle name="20% - akcent 6 114 2" xfId="2105"/>
    <cellStyle name="20% - akcent 6 115" xfId="2106"/>
    <cellStyle name="20% - akcent 6 115 2" xfId="2107"/>
    <cellStyle name="20% - akcent 6 116" xfId="2108"/>
    <cellStyle name="20% - akcent 6 116 2" xfId="2109"/>
    <cellStyle name="20% - akcent 6 117" xfId="2110"/>
    <cellStyle name="20% - akcent 6 117 2" xfId="2111"/>
    <cellStyle name="20% - akcent 6 118" xfId="2112"/>
    <cellStyle name="20% - akcent 6 118 2" xfId="2113"/>
    <cellStyle name="20% - akcent 6 119" xfId="2114"/>
    <cellStyle name="20% - akcent 6 119 2" xfId="2115"/>
    <cellStyle name="20% - akcent 6 12" xfId="2116"/>
    <cellStyle name="20% - akcent 6 120" xfId="2117"/>
    <cellStyle name="20% - akcent 6 121" xfId="2118"/>
    <cellStyle name="20% - akcent 6 13" xfId="2119"/>
    <cellStyle name="20% - akcent 6 14" xfId="2120"/>
    <cellStyle name="20% - akcent 6 15" xfId="2121"/>
    <cellStyle name="20% - akcent 6 16" xfId="2122"/>
    <cellStyle name="20% - akcent 6 17" xfId="2123"/>
    <cellStyle name="20% - akcent 6 18" xfId="2124"/>
    <cellStyle name="20% - akcent 6 19" xfId="2125"/>
    <cellStyle name="20% - akcent 6 2" xfId="2126"/>
    <cellStyle name="20% - akcent 6 2 10" xfId="2127"/>
    <cellStyle name="20% - akcent 6 2 10 2" xfId="2128"/>
    <cellStyle name="20% - akcent 6 2 10 3" xfId="2129"/>
    <cellStyle name="20% - akcent 6 2 10 4" xfId="2130"/>
    <cellStyle name="20% - akcent 6 2 10 5" xfId="2131"/>
    <cellStyle name="20% - akcent 6 2 10 6" xfId="2132"/>
    <cellStyle name="20% - akcent 6 2 11" xfId="2133"/>
    <cellStyle name="20% - akcent 6 2 11 2" xfId="2134"/>
    <cellStyle name="20% - akcent 6 2 11 3" xfId="2135"/>
    <cellStyle name="20% - akcent 6 2 11 4" xfId="2136"/>
    <cellStyle name="20% - akcent 6 2 11 5" xfId="2137"/>
    <cellStyle name="20% - akcent 6 2 11 6" xfId="2138"/>
    <cellStyle name="20% - akcent 6 2 12" xfId="2139"/>
    <cellStyle name="20% - akcent 6 2 12 2" xfId="2140"/>
    <cellStyle name="20% - akcent 6 2 12 3" xfId="2141"/>
    <cellStyle name="20% - akcent 6 2 12 4" xfId="2142"/>
    <cellStyle name="20% - akcent 6 2 12 5" xfId="2143"/>
    <cellStyle name="20% - akcent 6 2 12 6" xfId="2144"/>
    <cellStyle name="20% - akcent 6 2 13" xfId="2145"/>
    <cellStyle name="20% - akcent 6 2 13 2" xfId="2146"/>
    <cellStyle name="20% - akcent 6 2 13 3" xfId="2147"/>
    <cellStyle name="20% - akcent 6 2 13 4" xfId="2148"/>
    <cellStyle name="20% - akcent 6 2 13 5" xfId="2149"/>
    <cellStyle name="20% - akcent 6 2 13 6" xfId="2150"/>
    <cellStyle name="20% - akcent 6 2 14" xfId="2151"/>
    <cellStyle name="20% - akcent 6 2 14 2" xfId="2152"/>
    <cellStyle name="20% - akcent 6 2 14 3" xfId="2153"/>
    <cellStyle name="20% - akcent 6 2 14 4" xfId="2154"/>
    <cellStyle name="20% - akcent 6 2 14 5" xfId="2155"/>
    <cellStyle name="20% - akcent 6 2 14 6" xfId="2156"/>
    <cellStyle name="20% - akcent 6 2 15" xfId="2157"/>
    <cellStyle name="20% - akcent 6 2 15 2" xfId="2158"/>
    <cellStyle name="20% - akcent 6 2 15 3" xfId="2159"/>
    <cellStyle name="20% - akcent 6 2 15 4" xfId="2160"/>
    <cellStyle name="20% - akcent 6 2 15 5" xfId="2161"/>
    <cellStyle name="20% - akcent 6 2 15 6" xfId="2162"/>
    <cellStyle name="20% - akcent 6 2 16" xfId="2163"/>
    <cellStyle name="20% - akcent 6 2 16 2" xfId="2164"/>
    <cellStyle name="20% - akcent 6 2 16 3" xfId="2165"/>
    <cellStyle name="20% - akcent 6 2 16 4" xfId="2166"/>
    <cellStyle name="20% - akcent 6 2 16 5" xfId="2167"/>
    <cellStyle name="20% - akcent 6 2 16 6" xfId="2168"/>
    <cellStyle name="20% - akcent 6 2 17" xfId="2169"/>
    <cellStyle name="20% - akcent 6 2 17 2" xfId="2170"/>
    <cellStyle name="20% - akcent 6 2 17 3" xfId="2171"/>
    <cellStyle name="20% - akcent 6 2 17 4" xfId="2172"/>
    <cellStyle name="20% - akcent 6 2 17 5" xfId="2173"/>
    <cellStyle name="20% - akcent 6 2 17 6" xfId="2174"/>
    <cellStyle name="20% - akcent 6 2 18" xfId="2175"/>
    <cellStyle name="20% - akcent 6 2 18 2" xfId="2176"/>
    <cellStyle name="20% - akcent 6 2 18 3" xfId="2177"/>
    <cellStyle name="20% - akcent 6 2 18 4" xfId="2178"/>
    <cellStyle name="20% - akcent 6 2 18 5" xfId="2179"/>
    <cellStyle name="20% - akcent 6 2 18 6" xfId="2180"/>
    <cellStyle name="20% - akcent 6 2 19" xfId="2181"/>
    <cellStyle name="20% - akcent 6 2 19 2" xfId="2182"/>
    <cellStyle name="20% - akcent 6 2 19 3" xfId="2183"/>
    <cellStyle name="20% - akcent 6 2 19 4" xfId="2184"/>
    <cellStyle name="20% - akcent 6 2 19 5" xfId="2185"/>
    <cellStyle name="20% - akcent 6 2 19 6" xfId="2186"/>
    <cellStyle name="20% - akcent 6 2 2" xfId="2187"/>
    <cellStyle name="20% - akcent 6 2 2 2" xfId="2188"/>
    <cellStyle name="20% - akcent 6 2 2 3" xfId="2189"/>
    <cellStyle name="20% - akcent 6 2 2 4" xfId="2190"/>
    <cellStyle name="20% - akcent 6 2 2 5" xfId="2191"/>
    <cellStyle name="20% - akcent 6 2 2 6" xfId="2192"/>
    <cellStyle name="20% - akcent 6 2 2 7" xfId="2193"/>
    <cellStyle name="20% - akcent 6 2 20" xfId="2194"/>
    <cellStyle name="20% - akcent 6 2 20 2" xfId="2195"/>
    <cellStyle name="20% - akcent 6 2 20 3" xfId="2196"/>
    <cellStyle name="20% - akcent 6 2 20 4" xfId="2197"/>
    <cellStyle name="20% - akcent 6 2 20 5" xfId="2198"/>
    <cellStyle name="20% - akcent 6 2 20 6" xfId="2199"/>
    <cellStyle name="20% - akcent 6 2 21" xfId="2200"/>
    <cellStyle name="20% - akcent 6 2 21 2" xfId="2201"/>
    <cellStyle name="20% - akcent 6 2 21 3" xfId="2202"/>
    <cellStyle name="20% - akcent 6 2 21 4" xfId="2203"/>
    <cellStyle name="20% - akcent 6 2 21 5" xfId="2204"/>
    <cellStyle name="20% - akcent 6 2 21 6" xfId="2205"/>
    <cellStyle name="20% - akcent 6 2 22" xfId="2206"/>
    <cellStyle name="20% - akcent 6 2 22 2" xfId="2207"/>
    <cellStyle name="20% - akcent 6 2 22 3" xfId="2208"/>
    <cellStyle name="20% - akcent 6 2 22 4" xfId="2209"/>
    <cellStyle name="20% - akcent 6 2 22 5" xfId="2210"/>
    <cellStyle name="20% - akcent 6 2 22 6" xfId="2211"/>
    <cellStyle name="20% - akcent 6 2 23" xfId="2212"/>
    <cellStyle name="20% - akcent 6 2 23 2" xfId="2213"/>
    <cellStyle name="20% - akcent 6 2 23 3" xfId="2214"/>
    <cellStyle name="20% - akcent 6 2 23 4" xfId="2215"/>
    <cellStyle name="20% - akcent 6 2 23 5" xfId="2216"/>
    <cellStyle name="20% - akcent 6 2 23 6" xfId="2217"/>
    <cellStyle name="20% - akcent 6 2 24" xfId="2218"/>
    <cellStyle name="20% - akcent 6 2 24 2" xfId="2219"/>
    <cellStyle name="20% - akcent 6 2 24 3" xfId="2220"/>
    <cellStyle name="20% - akcent 6 2 24 4" xfId="2221"/>
    <cellStyle name="20% - akcent 6 2 24 5" xfId="2222"/>
    <cellStyle name="20% - akcent 6 2 24 6" xfId="2223"/>
    <cellStyle name="20% - akcent 6 2 25" xfId="2224"/>
    <cellStyle name="20% - akcent 6 2 25 2" xfId="2225"/>
    <cellStyle name="20% - akcent 6 2 25 3" xfId="2226"/>
    <cellStyle name="20% - akcent 6 2 25 4" xfId="2227"/>
    <cellStyle name="20% - akcent 6 2 25 5" xfId="2228"/>
    <cellStyle name="20% - akcent 6 2 25 6" xfId="2229"/>
    <cellStyle name="20% - akcent 6 2 26" xfId="2230"/>
    <cellStyle name="20% - akcent 6 2 26 2" xfId="2231"/>
    <cellStyle name="20% - akcent 6 2 26 3" xfId="2232"/>
    <cellStyle name="20% - akcent 6 2 26 4" xfId="2233"/>
    <cellStyle name="20% - akcent 6 2 26 5" xfId="2234"/>
    <cellStyle name="20% - akcent 6 2 26 6" xfId="2235"/>
    <cellStyle name="20% - akcent 6 2 27" xfId="2236"/>
    <cellStyle name="20% - akcent 6 2 27 2" xfId="2237"/>
    <cellStyle name="20% - akcent 6 2 27 3" xfId="2238"/>
    <cellStyle name="20% - akcent 6 2 27 4" xfId="2239"/>
    <cellStyle name="20% - akcent 6 2 27 5" xfId="2240"/>
    <cellStyle name="20% - akcent 6 2 27 6" xfId="2241"/>
    <cellStyle name="20% - akcent 6 2 28" xfId="2242"/>
    <cellStyle name="20% - akcent 6 2 28 2" xfId="2243"/>
    <cellStyle name="20% - akcent 6 2 28 3" xfId="2244"/>
    <cellStyle name="20% - akcent 6 2 28 4" xfId="2245"/>
    <cellStyle name="20% - akcent 6 2 28 5" xfId="2246"/>
    <cellStyle name="20% - akcent 6 2 28 6" xfId="2247"/>
    <cellStyle name="20% - akcent 6 2 29" xfId="2248"/>
    <cellStyle name="20% - akcent 6 2 29 2" xfId="2249"/>
    <cellStyle name="20% - akcent 6 2 3" xfId="2250"/>
    <cellStyle name="20% - akcent 6 2 3 2" xfId="2251"/>
    <cellStyle name="20% - akcent 6 2 3 3" xfId="2252"/>
    <cellStyle name="20% - akcent 6 2 3 4" xfId="2253"/>
    <cellStyle name="20% - akcent 6 2 3 5" xfId="2254"/>
    <cellStyle name="20% - akcent 6 2 3 6" xfId="2255"/>
    <cellStyle name="20% - akcent 6 2 3 7" xfId="2256"/>
    <cellStyle name="20% - akcent 6 2 30" xfId="2257"/>
    <cellStyle name="20% - akcent 6 2 30 2" xfId="2258"/>
    <cellStyle name="20% - akcent 6 2 31" xfId="2259"/>
    <cellStyle name="20% - akcent 6 2 31 2" xfId="2260"/>
    <cellStyle name="20% - akcent 6 2 32" xfId="2261"/>
    <cellStyle name="20% - akcent 6 2 32 2" xfId="2262"/>
    <cellStyle name="20% - akcent 6 2 33" xfId="2263"/>
    <cellStyle name="20% - akcent 6 2 34" xfId="2264"/>
    <cellStyle name="20% - akcent 6 2 35" xfId="2265"/>
    <cellStyle name="20% - akcent 6 2 36" xfId="2266"/>
    <cellStyle name="20% - akcent 6 2 37" xfId="2267"/>
    <cellStyle name="20% - akcent 6 2 38" xfId="2268"/>
    <cellStyle name="20% - akcent 6 2 39" xfId="2269"/>
    <cellStyle name="20% - akcent 6 2 4" xfId="2270"/>
    <cellStyle name="20% - akcent 6 2 4 2" xfId="2271"/>
    <cellStyle name="20% - akcent 6 2 4 3" xfId="2272"/>
    <cellStyle name="20% - akcent 6 2 4 4" xfId="2273"/>
    <cellStyle name="20% - akcent 6 2 4 5" xfId="2274"/>
    <cellStyle name="20% - akcent 6 2 4 6" xfId="2275"/>
    <cellStyle name="20% - akcent 6 2 4 7" xfId="2276"/>
    <cellStyle name="20% - akcent 6 2 40" xfId="2277"/>
    <cellStyle name="20% - akcent 6 2 41" xfId="2278"/>
    <cellStyle name="20% - akcent 6 2 42" xfId="2279"/>
    <cellStyle name="20% - akcent 6 2 43" xfId="2280"/>
    <cellStyle name="20% - akcent 6 2 44" xfId="2281"/>
    <cellStyle name="20% - akcent 6 2 45" xfId="2282"/>
    <cellStyle name="20% - akcent 6 2 46" xfId="2283"/>
    <cellStyle name="20% - akcent 6 2 47" xfId="2284"/>
    <cellStyle name="20% - akcent 6 2 48" xfId="2285"/>
    <cellStyle name="20% - akcent 6 2 49" xfId="2286"/>
    <cellStyle name="20% - akcent 6 2 5" xfId="2287"/>
    <cellStyle name="20% - akcent 6 2 5 2" xfId="2288"/>
    <cellStyle name="20% - akcent 6 2 5 3" xfId="2289"/>
    <cellStyle name="20% - akcent 6 2 5 4" xfId="2290"/>
    <cellStyle name="20% - akcent 6 2 5 5" xfId="2291"/>
    <cellStyle name="20% - akcent 6 2 5 6" xfId="2292"/>
    <cellStyle name="20% - akcent 6 2 50" xfId="2293"/>
    <cellStyle name="20% - akcent 6 2 51" xfId="2294"/>
    <cellStyle name="20% - akcent 6 2 6" xfId="2295"/>
    <cellStyle name="20% - akcent 6 2 6 2" xfId="2296"/>
    <cellStyle name="20% - akcent 6 2 6 3" xfId="2297"/>
    <cellStyle name="20% - akcent 6 2 6 4" xfId="2298"/>
    <cellStyle name="20% - akcent 6 2 6 5" xfId="2299"/>
    <cellStyle name="20% - akcent 6 2 6 6" xfId="2300"/>
    <cellStyle name="20% - akcent 6 2 7" xfId="2301"/>
    <cellStyle name="20% - akcent 6 2 7 2" xfId="2302"/>
    <cellStyle name="20% - akcent 6 2 7 3" xfId="2303"/>
    <cellStyle name="20% - akcent 6 2 7 4" xfId="2304"/>
    <cellStyle name="20% - akcent 6 2 7 5" xfId="2305"/>
    <cellStyle name="20% - akcent 6 2 7 6" xfId="2306"/>
    <cellStyle name="20% - akcent 6 2 8" xfId="2307"/>
    <cellStyle name="20% - akcent 6 2 8 2" xfId="2308"/>
    <cellStyle name="20% - akcent 6 2 8 3" xfId="2309"/>
    <cellStyle name="20% - akcent 6 2 8 4" xfId="2310"/>
    <cellStyle name="20% - akcent 6 2 8 5" xfId="2311"/>
    <cellStyle name="20% - akcent 6 2 8 6" xfId="2312"/>
    <cellStyle name="20% - akcent 6 2 9" xfId="2313"/>
    <cellStyle name="20% - akcent 6 2 9 2" xfId="2314"/>
    <cellStyle name="20% - akcent 6 2 9 3" xfId="2315"/>
    <cellStyle name="20% - akcent 6 2 9 4" xfId="2316"/>
    <cellStyle name="20% - akcent 6 2 9 5" xfId="2317"/>
    <cellStyle name="20% - akcent 6 2 9 6" xfId="2318"/>
    <cellStyle name="20% - akcent 6 20" xfId="2319"/>
    <cellStyle name="20% - akcent 6 21" xfId="2320"/>
    <cellStyle name="20% - akcent 6 22" xfId="2321"/>
    <cellStyle name="20% - akcent 6 23" xfId="2322"/>
    <cellStyle name="20% - akcent 6 24" xfId="2323"/>
    <cellStyle name="20% - akcent 6 25" xfId="2324"/>
    <cellStyle name="20% - akcent 6 26" xfId="2325"/>
    <cellStyle name="20% - akcent 6 27" xfId="2326"/>
    <cellStyle name="20% - akcent 6 28" xfId="2327"/>
    <cellStyle name="20% - akcent 6 29" xfId="2328"/>
    <cellStyle name="20% - akcent 6 3" xfId="2329"/>
    <cellStyle name="20% - akcent 6 3 2" xfId="2330"/>
    <cellStyle name="20% - akcent 6 3 2 2" xfId="2331"/>
    <cellStyle name="20% - akcent 6 3 3" xfId="2332"/>
    <cellStyle name="20% - akcent 6 3 3 2" xfId="2333"/>
    <cellStyle name="20% - akcent 6 3 4" xfId="2334"/>
    <cellStyle name="20% - akcent 6 3 4 2" xfId="2335"/>
    <cellStyle name="20% - akcent 6 3 5" xfId="2336"/>
    <cellStyle name="20% - akcent 6 3 6" xfId="2337"/>
    <cellStyle name="20% - akcent 6 3 7" xfId="2338"/>
    <cellStyle name="20% - akcent 6 3 8" xfId="2339"/>
    <cellStyle name="20% - akcent 6 30" xfId="2340"/>
    <cellStyle name="20% - akcent 6 30 2" xfId="2341"/>
    <cellStyle name="20% - akcent 6 31" xfId="2342"/>
    <cellStyle name="20% - akcent 6 31 2" xfId="2343"/>
    <cellStyle name="20% - akcent 6 32" xfId="2344"/>
    <cellStyle name="20% - akcent 6 32 2" xfId="2345"/>
    <cellStyle name="20% - akcent 6 33" xfId="2346"/>
    <cellStyle name="20% - akcent 6 33 2" xfId="2347"/>
    <cellStyle name="20% - akcent 6 34" xfId="2348"/>
    <cellStyle name="20% - akcent 6 34 2" xfId="2349"/>
    <cellStyle name="20% - akcent 6 35" xfId="2350"/>
    <cellStyle name="20% - akcent 6 35 2" xfId="2351"/>
    <cellStyle name="20% - akcent 6 36" xfId="2352"/>
    <cellStyle name="20% - akcent 6 36 2" xfId="2353"/>
    <cellStyle name="20% - akcent 6 37" xfId="2354"/>
    <cellStyle name="20% - akcent 6 37 2" xfId="2355"/>
    <cellStyle name="20% - akcent 6 38" xfId="2356"/>
    <cellStyle name="20% - akcent 6 38 2" xfId="2357"/>
    <cellStyle name="20% - akcent 6 39" xfId="2358"/>
    <cellStyle name="20% - akcent 6 39 2" xfId="2359"/>
    <cellStyle name="20% - akcent 6 4" xfId="2360"/>
    <cellStyle name="20% - akcent 6 4 2" xfId="2361"/>
    <cellStyle name="20% - akcent 6 4 2 2" xfId="2362"/>
    <cellStyle name="20% - akcent 6 4 3" xfId="2363"/>
    <cellStyle name="20% - akcent 6 4 3 2" xfId="2364"/>
    <cellStyle name="20% - akcent 6 4 4" xfId="2365"/>
    <cellStyle name="20% - akcent 6 4 4 2" xfId="2366"/>
    <cellStyle name="20% - akcent 6 4 5" xfId="2367"/>
    <cellStyle name="20% - akcent 6 4 6" xfId="2368"/>
    <cellStyle name="20% - akcent 6 4 7" xfId="2369"/>
    <cellStyle name="20% - akcent 6 4 8" xfId="2370"/>
    <cellStyle name="20% - akcent 6 40" xfId="2371"/>
    <cellStyle name="20% - akcent 6 40 2" xfId="2372"/>
    <cellStyle name="20% - akcent 6 41" xfId="2373"/>
    <cellStyle name="20% - akcent 6 41 2" xfId="2374"/>
    <cellStyle name="20% - akcent 6 42" xfId="2375"/>
    <cellStyle name="20% - akcent 6 42 2" xfId="2376"/>
    <cellStyle name="20% - akcent 6 43" xfId="2377"/>
    <cellStyle name="20% - akcent 6 43 2" xfId="2378"/>
    <cellStyle name="20% - akcent 6 44" xfId="2379"/>
    <cellStyle name="20% - akcent 6 44 2" xfId="2380"/>
    <cellStyle name="20% - akcent 6 45" xfId="2381"/>
    <cellStyle name="20% - akcent 6 45 2" xfId="2382"/>
    <cellStyle name="20% - akcent 6 46" xfId="2383"/>
    <cellStyle name="20% - akcent 6 46 2" xfId="2384"/>
    <cellStyle name="20% - akcent 6 47" xfId="2385"/>
    <cellStyle name="20% - akcent 6 47 2" xfId="2386"/>
    <cellStyle name="20% - akcent 6 48" xfId="2387"/>
    <cellStyle name="20% - akcent 6 48 2" xfId="2388"/>
    <cellStyle name="20% - akcent 6 49" xfId="2389"/>
    <cellStyle name="20% - akcent 6 49 2" xfId="2390"/>
    <cellStyle name="20% - akcent 6 5" xfId="2391"/>
    <cellStyle name="20% - akcent 6 5 2" xfId="2392"/>
    <cellStyle name="20% - akcent 6 5 3" xfId="2393"/>
    <cellStyle name="20% - akcent 6 50" xfId="2394"/>
    <cellStyle name="20% - akcent 6 50 2" xfId="2395"/>
    <cellStyle name="20% - akcent 6 51" xfId="2396"/>
    <cellStyle name="20% - akcent 6 51 2" xfId="2397"/>
    <cellStyle name="20% - akcent 6 52" xfId="2398"/>
    <cellStyle name="20% - akcent 6 52 2" xfId="2399"/>
    <cellStyle name="20% - akcent 6 53" xfId="2400"/>
    <cellStyle name="20% - akcent 6 53 2" xfId="2401"/>
    <cellStyle name="20% - akcent 6 54" xfId="2402"/>
    <cellStyle name="20% - akcent 6 54 2" xfId="2403"/>
    <cellStyle name="20% - akcent 6 55" xfId="2404"/>
    <cellStyle name="20% - akcent 6 55 2" xfId="2405"/>
    <cellStyle name="20% - akcent 6 56" xfId="2406"/>
    <cellStyle name="20% - akcent 6 56 2" xfId="2407"/>
    <cellStyle name="20% - akcent 6 57" xfId="2408"/>
    <cellStyle name="20% - akcent 6 57 2" xfId="2409"/>
    <cellStyle name="20% - akcent 6 58" xfId="2410"/>
    <cellStyle name="20% - akcent 6 58 2" xfId="2411"/>
    <cellStyle name="20% - akcent 6 59" xfId="2412"/>
    <cellStyle name="20% - akcent 6 59 2" xfId="2413"/>
    <cellStyle name="20% - akcent 6 6" xfId="2414"/>
    <cellStyle name="20% - akcent 6 60" xfId="2415"/>
    <cellStyle name="20% - akcent 6 60 2" xfId="2416"/>
    <cellStyle name="20% - akcent 6 61" xfId="2417"/>
    <cellStyle name="20% - akcent 6 61 2" xfId="2418"/>
    <cellStyle name="20% - akcent 6 62" xfId="2419"/>
    <cellStyle name="20% - akcent 6 62 2" xfId="2420"/>
    <cellStyle name="20% - akcent 6 63" xfId="2421"/>
    <cellStyle name="20% - akcent 6 63 2" xfId="2422"/>
    <cellStyle name="20% - akcent 6 64" xfId="2423"/>
    <cellStyle name="20% - akcent 6 64 2" xfId="2424"/>
    <cellStyle name="20% - akcent 6 65" xfId="2425"/>
    <cellStyle name="20% - akcent 6 65 2" xfId="2426"/>
    <cellStyle name="20% - akcent 6 66" xfId="2427"/>
    <cellStyle name="20% - akcent 6 66 2" xfId="2428"/>
    <cellStyle name="20% - akcent 6 67" xfId="2429"/>
    <cellStyle name="20% - akcent 6 67 2" xfId="2430"/>
    <cellStyle name="20% - akcent 6 68" xfId="2431"/>
    <cellStyle name="20% - akcent 6 68 2" xfId="2432"/>
    <cellStyle name="20% - akcent 6 69" xfId="2433"/>
    <cellStyle name="20% - akcent 6 69 2" xfId="2434"/>
    <cellStyle name="20% - akcent 6 7" xfId="2435"/>
    <cellStyle name="20% - akcent 6 70" xfId="2436"/>
    <cellStyle name="20% - akcent 6 70 2" xfId="2437"/>
    <cellStyle name="20% - akcent 6 71" xfId="2438"/>
    <cellStyle name="20% - akcent 6 71 2" xfId="2439"/>
    <cellStyle name="20% - akcent 6 72" xfId="2440"/>
    <cellStyle name="20% - akcent 6 72 2" xfId="2441"/>
    <cellStyle name="20% - akcent 6 73" xfId="2442"/>
    <cellStyle name="20% - akcent 6 73 2" xfId="2443"/>
    <cellStyle name="20% - akcent 6 74" xfId="2444"/>
    <cellStyle name="20% - akcent 6 74 2" xfId="2445"/>
    <cellStyle name="20% - akcent 6 75" xfId="2446"/>
    <cellStyle name="20% - akcent 6 75 2" xfId="2447"/>
    <cellStyle name="20% - akcent 6 76" xfId="2448"/>
    <cellStyle name="20% - akcent 6 76 2" xfId="2449"/>
    <cellStyle name="20% - akcent 6 77" xfId="2450"/>
    <cellStyle name="20% - akcent 6 77 2" xfId="2451"/>
    <cellStyle name="20% - akcent 6 78" xfId="2452"/>
    <cellStyle name="20% - akcent 6 78 2" xfId="2453"/>
    <cellStyle name="20% - akcent 6 79" xfId="2454"/>
    <cellStyle name="20% - akcent 6 79 2" xfId="2455"/>
    <cellStyle name="20% - akcent 6 8" xfId="2456"/>
    <cellStyle name="20% - akcent 6 80" xfId="2457"/>
    <cellStyle name="20% - akcent 6 80 2" xfId="2458"/>
    <cellStyle name="20% - akcent 6 81" xfId="2459"/>
    <cellStyle name="20% - akcent 6 81 2" xfId="2460"/>
    <cellStyle name="20% - akcent 6 82" xfId="2461"/>
    <cellStyle name="20% - akcent 6 82 2" xfId="2462"/>
    <cellStyle name="20% - akcent 6 83" xfId="2463"/>
    <cellStyle name="20% - akcent 6 83 2" xfId="2464"/>
    <cellStyle name="20% - akcent 6 84" xfId="2465"/>
    <cellStyle name="20% - akcent 6 84 2" xfId="2466"/>
    <cellStyle name="20% - akcent 6 85" xfId="2467"/>
    <cellStyle name="20% - akcent 6 85 2" xfId="2468"/>
    <cellStyle name="20% - akcent 6 86" xfId="2469"/>
    <cellStyle name="20% - akcent 6 86 2" xfId="2470"/>
    <cellStyle name="20% - akcent 6 87" xfId="2471"/>
    <cellStyle name="20% - akcent 6 87 2" xfId="2472"/>
    <cellStyle name="20% - akcent 6 88" xfId="2473"/>
    <cellStyle name="20% - akcent 6 88 2" xfId="2474"/>
    <cellStyle name="20% - akcent 6 89" xfId="2475"/>
    <cellStyle name="20% - akcent 6 89 2" xfId="2476"/>
    <cellStyle name="20% - akcent 6 9" xfId="2477"/>
    <cellStyle name="20% - akcent 6 90" xfId="2478"/>
    <cellStyle name="20% - akcent 6 90 2" xfId="2479"/>
    <cellStyle name="20% - akcent 6 91" xfId="2480"/>
    <cellStyle name="20% - akcent 6 91 2" xfId="2481"/>
    <cellStyle name="20% - akcent 6 92" xfId="2482"/>
    <cellStyle name="20% - akcent 6 92 2" xfId="2483"/>
    <cellStyle name="20% - akcent 6 93" xfId="2484"/>
    <cellStyle name="20% - akcent 6 93 2" xfId="2485"/>
    <cellStyle name="20% - akcent 6 94" xfId="2486"/>
    <cellStyle name="20% - akcent 6 94 2" xfId="2487"/>
    <cellStyle name="20% - akcent 6 95" xfId="2488"/>
    <cellStyle name="20% - akcent 6 95 2" xfId="2489"/>
    <cellStyle name="20% - akcent 6 96" xfId="2490"/>
    <cellStyle name="20% - akcent 6 96 2" xfId="2491"/>
    <cellStyle name="20% - akcent 6 97" xfId="2492"/>
    <cellStyle name="20% - akcent 6 97 2" xfId="2493"/>
    <cellStyle name="20% - akcent 6 98" xfId="2494"/>
    <cellStyle name="20% - akcent 6 98 2" xfId="2495"/>
    <cellStyle name="20% - akcent 6 99" xfId="2496"/>
    <cellStyle name="20% - akcent 6 99 2" xfId="2497"/>
    <cellStyle name="40% - akcent 1 10" xfId="2498"/>
    <cellStyle name="40% - akcent 1 100" xfId="2499"/>
    <cellStyle name="40% - akcent 1 100 2" xfId="2500"/>
    <cellStyle name="40% - akcent 1 101" xfId="2501"/>
    <cellStyle name="40% - akcent 1 101 2" xfId="2502"/>
    <cellStyle name="40% - akcent 1 102" xfId="2503"/>
    <cellStyle name="40% - akcent 1 102 2" xfId="2504"/>
    <cellStyle name="40% - akcent 1 103" xfId="2505"/>
    <cellStyle name="40% - akcent 1 103 2" xfId="2506"/>
    <cellStyle name="40% - akcent 1 104" xfId="2507"/>
    <cellStyle name="40% - akcent 1 104 2" xfId="2508"/>
    <cellStyle name="40% - akcent 1 105" xfId="2509"/>
    <cellStyle name="40% - akcent 1 105 2" xfId="2510"/>
    <cellStyle name="40% - akcent 1 106" xfId="2511"/>
    <cellStyle name="40% - akcent 1 106 2" xfId="2512"/>
    <cellStyle name="40% - akcent 1 107" xfId="2513"/>
    <cellStyle name="40% - akcent 1 107 2" xfId="2514"/>
    <cellStyle name="40% - akcent 1 108" xfId="2515"/>
    <cellStyle name="40% - akcent 1 108 2" xfId="2516"/>
    <cellStyle name="40% - akcent 1 109" xfId="2517"/>
    <cellStyle name="40% - akcent 1 109 2" xfId="2518"/>
    <cellStyle name="40% - akcent 1 11" xfId="2519"/>
    <cellStyle name="40% - akcent 1 110" xfId="2520"/>
    <cellStyle name="40% - akcent 1 110 2" xfId="2521"/>
    <cellStyle name="40% - akcent 1 111" xfId="2522"/>
    <cellStyle name="40% - akcent 1 111 2" xfId="2523"/>
    <cellStyle name="40% - akcent 1 112" xfId="2524"/>
    <cellStyle name="40% - akcent 1 112 2" xfId="2525"/>
    <cellStyle name="40% - akcent 1 113" xfId="2526"/>
    <cellStyle name="40% - akcent 1 113 2" xfId="2527"/>
    <cellStyle name="40% - akcent 1 114" xfId="2528"/>
    <cellStyle name="40% - akcent 1 114 2" xfId="2529"/>
    <cellStyle name="40% - akcent 1 115" xfId="2530"/>
    <cellStyle name="40% - akcent 1 115 2" xfId="2531"/>
    <cellStyle name="40% - akcent 1 116" xfId="2532"/>
    <cellStyle name="40% - akcent 1 116 2" xfId="2533"/>
    <cellStyle name="40% - akcent 1 117" xfId="2534"/>
    <cellStyle name="40% - akcent 1 117 2" xfId="2535"/>
    <cellStyle name="40% - akcent 1 118" xfId="2536"/>
    <cellStyle name="40% - akcent 1 118 2" xfId="2537"/>
    <cellStyle name="40% - akcent 1 119" xfId="2538"/>
    <cellStyle name="40% - akcent 1 119 2" xfId="2539"/>
    <cellStyle name="40% - akcent 1 12" xfId="2540"/>
    <cellStyle name="40% - akcent 1 120" xfId="2541"/>
    <cellStyle name="40% - akcent 1 121" xfId="2542"/>
    <cellStyle name="40% - akcent 1 13" xfId="2543"/>
    <cellStyle name="40% - akcent 1 14" xfId="2544"/>
    <cellStyle name="40% - akcent 1 15" xfId="2545"/>
    <cellStyle name="40% - akcent 1 16" xfId="2546"/>
    <cellStyle name="40% - akcent 1 17" xfId="2547"/>
    <cellStyle name="40% - akcent 1 18" xfId="2548"/>
    <cellStyle name="40% - akcent 1 19" xfId="2549"/>
    <cellStyle name="40% - akcent 1 2" xfId="2550"/>
    <cellStyle name="40% - akcent 1 2 10" xfId="2551"/>
    <cellStyle name="40% - akcent 1 2 10 2" xfId="2552"/>
    <cellStyle name="40% - akcent 1 2 10 3" xfId="2553"/>
    <cellStyle name="40% - akcent 1 2 10 4" xfId="2554"/>
    <cellStyle name="40% - akcent 1 2 10 5" xfId="2555"/>
    <cellStyle name="40% - akcent 1 2 10 6" xfId="2556"/>
    <cellStyle name="40% - akcent 1 2 11" xfId="2557"/>
    <cellStyle name="40% - akcent 1 2 11 2" xfId="2558"/>
    <cellStyle name="40% - akcent 1 2 11 3" xfId="2559"/>
    <cellStyle name="40% - akcent 1 2 11 4" xfId="2560"/>
    <cellStyle name="40% - akcent 1 2 11 5" xfId="2561"/>
    <cellStyle name="40% - akcent 1 2 11 6" xfId="2562"/>
    <cellStyle name="40% - akcent 1 2 12" xfId="2563"/>
    <cellStyle name="40% - akcent 1 2 12 2" xfId="2564"/>
    <cellStyle name="40% - akcent 1 2 12 3" xfId="2565"/>
    <cellStyle name="40% - akcent 1 2 12 4" xfId="2566"/>
    <cellStyle name="40% - akcent 1 2 12 5" xfId="2567"/>
    <cellStyle name="40% - akcent 1 2 12 6" xfId="2568"/>
    <cellStyle name="40% - akcent 1 2 13" xfId="2569"/>
    <cellStyle name="40% - akcent 1 2 13 2" xfId="2570"/>
    <cellStyle name="40% - akcent 1 2 13 3" xfId="2571"/>
    <cellStyle name="40% - akcent 1 2 13 4" xfId="2572"/>
    <cellStyle name="40% - akcent 1 2 13 5" xfId="2573"/>
    <cellStyle name="40% - akcent 1 2 13 6" xfId="2574"/>
    <cellStyle name="40% - akcent 1 2 14" xfId="2575"/>
    <cellStyle name="40% - akcent 1 2 14 2" xfId="2576"/>
    <cellStyle name="40% - akcent 1 2 14 3" xfId="2577"/>
    <cellStyle name="40% - akcent 1 2 14 4" xfId="2578"/>
    <cellStyle name="40% - akcent 1 2 14 5" xfId="2579"/>
    <cellStyle name="40% - akcent 1 2 14 6" xfId="2580"/>
    <cellStyle name="40% - akcent 1 2 15" xfId="2581"/>
    <cellStyle name="40% - akcent 1 2 15 2" xfId="2582"/>
    <cellStyle name="40% - akcent 1 2 15 3" xfId="2583"/>
    <cellStyle name="40% - akcent 1 2 15 4" xfId="2584"/>
    <cellStyle name="40% - akcent 1 2 15 5" xfId="2585"/>
    <cellStyle name="40% - akcent 1 2 15 6" xfId="2586"/>
    <cellStyle name="40% - akcent 1 2 16" xfId="2587"/>
    <cellStyle name="40% - akcent 1 2 16 2" xfId="2588"/>
    <cellStyle name="40% - akcent 1 2 16 3" xfId="2589"/>
    <cellStyle name="40% - akcent 1 2 16 4" xfId="2590"/>
    <cellStyle name="40% - akcent 1 2 16 5" xfId="2591"/>
    <cellStyle name="40% - akcent 1 2 16 6" xfId="2592"/>
    <cellStyle name="40% - akcent 1 2 17" xfId="2593"/>
    <cellStyle name="40% - akcent 1 2 17 2" xfId="2594"/>
    <cellStyle name="40% - akcent 1 2 17 3" xfId="2595"/>
    <cellStyle name="40% - akcent 1 2 17 4" xfId="2596"/>
    <cellStyle name="40% - akcent 1 2 17 5" xfId="2597"/>
    <cellStyle name="40% - akcent 1 2 17 6" xfId="2598"/>
    <cellStyle name="40% - akcent 1 2 18" xfId="2599"/>
    <cellStyle name="40% - akcent 1 2 18 2" xfId="2600"/>
    <cellStyle name="40% - akcent 1 2 18 3" xfId="2601"/>
    <cellStyle name="40% - akcent 1 2 18 4" xfId="2602"/>
    <cellStyle name="40% - akcent 1 2 18 5" xfId="2603"/>
    <cellStyle name="40% - akcent 1 2 18 6" xfId="2604"/>
    <cellStyle name="40% - akcent 1 2 19" xfId="2605"/>
    <cellStyle name="40% - akcent 1 2 19 2" xfId="2606"/>
    <cellStyle name="40% - akcent 1 2 19 3" xfId="2607"/>
    <cellStyle name="40% - akcent 1 2 19 4" xfId="2608"/>
    <cellStyle name="40% - akcent 1 2 19 5" xfId="2609"/>
    <cellStyle name="40% - akcent 1 2 19 6" xfId="2610"/>
    <cellStyle name="40% - akcent 1 2 2" xfId="2611"/>
    <cellStyle name="40% - akcent 1 2 2 2" xfId="2612"/>
    <cellStyle name="40% - akcent 1 2 2 3" xfId="2613"/>
    <cellStyle name="40% - akcent 1 2 2 4" xfId="2614"/>
    <cellStyle name="40% - akcent 1 2 2 5" xfId="2615"/>
    <cellStyle name="40% - akcent 1 2 2 6" xfId="2616"/>
    <cellStyle name="40% - akcent 1 2 2 7" xfId="2617"/>
    <cellStyle name="40% - akcent 1 2 20" xfId="2618"/>
    <cellStyle name="40% - akcent 1 2 20 2" xfId="2619"/>
    <cellStyle name="40% - akcent 1 2 20 3" xfId="2620"/>
    <cellStyle name="40% - akcent 1 2 20 4" xfId="2621"/>
    <cellStyle name="40% - akcent 1 2 20 5" xfId="2622"/>
    <cellStyle name="40% - akcent 1 2 20 6" xfId="2623"/>
    <cellStyle name="40% - akcent 1 2 21" xfId="2624"/>
    <cellStyle name="40% - akcent 1 2 21 2" xfId="2625"/>
    <cellStyle name="40% - akcent 1 2 21 3" xfId="2626"/>
    <cellStyle name="40% - akcent 1 2 21 4" xfId="2627"/>
    <cellStyle name="40% - akcent 1 2 21 5" xfId="2628"/>
    <cellStyle name="40% - akcent 1 2 21 6" xfId="2629"/>
    <cellStyle name="40% - akcent 1 2 22" xfId="2630"/>
    <cellStyle name="40% - akcent 1 2 22 2" xfId="2631"/>
    <cellStyle name="40% - akcent 1 2 22 3" xfId="2632"/>
    <cellStyle name="40% - akcent 1 2 22 4" xfId="2633"/>
    <cellStyle name="40% - akcent 1 2 22 5" xfId="2634"/>
    <cellStyle name="40% - akcent 1 2 22 6" xfId="2635"/>
    <cellStyle name="40% - akcent 1 2 23" xfId="2636"/>
    <cellStyle name="40% - akcent 1 2 23 2" xfId="2637"/>
    <cellStyle name="40% - akcent 1 2 23 3" xfId="2638"/>
    <cellStyle name="40% - akcent 1 2 23 4" xfId="2639"/>
    <cellStyle name="40% - akcent 1 2 23 5" xfId="2640"/>
    <cellStyle name="40% - akcent 1 2 23 6" xfId="2641"/>
    <cellStyle name="40% - akcent 1 2 24" xfId="2642"/>
    <cellStyle name="40% - akcent 1 2 24 2" xfId="2643"/>
    <cellStyle name="40% - akcent 1 2 24 3" xfId="2644"/>
    <cellStyle name="40% - akcent 1 2 24 4" xfId="2645"/>
    <cellStyle name="40% - akcent 1 2 24 5" xfId="2646"/>
    <cellStyle name="40% - akcent 1 2 24 6" xfId="2647"/>
    <cellStyle name="40% - akcent 1 2 25" xfId="2648"/>
    <cellStyle name="40% - akcent 1 2 25 2" xfId="2649"/>
    <cellStyle name="40% - akcent 1 2 25 3" xfId="2650"/>
    <cellStyle name="40% - akcent 1 2 25 4" xfId="2651"/>
    <cellStyle name="40% - akcent 1 2 25 5" xfId="2652"/>
    <cellStyle name="40% - akcent 1 2 25 6" xfId="2653"/>
    <cellStyle name="40% - akcent 1 2 26" xfId="2654"/>
    <cellStyle name="40% - akcent 1 2 26 2" xfId="2655"/>
    <cellStyle name="40% - akcent 1 2 26 3" xfId="2656"/>
    <cellStyle name="40% - akcent 1 2 26 4" xfId="2657"/>
    <cellStyle name="40% - akcent 1 2 26 5" xfId="2658"/>
    <cellStyle name="40% - akcent 1 2 26 6" xfId="2659"/>
    <cellStyle name="40% - akcent 1 2 27" xfId="2660"/>
    <cellStyle name="40% - akcent 1 2 27 2" xfId="2661"/>
    <cellStyle name="40% - akcent 1 2 27 3" xfId="2662"/>
    <cellStyle name="40% - akcent 1 2 27 4" xfId="2663"/>
    <cellStyle name="40% - akcent 1 2 27 5" xfId="2664"/>
    <cellStyle name="40% - akcent 1 2 27 6" xfId="2665"/>
    <cellStyle name="40% - akcent 1 2 28" xfId="2666"/>
    <cellStyle name="40% - akcent 1 2 28 2" xfId="2667"/>
    <cellStyle name="40% - akcent 1 2 28 3" xfId="2668"/>
    <cellStyle name="40% - akcent 1 2 28 4" xfId="2669"/>
    <cellStyle name="40% - akcent 1 2 28 5" xfId="2670"/>
    <cellStyle name="40% - akcent 1 2 28 6" xfId="2671"/>
    <cellStyle name="40% - akcent 1 2 29" xfId="2672"/>
    <cellStyle name="40% - akcent 1 2 29 2" xfId="2673"/>
    <cellStyle name="40% - akcent 1 2 3" xfId="2674"/>
    <cellStyle name="40% - akcent 1 2 3 2" xfId="2675"/>
    <cellStyle name="40% - akcent 1 2 3 3" xfId="2676"/>
    <cellStyle name="40% - akcent 1 2 3 4" xfId="2677"/>
    <cellStyle name="40% - akcent 1 2 3 5" xfId="2678"/>
    <cellStyle name="40% - akcent 1 2 3 6" xfId="2679"/>
    <cellStyle name="40% - akcent 1 2 3 7" xfId="2680"/>
    <cellStyle name="40% - akcent 1 2 30" xfId="2681"/>
    <cellStyle name="40% - akcent 1 2 30 2" xfId="2682"/>
    <cellStyle name="40% - akcent 1 2 31" xfId="2683"/>
    <cellStyle name="40% - akcent 1 2 31 2" xfId="2684"/>
    <cellStyle name="40% - akcent 1 2 32" xfId="2685"/>
    <cellStyle name="40% - akcent 1 2 32 2" xfId="2686"/>
    <cellStyle name="40% - akcent 1 2 33" xfId="2687"/>
    <cellStyle name="40% - akcent 1 2 34" xfId="2688"/>
    <cellStyle name="40% - akcent 1 2 35" xfId="2689"/>
    <cellStyle name="40% - akcent 1 2 36" xfId="2690"/>
    <cellStyle name="40% - akcent 1 2 37" xfId="2691"/>
    <cellStyle name="40% - akcent 1 2 38" xfId="2692"/>
    <cellStyle name="40% - akcent 1 2 39" xfId="2693"/>
    <cellStyle name="40% - akcent 1 2 4" xfId="2694"/>
    <cellStyle name="40% - akcent 1 2 4 2" xfId="2695"/>
    <cellStyle name="40% - akcent 1 2 4 3" xfId="2696"/>
    <cellStyle name="40% - akcent 1 2 4 4" xfId="2697"/>
    <cellStyle name="40% - akcent 1 2 4 5" xfId="2698"/>
    <cellStyle name="40% - akcent 1 2 4 6" xfId="2699"/>
    <cellStyle name="40% - akcent 1 2 4 7" xfId="2700"/>
    <cellStyle name="40% - akcent 1 2 40" xfId="2701"/>
    <cellStyle name="40% - akcent 1 2 41" xfId="2702"/>
    <cellStyle name="40% - akcent 1 2 42" xfId="2703"/>
    <cellStyle name="40% - akcent 1 2 43" xfId="2704"/>
    <cellStyle name="40% - akcent 1 2 44" xfId="2705"/>
    <cellStyle name="40% - akcent 1 2 45" xfId="2706"/>
    <cellStyle name="40% - akcent 1 2 46" xfId="2707"/>
    <cellStyle name="40% - akcent 1 2 47" xfId="2708"/>
    <cellStyle name="40% - akcent 1 2 48" xfId="2709"/>
    <cellStyle name="40% - akcent 1 2 49" xfId="2710"/>
    <cellStyle name="40% - akcent 1 2 5" xfId="2711"/>
    <cellStyle name="40% - akcent 1 2 5 2" xfId="2712"/>
    <cellStyle name="40% - akcent 1 2 5 3" xfId="2713"/>
    <cellStyle name="40% - akcent 1 2 5 4" xfId="2714"/>
    <cellStyle name="40% - akcent 1 2 5 5" xfId="2715"/>
    <cellStyle name="40% - akcent 1 2 5 6" xfId="2716"/>
    <cellStyle name="40% - akcent 1 2 50" xfId="2717"/>
    <cellStyle name="40% - akcent 1 2 51" xfId="2718"/>
    <cellStyle name="40% - akcent 1 2 6" xfId="2719"/>
    <cellStyle name="40% - akcent 1 2 6 2" xfId="2720"/>
    <cellStyle name="40% - akcent 1 2 6 3" xfId="2721"/>
    <cellStyle name="40% - akcent 1 2 6 4" xfId="2722"/>
    <cellStyle name="40% - akcent 1 2 6 5" xfId="2723"/>
    <cellStyle name="40% - akcent 1 2 6 6" xfId="2724"/>
    <cellStyle name="40% - akcent 1 2 7" xfId="2725"/>
    <cellStyle name="40% - akcent 1 2 7 2" xfId="2726"/>
    <cellStyle name="40% - akcent 1 2 7 3" xfId="2727"/>
    <cellStyle name="40% - akcent 1 2 7 4" xfId="2728"/>
    <cellStyle name="40% - akcent 1 2 7 5" xfId="2729"/>
    <cellStyle name="40% - akcent 1 2 7 6" xfId="2730"/>
    <cellStyle name="40% - akcent 1 2 8" xfId="2731"/>
    <cellStyle name="40% - akcent 1 2 8 2" xfId="2732"/>
    <cellStyle name="40% - akcent 1 2 8 3" xfId="2733"/>
    <cellStyle name="40% - akcent 1 2 8 4" xfId="2734"/>
    <cellStyle name="40% - akcent 1 2 8 5" xfId="2735"/>
    <cellStyle name="40% - akcent 1 2 8 6" xfId="2736"/>
    <cellStyle name="40% - akcent 1 2 9" xfId="2737"/>
    <cellStyle name="40% - akcent 1 2 9 2" xfId="2738"/>
    <cellStyle name="40% - akcent 1 2 9 3" xfId="2739"/>
    <cellStyle name="40% - akcent 1 2 9 4" xfId="2740"/>
    <cellStyle name="40% - akcent 1 2 9 5" xfId="2741"/>
    <cellStyle name="40% - akcent 1 2 9 6" xfId="2742"/>
    <cellStyle name="40% - akcent 1 20" xfId="2743"/>
    <cellStyle name="40% - akcent 1 21" xfId="2744"/>
    <cellStyle name="40% - akcent 1 22" xfId="2745"/>
    <cellStyle name="40% - akcent 1 23" xfId="2746"/>
    <cellStyle name="40% - akcent 1 24" xfId="2747"/>
    <cellStyle name="40% - akcent 1 25" xfId="2748"/>
    <cellStyle name="40% - akcent 1 26" xfId="2749"/>
    <cellStyle name="40% - akcent 1 27" xfId="2750"/>
    <cellStyle name="40% - akcent 1 28" xfId="2751"/>
    <cellStyle name="40% - akcent 1 29" xfId="2752"/>
    <cellStyle name="40% - akcent 1 3" xfId="2753"/>
    <cellStyle name="40% - akcent 1 3 2" xfId="2754"/>
    <cellStyle name="40% - akcent 1 3 2 2" xfId="2755"/>
    <cellStyle name="40% - akcent 1 3 3" xfId="2756"/>
    <cellStyle name="40% - akcent 1 3 3 2" xfId="2757"/>
    <cellStyle name="40% - akcent 1 3 4" xfId="2758"/>
    <cellStyle name="40% - akcent 1 3 4 2" xfId="2759"/>
    <cellStyle name="40% - akcent 1 3 5" xfId="2760"/>
    <cellStyle name="40% - akcent 1 3 6" xfId="2761"/>
    <cellStyle name="40% - akcent 1 3 7" xfId="2762"/>
    <cellStyle name="40% - akcent 1 3 8" xfId="2763"/>
    <cellStyle name="40% - akcent 1 30" xfId="2764"/>
    <cellStyle name="40% - akcent 1 30 2" xfId="2765"/>
    <cellStyle name="40% - akcent 1 31" xfId="2766"/>
    <cellStyle name="40% - akcent 1 31 2" xfId="2767"/>
    <cellStyle name="40% - akcent 1 32" xfId="2768"/>
    <cellStyle name="40% - akcent 1 32 2" xfId="2769"/>
    <cellStyle name="40% - akcent 1 33" xfId="2770"/>
    <cellStyle name="40% - akcent 1 33 2" xfId="2771"/>
    <cellStyle name="40% - akcent 1 34" xfId="2772"/>
    <cellStyle name="40% - akcent 1 34 2" xfId="2773"/>
    <cellStyle name="40% - akcent 1 35" xfId="2774"/>
    <cellStyle name="40% - akcent 1 35 2" xfId="2775"/>
    <cellStyle name="40% - akcent 1 36" xfId="2776"/>
    <cellStyle name="40% - akcent 1 36 2" xfId="2777"/>
    <cellStyle name="40% - akcent 1 37" xfId="2778"/>
    <cellStyle name="40% - akcent 1 37 2" xfId="2779"/>
    <cellStyle name="40% - akcent 1 38" xfId="2780"/>
    <cellStyle name="40% - akcent 1 38 2" xfId="2781"/>
    <cellStyle name="40% - akcent 1 39" xfId="2782"/>
    <cellStyle name="40% - akcent 1 39 2" xfId="2783"/>
    <cellStyle name="40% - akcent 1 4" xfId="2784"/>
    <cellStyle name="40% - akcent 1 4 2" xfId="2785"/>
    <cellStyle name="40% - akcent 1 4 2 2" xfId="2786"/>
    <cellStyle name="40% - akcent 1 4 3" xfId="2787"/>
    <cellStyle name="40% - akcent 1 4 3 2" xfId="2788"/>
    <cellStyle name="40% - akcent 1 4 4" xfId="2789"/>
    <cellStyle name="40% - akcent 1 4 4 2" xfId="2790"/>
    <cellStyle name="40% - akcent 1 4 5" xfId="2791"/>
    <cellStyle name="40% - akcent 1 4 6" xfId="2792"/>
    <cellStyle name="40% - akcent 1 4 7" xfId="2793"/>
    <cellStyle name="40% - akcent 1 4 8" xfId="2794"/>
    <cellStyle name="40% - akcent 1 40" xfId="2795"/>
    <cellStyle name="40% - akcent 1 40 2" xfId="2796"/>
    <cellStyle name="40% - akcent 1 41" xfId="2797"/>
    <cellStyle name="40% - akcent 1 41 2" xfId="2798"/>
    <cellStyle name="40% - akcent 1 42" xfId="2799"/>
    <cellStyle name="40% - akcent 1 42 2" xfId="2800"/>
    <cellStyle name="40% - akcent 1 43" xfId="2801"/>
    <cellStyle name="40% - akcent 1 43 2" xfId="2802"/>
    <cellStyle name="40% - akcent 1 44" xfId="2803"/>
    <cellStyle name="40% - akcent 1 44 2" xfId="2804"/>
    <cellStyle name="40% - akcent 1 45" xfId="2805"/>
    <cellStyle name="40% - akcent 1 45 2" xfId="2806"/>
    <cellStyle name="40% - akcent 1 46" xfId="2807"/>
    <cellStyle name="40% - akcent 1 46 2" xfId="2808"/>
    <cellStyle name="40% - akcent 1 47" xfId="2809"/>
    <cellStyle name="40% - akcent 1 47 2" xfId="2810"/>
    <cellStyle name="40% - akcent 1 48" xfId="2811"/>
    <cellStyle name="40% - akcent 1 48 2" xfId="2812"/>
    <cellStyle name="40% - akcent 1 49" xfId="2813"/>
    <cellStyle name="40% - akcent 1 49 2" xfId="2814"/>
    <cellStyle name="40% - akcent 1 5" xfId="2815"/>
    <cellStyle name="40% - akcent 1 5 2" xfId="2816"/>
    <cellStyle name="40% - akcent 1 5 3" xfId="2817"/>
    <cellStyle name="40% - akcent 1 50" xfId="2818"/>
    <cellStyle name="40% - akcent 1 50 2" xfId="2819"/>
    <cellStyle name="40% - akcent 1 51" xfId="2820"/>
    <cellStyle name="40% - akcent 1 51 2" xfId="2821"/>
    <cellStyle name="40% - akcent 1 52" xfId="2822"/>
    <cellStyle name="40% - akcent 1 52 2" xfId="2823"/>
    <cellStyle name="40% - akcent 1 53" xfId="2824"/>
    <cellStyle name="40% - akcent 1 53 2" xfId="2825"/>
    <cellStyle name="40% - akcent 1 54" xfId="2826"/>
    <cellStyle name="40% - akcent 1 54 2" xfId="2827"/>
    <cellStyle name="40% - akcent 1 55" xfId="2828"/>
    <cellStyle name="40% - akcent 1 55 2" xfId="2829"/>
    <cellStyle name="40% - akcent 1 56" xfId="2830"/>
    <cellStyle name="40% - akcent 1 56 2" xfId="2831"/>
    <cellStyle name="40% - akcent 1 57" xfId="2832"/>
    <cellStyle name="40% - akcent 1 57 2" xfId="2833"/>
    <cellStyle name="40% - akcent 1 58" xfId="2834"/>
    <cellStyle name="40% - akcent 1 58 2" xfId="2835"/>
    <cellStyle name="40% - akcent 1 59" xfId="2836"/>
    <cellStyle name="40% - akcent 1 59 2" xfId="2837"/>
    <cellStyle name="40% - akcent 1 6" xfId="2838"/>
    <cellStyle name="40% - akcent 1 60" xfId="2839"/>
    <cellStyle name="40% - akcent 1 60 2" xfId="2840"/>
    <cellStyle name="40% - akcent 1 61" xfId="2841"/>
    <cellStyle name="40% - akcent 1 61 2" xfId="2842"/>
    <cellStyle name="40% - akcent 1 62" xfId="2843"/>
    <cellStyle name="40% - akcent 1 62 2" xfId="2844"/>
    <cellStyle name="40% - akcent 1 63" xfId="2845"/>
    <cellStyle name="40% - akcent 1 63 2" xfId="2846"/>
    <cellStyle name="40% - akcent 1 64" xfId="2847"/>
    <cellStyle name="40% - akcent 1 64 2" xfId="2848"/>
    <cellStyle name="40% - akcent 1 65" xfId="2849"/>
    <cellStyle name="40% - akcent 1 65 2" xfId="2850"/>
    <cellStyle name="40% - akcent 1 66" xfId="2851"/>
    <cellStyle name="40% - akcent 1 66 2" xfId="2852"/>
    <cellStyle name="40% - akcent 1 67" xfId="2853"/>
    <cellStyle name="40% - akcent 1 67 2" xfId="2854"/>
    <cellStyle name="40% - akcent 1 68" xfId="2855"/>
    <cellStyle name="40% - akcent 1 68 2" xfId="2856"/>
    <cellStyle name="40% - akcent 1 69" xfId="2857"/>
    <cellStyle name="40% - akcent 1 69 2" xfId="2858"/>
    <cellStyle name="40% - akcent 1 7" xfId="2859"/>
    <cellStyle name="40% - akcent 1 70" xfId="2860"/>
    <cellStyle name="40% - akcent 1 70 2" xfId="2861"/>
    <cellStyle name="40% - akcent 1 71" xfId="2862"/>
    <cellStyle name="40% - akcent 1 71 2" xfId="2863"/>
    <cellStyle name="40% - akcent 1 72" xfId="2864"/>
    <cellStyle name="40% - akcent 1 72 2" xfId="2865"/>
    <cellStyle name="40% - akcent 1 73" xfId="2866"/>
    <cellStyle name="40% - akcent 1 73 2" xfId="2867"/>
    <cellStyle name="40% - akcent 1 74" xfId="2868"/>
    <cellStyle name="40% - akcent 1 74 2" xfId="2869"/>
    <cellStyle name="40% - akcent 1 75" xfId="2870"/>
    <cellStyle name="40% - akcent 1 75 2" xfId="2871"/>
    <cellStyle name="40% - akcent 1 76" xfId="2872"/>
    <cellStyle name="40% - akcent 1 76 2" xfId="2873"/>
    <cellStyle name="40% - akcent 1 77" xfId="2874"/>
    <cellStyle name="40% - akcent 1 77 2" xfId="2875"/>
    <cellStyle name="40% - akcent 1 78" xfId="2876"/>
    <cellStyle name="40% - akcent 1 78 2" xfId="2877"/>
    <cellStyle name="40% - akcent 1 79" xfId="2878"/>
    <cellStyle name="40% - akcent 1 79 2" xfId="2879"/>
    <cellStyle name="40% - akcent 1 8" xfId="2880"/>
    <cellStyle name="40% - akcent 1 80" xfId="2881"/>
    <cellStyle name="40% - akcent 1 80 2" xfId="2882"/>
    <cellStyle name="40% - akcent 1 81" xfId="2883"/>
    <cellStyle name="40% - akcent 1 81 2" xfId="2884"/>
    <cellStyle name="40% - akcent 1 82" xfId="2885"/>
    <cellStyle name="40% - akcent 1 82 2" xfId="2886"/>
    <cellStyle name="40% - akcent 1 83" xfId="2887"/>
    <cellStyle name="40% - akcent 1 83 2" xfId="2888"/>
    <cellStyle name="40% - akcent 1 84" xfId="2889"/>
    <cellStyle name="40% - akcent 1 84 2" xfId="2890"/>
    <cellStyle name="40% - akcent 1 85" xfId="2891"/>
    <cellStyle name="40% - akcent 1 85 2" xfId="2892"/>
    <cellStyle name="40% - akcent 1 86" xfId="2893"/>
    <cellStyle name="40% - akcent 1 86 2" xfId="2894"/>
    <cellStyle name="40% - akcent 1 87" xfId="2895"/>
    <cellStyle name="40% - akcent 1 87 2" xfId="2896"/>
    <cellStyle name="40% - akcent 1 88" xfId="2897"/>
    <cellStyle name="40% - akcent 1 88 2" xfId="2898"/>
    <cellStyle name="40% - akcent 1 89" xfId="2899"/>
    <cellStyle name="40% - akcent 1 89 2" xfId="2900"/>
    <cellStyle name="40% - akcent 1 9" xfId="2901"/>
    <cellStyle name="40% - akcent 1 90" xfId="2902"/>
    <cellStyle name="40% - akcent 1 90 2" xfId="2903"/>
    <cellStyle name="40% - akcent 1 91" xfId="2904"/>
    <cellStyle name="40% - akcent 1 91 2" xfId="2905"/>
    <cellStyle name="40% - akcent 1 92" xfId="2906"/>
    <cellStyle name="40% - akcent 1 92 2" xfId="2907"/>
    <cellStyle name="40% - akcent 1 93" xfId="2908"/>
    <cellStyle name="40% - akcent 1 93 2" xfId="2909"/>
    <cellStyle name="40% - akcent 1 94" xfId="2910"/>
    <cellStyle name="40% - akcent 1 94 2" xfId="2911"/>
    <cellStyle name="40% - akcent 1 95" xfId="2912"/>
    <cellStyle name="40% - akcent 1 95 2" xfId="2913"/>
    <cellStyle name="40% - akcent 1 96" xfId="2914"/>
    <cellStyle name="40% - akcent 1 96 2" xfId="2915"/>
    <cellStyle name="40% - akcent 1 97" xfId="2916"/>
    <cellStyle name="40% - akcent 1 97 2" xfId="2917"/>
    <cellStyle name="40% - akcent 1 98" xfId="2918"/>
    <cellStyle name="40% - akcent 1 98 2" xfId="2919"/>
    <cellStyle name="40% - akcent 1 99" xfId="2920"/>
    <cellStyle name="40% - akcent 1 99 2" xfId="2921"/>
    <cellStyle name="40% - akcent 2 10" xfId="2922"/>
    <cellStyle name="40% - akcent 2 100" xfId="2923"/>
    <cellStyle name="40% - akcent 2 100 2" xfId="2924"/>
    <cellStyle name="40% - akcent 2 101" xfId="2925"/>
    <cellStyle name="40% - akcent 2 101 2" xfId="2926"/>
    <cellStyle name="40% - akcent 2 102" xfId="2927"/>
    <cellStyle name="40% - akcent 2 102 2" xfId="2928"/>
    <cellStyle name="40% - akcent 2 103" xfId="2929"/>
    <cellStyle name="40% - akcent 2 103 2" xfId="2930"/>
    <cellStyle name="40% - akcent 2 104" xfId="2931"/>
    <cellStyle name="40% - akcent 2 104 2" xfId="2932"/>
    <cellStyle name="40% - akcent 2 105" xfId="2933"/>
    <cellStyle name="40% - akcent 2 105 2" xfId="2934"/>
    <cellStyle name="40% - akcent 2 106" xfId="2935"/>
    <cellStyle name="40% - akcent 2 106 2" xfId="2936"/>
    <cellStyle name="40% - akcent 2 107" xfId="2937"/>
    <cellStyle name="40% - akcent 2 107 2" xfId="2938"/>
    <cellStyle name="40% - akcent 2 108" xfId="2939"/>
    <cellStyle name="40% - akcent 2 108 2" xfId="2940"/>
    <cellStyle name="40% - akcent 2 109" xfId="2941"/>
    <cellStyle name="40% - akcent 2 109 2" xfId="2942"/>
    <cellStyle name="40% - akcent 2 11" xfId="2943"/>
    <cellStyle name="40% - akcent 2 110" xfId="2944"/>
    <cellStyle name="40% - akcent 2 110 2" xfId="2945"/>
    <cellStyle name="40% - akcent 2 111" xfId="2946"/>
    <cellStyle name="40% - akcent 2 111 2" xfId="2947"/>
    <cellStyle name="40% - akcent 2 112" xfId="2948"/>
    <cellStyle name="40% - akcent 2 112 2" xfId="2949"/>
    <cellStyle name="40% - akcent 2 113" xfId="2950"/>
    <cellStyle name="40% - akcent 2 113 2" xfId="2951"/>
    <cellStyle name="40% - akcent 2 114" xfId="2952"/>
    <cellStyle name="40% - akcent 2 114 2" xfId="2953"/>
    <cellStyle name="40% - akcent 2 115" xfId="2954"/>
    <cellStyle name="40% - akcent 2 115 2" xfId="2955"/>
    <cellStyle name="40% - akcent 2 116" xfId="2956"/>
    <cellStyle name="40% - akcent 2 116 2" xfId="2957"/>
    <cellStyle name="40% - akcent 2 117" xfId="2958"/>
    <cellStyle name="40% - akcent 2 117 2" xfId="2959"/>
    <cellStyle name="40% - akcent 2 118" xfId="2960"/>
    <cellStyle name="40% - akcent 2 118 2" xfId="2961"/>
    <cellStyle name="40% - akcent 2 119" xfId="2962"/>
    <cellStyle name="40% - akcent 2 119 2" xfId="2963"/>
    <cellStyle name="40% - akcent 2 12" xfId="2964"/>
    <cellStyle name="40% - akcent 2 120" xfId="2965"/>
    <cellStyle name="40% - akcent 2 121" xfId="2966"/>
    <cellStyle name="40% - akcent 2 13" xfId="2967"/>
    <cellStyle name="40% - akcent 2 14" xfId="2968"/>
    <cellStyle name="40% - akcent 2 15" xfId="2969"/>
    <cellStyle name="40% - akcent 2 16" xfId="2970"/>
    <cellStyle name="40% - akcent 2 17" xfId="2971"/>
    <cellStyle name="40% - akcent 2 18" xfId="2972"/>
    <cellStyle name="40% - akcent 2 19" xfId="2973"/>
    <cellStyle name="40% - akcent 2 2" xfId="2974"/>
    <cellStyle name="40% - akcent 2 2 10" xfId="2975"/>
    <cellStyle name="40% - akcent 2 2 10 2" xfId="2976"/>
    <cellStyle name="40% - akcent 2 2 10 3" xfId="2977"/>
    <cellStyle name="40% - akcent 2 2 10 4" xfId="2978"/>
    <cellStyle name="40% - akcent 2 2 10 5" xfId="2979"/>
    <cellStyle name="40% - akcent 2 2 10 6" xfId="2980"/>
    <cellStyle name="40% - akcent 2 2 11" xfId="2981"/>
    <cellStyle name="40% - akcent 2 2 11 2" xfId="2982"/>
    <cellStyle name="40% - akcent 2 2 11 3" xfId="2983"/>
    <cellStyle name="40% - akcent 2 2 11 4" xfId="2984"/>
    <cellStyle name="40% - akcent 2 2 11 5" xfId="2985"/>
    <cellStyle name="40% - akcent 2 2 11 6" xfId="2986"/>
    <cellStyle name="40% - akcent 2 2 12" xfId="2987"/>
    <cellStyle name="40% - akcent 2 2 12 2" xfId="2988"/>
    <cellStyle name="40% - akcent 2 2 12 3" xfId="2989"/>
    <cellStyle name="40% - akcent 2 2 12 4" xfId="2990"/>
    <cellStyle name="40% - akcent 2 2 12 5" xfId="2991"/>
    <cellStyle name="40% - akcent 2 2 12 6" xfId="2992"/>
    <cellStyle name="40% - akcent 2 2 13" xfId="2993"/>
    <cellStyle name="40% - akcent 2 2 13 2" xfId="2994"/>
    <cellStyle name="40% - akcent 2 2 13 3" xfId="2995"/>
    <cellStyle name="40% - akcent 2 2 13 4" xfId="2996"/>
    <cellStyle name="40% - akcent 2 2 13 5" xfId="2997"/>
    <cellStyle name="40% - akcent 2 2 13 6" xfId="2998"/>
    <cellStyle name="40% - akcent 2 2 14" xfId="2999"/>
    <cellStyle name="40% - akcent 2 2 14 2" xfId="3000"/>
    <cellStyle name="40% - akcent 2 2 14 3" xfId="3001"/>
    <cellStyle name="40% - akcent 2 2 14 4" xfId="3002"/>
    <cellStyle name="40% - akcent 2 2 14 5" xfId="3003"/>
    <cellStyle name="40% - akcent 2 2 14 6" xfId="3004"/>
    <cellStyle name="40% - akcent 2 2 15" xfId="3005"/>
    <cellStyle name="40% - akcent 2 2 15 2" xfId="3006"/>
    <cellStyle name="40% - akcent 2 2 15 3" xfId="3007"/>
    <cellStyle name="40% - akcent 2 2 15 4" xfId="3008"/>
    <cellStyle name="40% - akcent 2 2 15 5" xfId="3009"/>
    <cellStyle name="40% - akcent 2 2 15 6" xfId="3010"/>
    <cellStyle name="40% - akcent 2 2 16" xfId="3011"/>
    <cellStyle name="40% - akcent 2 2 16 2" xfId="3012"/>
    <cellStyle name="40% - akcent 2 2 16 3" xfId="3013"/>
    <cellStyle name="40% - akcent 2 2 16 4" xfId="3014"/>
    <cellStyle name="40% - akcent 2 2 16 5" xfId="3015"/>
    <cellStyle name="40% - akcent 2 2 16 6" xfId="3016"/>
    <cellStyle name="40% - akcent 2 2 17" xfId="3017"/>
    <cellStyle name="40% - akcent 2 2 17 2" xfId="3018"/>
    <cellStyle name="40% - akcent 2 2 17 3" xfId="3019"/>
    <cellStyle name="40% - akcent 2 2 17 4" xfId="3020"/>
    <cellStyle name="40% - akcent 2 2 17 5" xfId="3021"/>
    <cellStyle name="40% - akcent 2 2 17 6" xfId="3022"/>
    <cellStyle name="40% - akcent 2 2 18" xfId="3023"/>
    <cellStyle name="40% - akcent 2 2 18 2" xfId="3024"/>
    <cellStyle name="40% - akcent 2 2 18 3" xfId="3025"/>
    <cellStyle name="40% - akcent 2 2 18 4" xfId="3026"/>
    <cellStyle name="40% - akcent 2 2 18 5" xfId="3027"/>
    <cellStyle name="40% - akcent 2 2 18 6" xfId="3028"/>
    <cellStyle name="40% - akcent 2 2 19" xfId="3029"/>
    <cellStyle name="40% - akcent 2 2 19 2" xfId="3030"/>
    <cellStyle name="40% - akcent 2 2 19 3" xfId="3031"/>
    <cellStyle name="40% - akcent 2 2 19 4" xfId="3032"/>
    <cellStyle name="40% - akcent 2 2 19 5" xfId="3033"/>
    <cellStyle name="40% - akcent 2 2 19 6" xfId="3034"/>
    <cellStyle name="40% - akcent 2 2 2" xfId="3035"/>
    <cellStyle name="40% - akcent 2 2 2 2" xfId="3036"/>
    <cellStyle name="40% - akcent 2 2 2 3" xfId="3037"/>
    <cellStyle name="40% - akcent 2 2 2 4" xfId="3038"/>
    <cellStyle name="40% - akcent 2 2 2 5" xfId="3039"/>
    <cellStyle name="40% - akcent 2 2 2 6" xfId="3040"/>
    <cellStyle name="40% - akcent 2 2 2 7" xfId="3041"/>
    <cellStyle name="40% - akcent 2 2 20" xfId="3042"/>
    <cellStyle name="40% - akcent 2 2 20 2" xfId="3043"/>
    <cellStyle name="40% - akcent 2 2 20 3" xfId="3044"/>
    <cellStyle name="40% - akcent 2 2 20 4" xfId="3045"/>
    <cellStyle name="40% - akcent 2 2 20 5" xfId="3046"/>
    <cellStyle name="40% - akcent 2 2 20 6" xfId="3047"/>
    <cellStyle name="40% - akcent 2 2 21" xfId="3048"/>
    <cellStyle name="40% - akcent 2 2 21 2" xfId="3049"/>
    <cellStyle name="40% - akcent 2 2 21 3" xfId="3050"/>
    <cellStyle name="40% - akcent 2 2 21 4" xfId="3051"/>
    <cellStyle name="40% - akcent 2 2 21 5" xfId="3052"/>
    <cellStyle name="40% - akcent 2 2 21 6" xfId="3053"/>
    <cellStyle name="40% - akcent 2 2 22" xfId="3054"/>
    <cellStyle name="40% - akcent 2 2 22 2" xfId="3055"/>
    <cellStyle name="40% - akcent 2 2 22 3" xfId="3056"/>
    <cellStyle name="40% - akcent 2 2 22 4" xfId="3057"/>
    <cellStyle name="40% - akcent 2 2 22 5" xfId="3058"/>
    <cellStyle name="40% - akcent 2 2 22 6" xfId="3059"/>
    <cellStyle name="40% - akcent 2 2 23" xfId="3060"/>
    <cellStyle name="40% - akcent 2 2 23 2" xfId="3061"/>
    <cellStyle name="40% - akcent 2 2 23 3" xfId="3062"/>
    <cellStyle name="40% - akcent 2 2 23 4" xfId="3063"/>
    <cellStyle name="40% - akcent 2 2 23 5" xfId="3064"/>
    <cellStyle name="40% - akcent 2 2 23 6" xfId="3065"/>
    <cellStyle name="40% - akcent 2 2 24" xfId="3066"/>
    <cellStyle name="40% - akcent 2 2 24 2" xfId="3067"/>
    <cellStyle name="40% - akcent 2 2 24 3" xfId="3068"/>
    <cellStyle name="40% - akcent 2 2 24 4" xfId="3069"/>
    <cellStyle name="40% - akcent 2 2 24 5" xfId="3070"/>
    <cellStyle name="40% - akcent 2 2 24 6" xfId="3071"/>
    <cellStyle name="40% - akcent 2 2 25" xfId="3072"/>
    <cellStyle name="40% - akcent 2 2 25 2" xfId="3073"/>
    <cellStyle name="40% - akcent 2 2 25 3" xfId="3074"/>
    <cellStyle name="40% - akcent 2 2 25 4" xfId="3075"/>
    <cellStyle name="40% - akcent 2 2 25 5" xfId="3076"/>
    <cellStyle name="40% - akcent 2 2 25 6" xfId="3077"/>
    <cellStyle name="40% - akcent 2 2 26" xfId="3078"/>
    <cellStyle name="40% - akcent 2 2 26 2" xfId="3079"/>
    <cellStyle name="40% - akcent 2 2 26 3" xfId="3080"/>
    <cellStyle name="40% - akcent 2 2 26 4" xfId="3081"/>
    <cellStyle name="40% - akcent 2 2 26 5" xfId="3082"/>
    <cellStyle name="40% - akcent 2 2 26 6" xfId="3083"/>
    <cellStyle name="40% - akcent 2 2 27" xfId="3084"/>
    <cellStyle name="40% - akcent 2 2 27 2" xfId="3085"/>
    <cellStyle name="40% - akcent 2 2 27 3" xfId="3086"/>
    <cellStyle name="40% - akcent 2 2 27 4" xfId="3087"/>
    <cellStyle name="40% - akcent 2 2 27 5" xfId="3088"/>
    <cellStyle name="40% - akcent 2 2 27 6" xfId="3089"/>
    <cellStyle name="40% - akcent 2 2 28" xfId="3090"/>
    <cellStyle name="40% - akcent 2 2 28 2" xfId="3091"/>
    <cellStyle name="40% - akcent 2 2 28 3" xfId="3092"/>
    <cellStyle name="40% - akcent 2 2 28 4" xfId="3093"/>
    <cellStyle name="40% - akcent 2 2 28 5" xfId="3094"/>
    <cellStyle name="40% - akcent 2 2 28 6" xfId="3095"/>
    <cellStyle name="40% - akcent 2 2 29" xfId="3096"/>
    <cellStyle name="40% - akcent 2 2 29 2" xfId="3097"/>
    <cellStyle name="40% - akcent 2 2 3" xfId="3098"/>
    <cellStyle name="40% - akcent 2 2 3 2" xfId="3099"/>
    <cellStyle name="40% - akcent 2 2 3 3" xfId="3100"/>
    <cellStyle name="40% - akcent 2 2 3 4" xfId="3101"/>
    <cellStyle name="40% - akcent 2 2 3 5" xfId="3102"/>
    <cellStyle name="40% - akcent 2 2 3 6" xfId="3103"/>
    <cellStyle name="40% - akcent 2 2 3 7" xfId="3104"/>
    <cellStyle name="40% - akcent 2 2 30" xfId="3105"/>
    <cellStyle name="40% - akcent 2 2 30 2" xfId="3106"/>
    <cellStyle name="40% - akcent 2 2 31" xfId="3107"/>
    <cellStyle name="40% - akcent 2 2 31 2" xfId="3108"/>
    <cellStyle name="40% - akcent 2 2 32" xfId="3109"/>
    <cellStyle name="40% - akcent 2 2 32 2" xfId="3110"/>
    <cellStyle name="40% - akcent 2 2 33" xfId="3111"/>
    <cellStyle name="40% - akcent 2 2 34" xfId="3112"/>
    <cellStyle name="40% - akcent 2 2 35" xfId="3113"/>
    <cellStyle name="40% - akcent 2 2 36" xfId="3114"/>
    <cellStyle name="40% - akcent 2 2 37" xfId="3115"/>
    <cellStyle name="40% - akcent 2 2 38" xfId="3116"/>
    <cellStyle name="40% - akcent 2 2 39" xfId="3117"/>
    <cellStyle name="40% - akcent 2 2 4" xfId="3118"/>
    <cellStyle name="40% - akcent 2 2 4 2" xfId="3119"/>
    <cellStyle name="40% - akcent 2 2 4 3" xfId="3120"/>
    <cellStyle name="40% - akcent 2 2 4 4" xfId="3121"/>
    <cellStyle name="40% - akcent 2 2 4 5" xfId="3122"/>
    <cellStyle name="40% - akcent 2 2 4 6" xfId="3123"/>
    <cellStyle name="40% - akcent 2 2 4 7" xfId="3124"/>
    <cellStyle name="40% - akcent 2 2 40" xfId="3125"/>
    <cellStyle name="40% - akcent 2 2 41" xfId="3126"/>
    <cellStyle name="40% - akcent 2 2 42" xfId="3127"/>
    <cellStyle name="40% - akcent 2 2 43" xfId="3128"/>
    <cellStyle name="40% - akcent 2 2 44" xfId="3129"/>
    <cellStyle name="40% - akcent 2 2 45" xfId="3130"/>
    <cellStyle name="40% - akcent 2 2 46" xfId="3131"/>
    <cellStyle name="40% - akcent 2 2 47" xfId="3132"/>
    <cellStyle name="40% - akcent 2 2 48" xfId="3133"/>
    <cellStyle name="40% - akcent 2 2 49" xfId="3134"/>
    <cellStyle name="40% - akcent 2 2 5" xfId="3135"/>
    <cellStyle name="40% - akcent 2 2 5 2" xfId="3136"/>
    <cellStyle name="40% - akcent 2 2 5 3" xfId="3137"/>
    <cellStyle name="40% - akcent 2 2 5 4" xfId="3138"/>
    <cellStyle name="40% - akcent 2 2 5 5" xfId="3139"/>
    <cellStyle name="40% - akcent 2 2 5 6" xfId="3140"/>
    <cellStyle name="40% - akcent 2 2 50" xfId="3141"/>
    <cellStyle name="40% - akcent 2 2 51" xfId="3142"/>
    <cellStyle name="40% - akcent 2 2 6" xfId="3143"/>
    <cellStyle name="40% - akcent 2 2 6 2" xfId="3144"/>
    <cellStyle name="40% - akcent 2 2 6 3" xfId="3145"/>
    <cellStyle name="40% - akcent 2 2 6 4" xfId="3146"/>
    <cellStyle name="40% - akcent 2 2 6 5" xfId="3147"/>
    <cellStyle name="40% - akcent 2 2 6 6" xfId="3148"/>
    <cellStyle name="40% - akcent 2 2 7" xfId="3149"/>
    <cellStyle name="40% - akcent 2 2 7 2" xfId="3150"/>
    <cellStyle name="40% - akcent 2 2 7 3" xfId="3151"/>
    <cellStyle name="40% - akcent 2 2 7 4" xfId="3152"/>
    <cellStyle name="40% - akcent 2 2 7 5" xfId="3153"/>
    <cellStyle name="40% - akcent 2 2 7 6" xfId="3154"/>
    <cellStyle name="40% - akcent 2 2 8" xfId="3155"/>
    <cellStyle name="40% - akcent 2 2 8 2" xfId="3156"/>
    <cellStyle name="40% - akcent 2 2 8 3" xfId="3157"/>
    <cellStyle name="40% - akcent 2 2 8 4" xfId="3158"/>
    <cellStyle name="40% - akcent 2 2 8 5" xfId="3159"/>
    <cellStyle name="40% - akcent 2 2 8 6" xfId="3160"/>
    <cellStyle name="40% - akcent 2 2 9" xfId="3161"/>
    <cellStyle name="40% - akcent 2 2 9 2" xfId="3162"/>
    <cellStyle name="40% - akcent 2 2 9 3" xfId="3163"/>
    <cellStyle name="40% - akcent 2 2 9 4" xfId="3164"/>
    <cellStyle name="40% - akcent 2 2 9 5" xfId="3165"/>
    <cellStyle name="40% - akcent 2 2 9 6" xfId="3166"/>
    <cellStyle name="40% - akcent 2 20" xfId="3167"/>
    <cellStyle name="40% - akcent 2 21" xfId="3168"/>
    <cellStyle name="40% - akcent 2 22" xfId="3169"/>
    <cellStyle name="40% - akcent 2 23" xfId="3170"/>
    <cellStyle name="40% - akcent 2 24" xfId="3171"/>
    <cellStyle name="40% - akcent 2 25" xfId="3172"/>
    <cellStyle name="40% - akcent 2 26" xfId="3173"/>
    <cellStyle name="40% - akcent 2 27" xfId="3174"/>
    <cellStyle name="40% - akcent 2 28" xfId="3175"/>
    <cellStyle name="40% - akcent 2 29" xfId="3176"/>
    <cellStyle name="40% - akcent 2 3" xfId="3177"/>
    <cellStyle name="40% - akcent 2 3 2" xfId="3178"/>
    <cellStyle name="40% - akcent 2 3 2 2" xfId="3179"/>
    <cellStyle name="40% - akcent 2 3 3" xfId="3180"/>
    <cellStyle name="40% - akcent 2 3 3 2" xfId="3181"/>
    <cellStyle name="40% - akcent 2 3 4" xfId="3182"/>
    <cellStyle name="40% - akcent 2 3 4 2" xfId="3183"/>
    <cellStyle name="40% - akcent 2 3 5" xfId="3184"/>
    <cellStyle name="40% - akcent 2 3 6" xfId="3185"/>
    <cellStyle name="40% - akcent 2 3 7" xfId="3186"/>
    <cellStyle name="40% - akcent 2 3 8" xfId="3187"/>
    <cellStyle name="40% - akcent 2 30" xfId="3188"/>
    <cellStyle name="40% - akcent 2 30 2" xfId="3189"/>
    <cellStyle name="40% - akcent 2 31" xfId="3190"/>
    <cellStyle name="40% - akcent 2 31 2" xfId="3191"/>
    <cellStyle name="40% - akcent 2 32" xfId="3192"/>
    <cellStyle name="40% - akcent 2 32 2" xfId="3193"/>
    <cellStyle name="40% - akcent 2 33" xfId="3194"/>
    <cellStyle name="40% - akcent 2 33 2" xfId="3195"/>
    <cellStyle name="40% - akcent 2 34" xfId="3196"/>
    <cellStyle name="40% - akcent 2 34 2" xfId="3197"/>
    <cellStyle name="40% - akcent 2 35" xfId="3198"/>
    <cellStyle name="40% - akcent 2 35 2" xfId="3199"/>
    <cellStyle name="40% - akcent 2 36" xfId="3200"/>
    <cellStyle name="40% - akcent 2 36 2" xfId="3201"/>
    <cellStyle name="40% - akcent 2 37" xfId="3202"/>
    <cellStyle name="40% - akcent 2 37 2" xfId="3203"/>
    <cellStyle name="40% - akcent 2 38" xfId="3204"/>
    <cellStyle name="40% - akcent 2 38 2" xfId="3205"/>
    <cellStyle name="40% - akcent 2 39" xfId="3206"/>
    <cellStyle name="40% - akcent 2 39 2" xfId="3207"/>
    <cellStyle name="40% - akcent 2 4" xfId="3208"/>
    <cellStyle name="40% - akcent 2 4 2" xfId="3209"/>
    <cellStyle name="40% - akcent 2 4 2 2" xfId="3210"/>
    <cellStyle name="40% - akcent 2 4 3" xfId="3211"/>
    <cellStyle name="40% - akcent 2 4 3 2" xfId="3212"/>
    <cellStyle name="40% - akcent 2 4 4" xfId="3213"/>
    <cellStyle name="40% - akcent 2 4 4 2" xfId="3214"/>
    <cellStyle name="40% - akcent 2 4 5" xfId="3215"/>
    <cellStyle name="40% - akcent 2 4 6" xfId="3216"/>
    <cellStyle name="40% - akcent 2 4 7" xfId="3217"/>
    <cellStyle name="40% - akcent 2 4 8" xfId="3218"/>
    <cellStyle name="40% - akcent 2 40" xfId="3219"/>
    <cellStyle name="40% - akcent 2 40 2" xfId="3220"/>
    <cellStyle name="40% - akcent 2 41" xfId="3221"/>
    <cellStyle name="40% - akcent 2 41 2" xfId="3222"/>
    <cellStyle name="40% - akcent 2 42" xfId="3223"/>
    <cellStyle name="40% - akcent 2 42 2" xfId="3224"/>
    <cellStyle name="40% - akcent 2 43" xfId="3225"/>
    <cellStyle name="40% - akcent 2 43 2" xfId="3226"/>
    <cellStyle name="40% - akcent 2 44" xfId="3227"/>
    <cellStyle name="40% - akcent 2 44 2" xfId="3228"/>
    <cellStyle name="40% - akcent 2 45" xfId="3229"/>
    <cellStyle name="40% - akcent 2 45 2" xfId="3230"/>
    <cellStyle name="40% - akcent 2 46" xfId="3231"/>
    <cellStyle name="40% - akcent 2 46 2" xfId="3232"/>
    <cellStyle name="40% - akcent 2 47" xfId="3233"/>
    <cellStyle name="40% - akcent 2 47 2" xfId="3234"/>
    <cellStyle name="40% - akcent 2 48" xfId="3235"/>
    <cellStyle name="40% - akcent 2 48 2" xfId="3236"/>
    <cellStyle name="40% - akcent 2 49" xfId="3237"/>
    <cellStyle name="40% - akcent 2 49 2" xfId="3238"/>
    <cellStyle name="40% - akcent 2 5" xfId="3239"/>
    <cellStyle name="40% - akcent 2 5 2" xfId="3240"/>
    <cellStyle name="40% - akcent 2 5 3" xfId="3241"/>
    <cellStyle name="40% - akcent 2 50" xfId="3242"/>
    <cellStyle name="40% - akcent 2 50 2" xfId="3243"/>
    <cellStyle name="40% - akcent 2 51" xfId="3244"/>
    <cellStyle name="40% - akcent 2 51 2" xfId="3245"/>
    <cellStyle name="40% - akcent 2 52" xfId="3246"/>
    <cellStyle name="40% - akcent 2 52 2" xfId="3247"/>
    <cellStyle name="40% - akcent 2 53" xfId="3248"/>
    <cellStyle name="40% - akcent 2 53 2" xfId="3249"/>
    <cellStyle name="40% - akcent 2 54" xfId="3250"/>
    <cellStyle name="40% - akcent 2 54 2" xfId="3251"/>
    <cellStyle name="40% - akcent 2 55" xfId="3252"/>
    <cellStyle name="40% - akcent 2 55 2" xfId="3253"/>
    <cellStyle name="40% - akcent 2 56" xfId="3254"/>
    <cellStyle name="40% - akcent 2 56 2" xfId="3255"/>
    <cellStyle name="40% - akcent 2 57" xfId="3256"/>
    <cellStyle name="40% - akcent 2 57 2" xfId="3257"/>
    <cellStyle name="40% - akcent 2 58" xfId="3258"/>
    <cellStyle name="40% - akcent 2 58 2" xfId="3259"/>
    <cellStyle name="40% - akcent 2 59" xfId="3260"/>
    <cellStyle name="40% - akcent 2 59 2" xfId="3261"/>
    <cellStyle name="40% - akcent 2 6" xfId="3262"/>
    <cellStyle name="40% - akcent 2 60" xfId="3263"/>
    <cellStyle name="40% - akcent 2 60 2" xfId="3264"/>
    <cellStyle name="40% - akcent 2 61" xfId="3265"/>
    <cellStyle name="40% - akcent 2 61 2" xfId="3266"/>
    <cellStyle name="40% - akcent 2 62" xfId="3267"/>
    <cellStyle name="40% - akcent 2 62 2" xfId="3268"/>
    <cellStyle name="40% - akcent 2 63" xfId="3269"/>
    <cellStyle name="40% - akcent 2 63 2" xfId="3270"/>
    <cellStyle name="40% - akcent 2 64" xfId="3271"/>
    <cellStyle name="40% - akcent 2 64 2" xfId="3272"/>
    <cellStyle name="40% - akcent 2 65" xfId="3273"/>
    <cellStyle name="40% - akcent 2 65 2" xfId="3274"/>
    <cellStyle name="40% - akcent 2 66" xfId="3275"/>
    <cellStyle name="40% - akcent 2 66 2" xfId="3276"/>
    <cellStyle name="40% - akcent 2 67" xfId="3277"/>
    <cellStyle name="40% - akcent 2 67 2" xfId="3278"/>
    <cellStyle name="40% - akcent 2 68" xfId="3279"/>
    <cellStyle name="40% - akcent 2 68 2" xfId="3280"/>
    <cellStyle name="40% - akcent 2 69" xfId="3281"/>
    <cellStyle name="40% - akcent 2 69 2" xfId="3282"/>
    <cellStyle name="40% - akcent 2 7" xfId="3283"/>
    <cellStyle name="40% - akcent 2 70" xfId="3284"/>
    <cellStyle name="40% - akcent 2 70 2" xfId="3285"/>
    <cellStyle name="40% - akcent 2 71" xfId="3286"/>
    <cellStyle name="40% - akcent 2 71 2" xfId="3287"/>
    <cellStyle name="40% - akcent 2 72" xfId="3288"/>
    <cellStyle name="40% - akcent 2 72 2" xfId="3289"/>
    <cellStyle name="40% - akcent 2 73" xfId="3290"/>
    <cellStyle name="40% - akcent 2 73 2" xfId="3291"/>
    <cellStyle name="40% - akcent 2 74" xfId="3292"/>
    <cellStyle name="40% - akcent 2 74 2" xfId="3293"/>
    <cellStyle name="40% - akcent 2 75" xfId="3294"/>
    <cellStyle name="40% - akcent 2 75 2" xfId="3295"/>
    <cellStyle name="40% - akcent 2 76" xfId="3296"/>
    <cellStyle name="40% - akcent 2 76 2" xfId="3297"/>
    <cellStyle name="40% - akcent 2 77" xfId="3298"/>
    <cellStyle name="40% - akcent 2 77 2" xfId="3299"/>
    <cellStyle name="40% - akcent 2 78" xfId="3300"/>
    <cellStyle name="40% - akcent 2 78 2" xfId="3301"/>
    <cellStyle name="40% - akcent 2 79" xfId="3302"/>
    <cellStyle name="40% - akcent 2 79 2" xfId="3303"/>
    <cellStyle name="40% - akcent 2 8" xfId="3304"/>
    <cellStyle name="40% - akcent 2 80" xfId="3305"/>
    <cellStyle name="40% - akcent 2 80 2" xfId="3306"/>
    <cellStyle name="40% - akcent 2 81" xfId="3307"/>
    <cellStyle name="40% - akcent 2 81 2" xfId="3308"/>
    <cellStyle name="40% - akcent 2 82" xfId="3309"/>
    <cellStyle name="40% - akcent 2 82 2" xfId="3310"/>
    <cellStyle name="40% - akcent 2 83" xfId="3311"/>
    <cellStyle name="40% - akcent 2 83 2" xfId="3312"/>
    <cellStyle name="40% - akcent 2 84" xfId="3313"/>
    <cellStyle name="40% - akcent 2 84 2" xfId="3314"/>
    <cellStyle name="40% - akcent 2 85" xfId="3315"/>
    <cellStyle name="40% - akcent 2 85 2" xfId="3316"/>
    <cellStyle name="40% - akcent 2 86" xfId="3317"/>
    <cellStyle name="40% - akcent 2 86 2" xfId="3318"/>
    <cellStyle name="40% - akcent 2 87" xfId="3319"/>
    <cellStyle name="40% - akcent 2 87 2" xfId="3320"/>
    <cellStyle name="40% - akcent 2 88" xfId="3321"/>
    <cellStyle name="40% - akcent 2 88 2" xfId="3322"/>
    <cellStyle name="40% - akcent 2 89" xfId="3323"/>
    <cellStyle name="40% - akcent 2 89 2" xfId="3324"/>
    <cellStyle name="40% - akcent 2 9" xfId="3325"/>
    <cellStyle name="40% - akcent 2 90" xfId="3326"/>
    <cellStyle name="40% - akcent 2 90 2" xfId="3327"/>
    <cellStyle name="40% - akcent 2 91" xfId="3328"/>
    <cellStyle name="40% - akcent 2 91 2" xfId="3329"/>
    <cellStyle name="40% - akcent 2 92" xfId="3330"/>
    <cellStyle name="40% - akcent 2 92 2" xfId="3331"/>
    <cellStyle name="40% - akcent 2 93" xfId="3332"/>
    <cellStyle name="40% - akcent 2 93 2" xfId="3333"/>
    <cellStyle name="40% - akcent 2 94" xfId="3334"/>
    <cellStyle name="40% - akcent 2 94 2" xfId="3335"/>
    <cellStyle name="40% - akcent 2 95" xfId="3336"/>
    <cellStyle name="40% - akcent 2 95 2" xfId="3337"/>
    <cellStyle name="40% - akcent 2 96" xfId="3338"/>
    <cellStyle name="40% - akcent 2 96 2" xfId="3339"/>
    <cellStyle name="40% - akcent 2 97" xfId="3340"/>
    <cellStyle name="40% - akcent 2 97 2" xfId="3341"/>
    <cellStyle name="40% - akcent 2 98" xfId="3342"/>
    <cellStyle name="40% - akcent 2 98 2" xfId="3343"/>
    <cellStyle name="40% - akcent 2 99" xfId="3344"/>
    <cellStyle name="40% - akcent 2 99 2" xfId="3345"/>
    <cellStyle name="40% - akcent 3 10" xfId="3346"/>
    <cellStyle name="40% - akcent 3 100" xfId="3347"/>
    <cellStyle name="40% - akcent 3 100 2" xfId="3348"/>
    <cellStyle name="40% - akcent 3 101" xfId="3349"/>
    <cellStyle name="40% - akcent 3 101 2" xfId="3350"/>
    <cellStyle name="40% - akcent 3 102" xfId="3351"/>
    <cellStyle name="40% - akcent 3 102 2" xfId="3352"/>
    <cellStyle name="40% - akcent 3 103" xfId="3353"/>
    <cellStyle name="40% - akcent 3 103 2" xfId="3354"/>
    <cellStyle name="40% - akcent 3 104" xfId="3355"/>
    <cellStyle name="40% - akcent 3 104 2" xfId="3356"/>
    <cellStyle name="40% - akcent 3 105" xfId="3357"/>
    <cellStyle name="40% - akcent 3 105 2" xfId="3358"/>
    <cellStyle name="40% - akcent 3 106" xfId="3359"/>
    <cellStyle name="40% - akcent 3 106 2" xfId="3360"/>
    <cellStyle name="40% - akcent 3 107" xfId="3361"/>
    <cellStyle name="40% - akcent 3 107 2" xfId="3362"/>
    <cellStyle name="40% - akcent 3 108" xfId="3363"/>
    <cellStyle name="40% - akcent 3 108 2" xfId="3364"/>
    <cellStyle name="40% - akcent 3 109" xfId="3365"/>
    <cellStyle name="40% - akcent 3 109 2" xfId="3366"/>
    <cellStyle name="40% - akcent 3 11" xfId="3367"/>
    <cellStyle name="40% - akcent 3 110" xfId="3368"/>
    <cellStyle name="40% - akcent 3 110 2" xfId="3369"/>
    <cellStyle name="40% - akcent 3 111" xfId="3370"/>
    <cellStyle name="40% - akcent 3 111 2" xfId="3371"/>
    <cellStyle name="40% - akcent 3 112" xfId="3372"/>
    <cellStyle name="40% - akcent 3 112 2" xfId="3373"/>
    <cellStyle name="40% - akcent 3 113" xfId="3374"/>
    <cellStyle name="40% - akcent 3 113 2" xfId="3375"/>
    <cellStyle name="40% - akcent 3 114" xfId="3376"/>
    <cellStyle name="40% - akcent 3 114 2" xfId="3377"/>
    <cellStyle name="40% - akcent 3 115" xfId="3378"/>
    <cellStyle name="40% - akcent 3 115 2" xfId="3379"/>
    <cellStyle name="40% - akcent 3 116" xfId="3380"/>
    <cellStyle name="40% - akcent 3 116 2" xfId="3381"/>
    <cellStyle name="40% - akcent 3 117" xfId="3382"/>
    <cellStyle name="40% - akcent 3 117 2" xfId="3383"/>
    <cellStyle name="40% - akcent 3 118" xfId="3384"/>
    <cellStyle name="40% - akcent 3 118 2" xfId="3385"/>
    <cellStyle name="40% - akcent 3 119" xfId="3386"/>
    <cellStyle name="40% - akcent 3 119 2" xfId="3387"/>
    <cellStyle name="40% - akcent 3 12" xfId="3388"/>
    <cellStyle name="40% - akcent 3 120" xfId="3389"/>
    <cellStyle name="40% - akcent 3 121" xfId="3390"/>
    <cellStyle name="40% - akcent 3 13" xfId="3391"/>
    <cellStyle name="40% - akcent 3 14" xfId="3392"/>
    <cellStyle name="40% - akcent 3 15" xfId="3393"/>
    <cellStyle name="40% - akcent 3 16" xfId="3394"/>
    <cellStyle name="40% - akcent 3 17" xfId="3395"/>
    <cellStyle name="40% - akcent 3 18" xfId="3396"/>
    <cellStyle name="40% - akcent 3 19" xfId="3397"/>
    <cellStyle name="40% - akcent 3 2" xfId="3398"/>
    <cellStyle name="40% - akcent 3 2 10" xfId="3399"/>
    <cellStyle name="40% - akcent 3 2 10 2" xfId="3400"/>
    <cellStyle name="40% - akcent 3 2 10 3" xfId="3401"/>
    <cellStyle name="40% - akcent 3 2 10 4" xfId="3402"/>
    <cellStyle name="40% - akcent 3 2 10 5" xfId="3403"/>
    <cellStyle name="40% - akcent 3 2 10 6" xfId="3404"/>
    <cellStyle name="40% - akcent 3 2 11" xfId="3405"/>
    <cellStyle name="40% - akcent 3 2 11 2" xfId="3406"/>
    <cellStyle name="40% - akcent 3 2 11 3" xfId="3407"/>
    <cellStyle name="40% - akcent 3 2 11 4" xfId="3408"/>
    <cellStyle name="40% - akcent 3 2 11 5" xfId="3409"/>
    <cellStyle name="40% - akcent 3 2 11 6" xfId="3410"/>
    <cellStyle name="40% - akcent 3 2 12" xfId="3411"/>
    <cellStyle name="40% - akcent 3 2 12 2" xfId="3412"/>
    <cellStyle name="40% - akcent 3 2 12 3" xfId="3413"/>
    <cellStyle name="40% - akcent 3 2 12 4" xfId="3414"/>
    <cellStyle name="40% - akcent 3 2 12 5" xfId="3415"/>
    <cellStyle name="40% - akcent 3 2 12 6" xfId="3416"/>
    <cellStyle name="40% - akcent 3 2 13" xfId="3417"/>
    <cellStyle name="40% - akcent 3 2 13 2" xfId="3418"/>
    <cellStyle name="40% - akcent 3 2 13 3" xfId="3419"/>
    <cellStyle name="40% - akcent 3 2 13 4" xfId="3420"/>
    <cellStyle name="40% - akcent 3 2 13 5" xfId="3421"/>
    <cellStyle name="40% - akcent 3 2 13 6" xfId="3422"/>
    <cellStyle name="40% - akcent 3 2 14" xfId="3423"/>
    <cellStyle name="40% - akcent 3 2 14 2" xfId="3424"/>
    <cellStyle name="40% - akcent 3 2 14 3" xfId="3425"/>
    <cellStyle name="40% - akcent 3 2 14 4" xfId="3426"/>
    <cellStyle name="40% - akcent 3 2 14 5" xfId="3427"/>
    <cellStyle name="40% - akcent 3 2 14 6" xfId="3428"/>
    <cellStyle name="40% - akcent 3 2 15" xfId="3429"/>
    <cellStyle name="40% - akcent 3 2 15 2" xfId="3430"/>
    <cellStyle name="40% - akcent 3 2 15 3" xfId="3431"/>
    <cellStyle name="40% - akcent 3 2 15 4" xfId="3432"/>
    <cellStyle name="40% - akcent 3 2 15 5" xfId="3433"/>
    <cellStyle name="40% - akcent 3 2 15 6" xfId="3434"/>
    <cellStyle name="40% - akcent 3 2 16" xfId="3435"/>
    <cellStyle name="40% - akcent 3 2 16 2" xfId="3436"/>
    <cellStyle name="40% - akcent 3 2 16 3" xfId="3437"/>
    <cellStyle name="40% - akcent 3 2 16 4" xfId="3438"/>
    <cellStyle name="40% - akcent 3 2 16 5" xfId="3439"/>
    <cellStyle name="40% - akcent 3 2 16 6" xfId="3440"/>
    <cellStyle name="40% - akcent 3 2 17" xfId="3441"/>
    <cellStyle name="40% - akcent 3 2 17 2" xfId="3442"/>
    <cellStyle name="40% - akcent 3 2 17 3" xfId="3443"/>
    <cellStyle name="40% - akcent 3 2 17 4" xfId="3444"/>
    <cellStyle name="40% - akcent 3 2 17 5" xfId="3445"/>
    <cellStyle name="40% - akcent 3 2 17 6" xfId="3446"/>
    <cellStyle name="40% - akcent 3 2 18" xfId="3447"/>
    <cellStyle name="40% - akcent 3 2 18 2" xfId="3448"/>
    <cellStyle name="40% - akcent 3 2 18 3" xfId="3449"/>
    <cellStyle name="40% - akcent 3 2 18 4" xfId="3450"/>
    <cellStyle name="40% - akcent 3 2 18 5" xfId="3451"/>
    <cellStyle name="40% - akcent 3 2 18 6" xfId="3452"/>
    <cellStyle name="40% - akcent 3 2 19" xfId="3453"/>
    <cellStyle name="40% - akcent 3 2 19 2" xfId="3454"/>
    <cellStyle name="40% - akcent 3 2 19 3" xfId="3455"/>
    <cellStyle name="40% - akcent 3 2 19 4" xfId="3456"/>
    <cellStyle name="40% - akcent 3 2 19 5" xfId="3457"/>
    <cellStyle name="40% - akcent 3 2 19 6" xfId="3458"/>
    <cellStyle name="40% - akcent 3 2 2" xfId="3459"/>
    <cellStyle name="40% - akcent 3 2 2 2" xfId="3460"/>
    <cellStyle name="40% - akcent 3 2 2 3" xfId="3461"/>
    <cellStyle name="40% - akcent 3 2 2 4" xfId="3462"/>
    <cellStyle name="40% - akcent 3 2 2 5" xfId="3463"/>
    <cellStyle name="40% - akcent 3 2 2 6" xfId="3464"/>
    <cellStyle name="40% - akcent 3 2 2 7" xfId="3465"/>
    <cellStyle name="40% - akcent 3 2 20" xfId="3466"/>
    <cellStyle name="40% - akcent 3 2 20 2" xfId="3467"/>
    <cellStyle name="40% - akcent 3 2 20 3" xfId="3468"/>
    <cellStyle name="40% - akcent 3 2 20 4" xfId="3469"/>
    <cellStyle name="40% - akcent 3 2 20 5" xfId="3470"/>
    <cellStyle name="40% - akcent 3 2 20 6" xfId="3471"/>
    <cellStyle name="40% - akcent 3 2 21" xfId="3472"/>
    <cellStyle name="40% - akcent 3 2 21 2" xfId="3473"/>
    <cellStyle name="40% - akcent 3 2 21 3" xfId="3474"/>
    <cellStyle name="40% - akcent 3 2 21 4" xfId="3475"/>
    <cellStyle name="40% - akcent 3 2 21 5" xfId="3476"/>
    <cellStyle name="40% - akcent 3 2 21 6" xfId="3477"/>
    <cellStyle name="40% - akcent 3 2 22" xfId="3478"/>
    <cellStyle name="40% - akcent 3 2 22 2" xfId="3479"/>
    <cellStyle name="40% - akcent 3 2 22 3" xfId="3480"/>
    <cellStyle name="40% - akcent 3 2 22 4" xfId="3481"/>
    <cellStyle name="40% - akcent 3 2 22 5" xfId="3482"/>
    <cellStyle name="40% - akcent 3 2 22 6" xfId="3483"/>
    <cellStyle name="40% - akcent 3 2 23" xfId="3484"/>
    <cellStyle name="40% - akcent 3 2 23 2" xfId="3485"/>
    <cellStyle name="40% - akcent 3 2 23 3" xfId="3486"/>
    <cellStyle name="40% - akcent 3 2 23 4" xfId="3487"/>
    <cellStyle name="40% - akcent 3 2 23 5" xfId="3488"/>
    <cellStyle name="40% - akcent 3 2 23 6" xfId="3489"/>
    <cellStyle name="40% - akcent 3 2 24" xfId="3490"/>
    <cellStyle name="40% - akcent 3 2 24 2" xfId="3491"/>
    <cellStyle name="40% - akcent 3 2 24 3" xfId="3492"/>
    <cellStyle name="40% - akcent 3 2 24 4" xfId="3493"/>
    <cellStyle name="40% - akcent 3 2 24 5" xfId="3494"/>
    <cellStyle name="40% - akcent 3 2 24 6" xfId="3495"/>
    <cellStyle name="40% - akcent 3 2 25" xfId="3496"/>
    <cellStyle name="40% - akcent 3 2 25 2" xfId="3497"/>
    <cellStyle name="40% - akcent 3 2 25 3" xfId="3498"/>
    <cellStyle name="40% - akcent 3 2 25 4" xfId="3499"/>
    <cellStyle name="40% - akcent 3 2 25 5" xfId="3500"/>
    <cellStyle name="40% - akcent 3 2 25 6" xfId="3501"/>
    <cellStyle name="40% - akcent 3 2 26" xfId="3502"/>
    <cellStyle name="40% - akcent 3 2 26 2" xfId="3503"/>
    <cellStyle name="40% - akcent 3 2 26 3" xfId="3504"/>
    <cellStyle name="40% - akcent 3 2 26 4" xfId="3505"/>
    <cellStyle name="40% - akcent 3 2 26 5" xfId="3506"/>
    <cellStyle name="40% - akcent 3 2 26 6" xfId="3507"/>
    <cellStyle name="40% - akcent 3 2 27" xfId="3508"/>
    <cellStyle name="40% - akcent 3 2 27 2" xfId="3509"/>
    <cellStyle name="40% - akcent 3 2 27 3" xfId="3510"/>
    <cellStyle name="40% - akcent 3 2 27 4" xfId="3511"/>
    <cellStyle name="40% - akcent 3 2 27 5" xfId="3512"/>
    <cellStyle name="40% - akcent 3 2 27 6" xfId="3513"/>
    <cellStyle name="40% - akcent 3 2 28" xfId="3514"/>
    <cellStyle name="40% - akcent 3 2 28 2" xfId="3515"/>
    <cellStyle name="40% - akcent 3 2 28 3" xfId="3516"/>
    <cellStyle name="40% - akcent 3 2 28 4" xfId="3517"/>
    <cellStyle name="40% - akcent 3 2 28 5" xfId="3518"/>
    <cellStyle name="40% - akcent 3 2 28 6" xfId="3519"/>
    <cellStyle name="40% - akcent 3 2 29" xfId="3520"/>
    <cellStyle name="40% - akcent 3 2 29 2" xfId="3521"/>
    <cellStyle name="40% - akcent 3 2 3" xfId="3522"/>
    <cellStyle name="40% - akcent 3 2 3 2" xfId="3523"/>
    <cellStyle name="40% - akcent 3 2 3 3" xfId="3524"/>
    <cellStyle name="40% - akcent 3 2 3 4" xfId="3525"/>
    <cellStyle name="40% - akcent 3 2 3 5" xfId="3526"/>
    <cellStyle name="40% - akcent 3 2 3 6" xfId="3527"/>
    <cellStyle name="40% - akcent 3 2 3 7" xfId="3528"/>
    <cellStyle name="40% - akcent 3 2 30" xfId="3529"/>
    <cellStyle name="40% - akcent 3 2 30 2" xfId="3530"/>
    <cellStyle name="40% - akcent 3 2 31" xfId="3531"/>
    <cellStyle name="40% - akcent 3 2 31 2" xfId="3532"/>
    <cellStyle name="40% - akcent 3 2 32" xfId="3533"/>
    <cellStyle name="40% - akcent 3 2 32 2" xfId="3534"/>
    <cellStyle name="40% - akcent 3 2 33" xfId="3535"/>
    <cellStyle name="40% - akcent 3 2 34" xfId="3536"/>
    <cellStyle name="40% - akcent 3 2 35" xfId="3537"/>
    <cellStyle name="40% - akcent 3 2 36" xfId="3538"/>
    <cellStyle name="40% - akcent 3 2 37" xfId="3539"/>
    <cellStyle name="40% - akcent 3 2 38" xfId="3540"/>
    <cellStyle name="40% - akcent 3 2 39" xfId="3541"/>
    <cellStyle name="40% - akcent 3 2 4" xfId="3542"/>
    <cellStyle name="40% - akcent 3 2 4 2" xfId="3543"/>
    <cellStyle name="40% - akcent 3 2 4 3" xfId="3544"/>
    <cellStyle name="40% - akcent 3 2 4 4" xfId="3545"/>
    <cellStyle name="40% - akcent 3 2 4 5" xfId="3546"/>
    <cellStyle name="40% - akcent 3 2 4 6" xfId="3547"/>
    <cellStyle name="40% - akcent 3 2 4 7" xfId="3548"/>
    <cellStyle name="40% - akcent 3 2 40" xfId="3549"/>
    <cellStyle name="40% - akcent 3 2 41" xfId="3550"/>
    <cellStyle name="40% - akcent 3 2 42" xfId="3551"/>
    <cellStyle name="40% - akcent 3 2 43" xfId="3552"/>
    <cellStyle name="40% - akcent 3 2 44" xfId="3553"/>
    <cellStyle name="40% - akcent 3 2 45" xfId="3554"/>
    <cellStyle name="40% - akcent 3 2 46" xfId="3555"/>
    <cellStyle name="40% - akcent 3 2 47" xfId="3556"/>
    <cellStyle name="40% - akcent 3 2 48" xfId="3557"/>
    <cellStyle name="40% - akcent 3 2 49" xfId="3558"/>
    <cellStyle name="40% - akcent 3 2 5" xfId="3559"/>
    <cellStyle name="40% - akcent 3 2 5 2" xfId="3560"/>
    <cellStyle name="40% - akcent 3 2 5 3" xfId="3561"/>
    <cellStyle name="40% - akcent 3 2 5 4" xfId="3562"/>
    <cellStyle name="40% - akcent 3 2 5 5" xfId="3563"/>
    <cellStyle name="40% - akcent 3 2 5 6" xfId="3564"/>
    <cellStyle name="40% - akcent 3 2 50" xfId="3565"/>
    <cellStyle name="40% - akcent 3 2 51" xfId="3566"/>
    <cellStyle name="40% - akcent 3 2 6" xfId="3567"/>
    <cellStyle name="40% - akcent 3 2 6 2" xfId="3568"/>
    <cellStyle name="40% - akcent 3 2 6 3" xfId="3569"/>
    <cellStyle name="40% - akcent 3 2 6 4" xfId="3570"/>
    <cellStyle name="40% - akcent 3 2 6 5" xfId="3571"/>
    <cellStyle name="40% - akcent 3 2 6 6" xfId="3572"/>
    <cellStyle name="40% - akcent 3 2 7" xfId="3573"/>
    <cellStyle name="40% - akcent 3 2 7 2" xfId="3574"/>
    <cellStyle name="40% - akcent 3 2 7 3" xfId="3575"/>
    <cellStyle name="40% - akcent 3 2 7 4" xfId="3576"/>
    <cellStyle name="40% - akcent 3 2 7 5" xfId="3577"/>
    <cellStyle name="40% - akcent 3 2 7 6" xfId="3578"/>
    <cellStyle name="40% - akcent 3 2 8" xfId="3579"/>
    <cellStyle name="40% - akcent 3 2 8 2" xfId="3580"/>
    <cellStyle name="40% - akcent 3 2 8 3" xfId="3581"/>
    <cellStyle name="40% - akcent 3 2 8 4" xfId="3582"/>
    <cellStyle name="40% - akcent 3 2 8 5" xfId="3583"/>
    <cellStyle name="40% - akcent 3 2 8 6" xfId="3584"/>
    <cellStyle name="40% - akcent 3 2 9" xfId="3585"/>
    <cellStyle name="40% - akcent 3 2 9 2" xfId="3586"/>
    <cellStyle name="40% - akcent 3 2 9 3" xfId="3587"/>
    <cellStyle name="40% - akcent 3 2 9 4" xfId="3588"/>
    <cellStyle name="40% - akcent 3 2 9 5" xfId="3589"/>
    <cellStyle name="40% - akcent 3 2 9 6" xfId="3590"/>
    <cellStyle name="40% - akcent 3 20" xfId="3591"/>
    <cellStyle name="40% - akcent 3 21" xfId="3592"/>
    <cellStyle name="40% - akcent 3 22" xfId="3593"/>
    <cellStyle name="40% - akcent 3 23" xfId="3594"/>
    <cellStyle name="40% - akcent 3 24" xfId="3595"/>
    <cellStyle name="40% - akcent 3 25" xfId="3596"/>
    <cellStyle name="40% - akcent 3 26" xfId="3597"/>
    <cellStyle name="40% - akcent 3 27" xfId="3598"/>
    <cellStyle name="40% - akcent 3 28" xfId="3599"/>
    <cellStyle name="40% - akcent 3 29" xfId="3600"/>
    <cellStyle name="40% - akcent 3 3" xfId="3601"/>
    <cellStyle name="40% - akcent 3 3 2" xfId="3602"/>
    <cellStyle name="40% - akcent 3 3 2 2" xfId="3603"/>
    <cellStyle name="40% - akcent 3 3 3" xfId="3604"/>
    <cellStyle name="40% - akcent 3 3 3 2" xfId="3605"/>
    <cellStyle name="40% - akcent 3 3 4" xfId="3606"/>
    <cellStyle name="40% - akcent 3 3 4 2" xfId="3607"/>
    <cellStyle name="40% - akcent 3 3 5" xfId="3608"/>
    <cellStyle name="40% - akcent 3 3 6" xfId="3609"/>
    <cellStyle name="40% - akcent 3 3 7" xfId="3610"/>
    <cellStyle name="40% - akcent 3 3 8" xfId="3611"/>
    <cellStyle name="40% - akcent 3 30" xfId="3612"/>
    <cellStyle name="40% - akcent 3 30 2" xfId="3613"/>
    <cellStyle name="40% - akcent 3 31" xfId="3614"/>
    <cellStyle name="40% - akcent 3 31 2" xfId="3615"/>
    <cellStyle name="40% - akcent 3 32" xfId="3616"/>
    <cellStyle name="40% - akcent 3 32 2" xfId="3617"/>
    <cellStyle name="40% - akcent 3 33" xfId="3618"/>
    <cellStyle name="40% - akcent 3 33 2" xfId="3619"/>
    <cellStyle name="40% - akcent 3 34" xfId="3620"/>
    <cellStyle name="40% - akcent 3 34 2" xfId="3621"/>
    <cellStyle name="40% - akcent 3 35" xfId="3622"/>
    <cellStyle name="40% - akcent 3 35 2" xfId="3623"/>
    <cellStyle name="40% - akcent 3 36" xfId="3624"/>
    <cellStyle name="40% - akcent 3 36 2" xfId="3625"/>
    <cellStyle name="40% - akcent 3 37" xfId="3626"/>
    <cellStyle name="40% - akcent 3 37 2" xfId="3627"/>
    <cellStyle name="40% - akcent 3 38" xfId="3628"/>
    <cellStyle name="40% - akcent 3 38 2" xfId="3629"/>
    <cellStyle name="40% - akcent 3 39" xfId="3630"/>
    <cellStyle name="40% - akcent 3 39 2" xfId="3631"/>
    <cellStyle name="40% - akcent 3 4" xfId="3632"/>
    <cellStyle name="40% - akcent 3 4 2" xfId="3633"/>
    <cellStyle name="40% - akcent 3 4 2 2" xfId="3634"/>
    <cellStyle name="40% - akcent 3 4 3" xfId="3635"/>
    <cellStyle name="40% - akcent 3 4 3 2" xfId="3636"/>
    <cellStyle name="40% - akcent 3 4 4" xfId="3637"/>
    <cellStyle name="40% - akcent 3 4 4 2" xfId="3638"/>
    <cellStyle name="40% - akcent 3 4 5" xfId="3639"/>
    <cellStyle name="40% - akcent 3 4 6" xfId="3640"/>
    <cellStyle name="40% - akcent 3 4 7" xfId="3641"/>
    <cellStyle name="40% - akcent 3 4 8" xfId="3642"/>
    <cellStyle name="40% - akcent 3 40" xfId="3643"/>
    <cellStyle name="40% - akcent 3 40 2" xfId="3644"/>
    <cellStyle name="40% - akcent 3 41" xfId="3645"/>
    <cellStyle name="40% - akcent 3 41 2" xfId="3646"/>
    <cellStyle name="40% - akcent 3 42" xfId="3647"/>
    <cellStyle name="40% - akcent 3 42 2" xfId="3648"/>
    <cellStyle name="40% - akcent 3 43" xfId="3649"/>
    <cellStyle name="40% - akcent 3 43 2" xfId="3650"/>
    <cellStyle name="40% - akcent 3 44" xfId="3651"/>
    <cellStyle name="40% - akcent 3 44 2" xfId="3652"/>
    <cellStyle name="40% - akcent 3 45" xfId="3653"/>
    <cellStyle name="40% - akcent 3 45 2" xfId="3654"/>
    <cellStyle name="40% - akcent 3 46" xfId="3655"/>
    <cellStyle name="40% - akcent 3 46 2" xfId="3656"/>
    <cellStyle name="40% - akcent 3 47" xfId="3657"/>
    <cellStyle name="40% - akcent 3 47 2" xfId="3658"/>
    <cellStyle name="40% - akcent 3 48" xfId="3659"/>
    <cellStyle name="40% - akcent 3 48 2" xfId="3660"/>
    <cellStyle name="40% - akcent 3 49" xfId="3661"/>
    <cellStyle name="40% - akcent 3 49 2" xfId="3662"/>
    <cellStyle name="40% - akcent 3 5" xfId="3663"/>
    <cellStyle name="40% - akcent 3 5 2" xfId="3664"/>
    <cellStyle name="40% - akcent 3 5 3" xfId="3665"/>
    <cellStyle name="40% - akcent 3 50" xfId="3666"/>
    <cellStyle name="40% - akcent 3 50 2" xfId="3667"/>
    <cellStyle name="40% - akcent 3 51" xfId="3668"/>
    <cellStyle name="40% - akcent 3 51 2" xfId="3669"/>
    <cellStyle name="40% - akcent 3 52" xfId="3670"/>
    <cellStyle name="40% - akcent 3 52 2" xfId="3671"/>
    <cellStyle name="40% - akcent 3 53" xfId="3672"/>
    <cellStyle name="40% - akcent 3 53 2" xfId="3673"/>
    <cellStyle name="40% - akcent 3 54" xfId="3674"/>
    <cellStyle name="40% - akcent 3 54 2" xfId="3675"/>
    <cellStyle name="40% - akcent 3 55" xfId="3676"/>
    <cellStyle name="40% - akcent 3 55 2" xfId="3677"/>
    <cellStyle name="40% - akcent 3 56" xfId="3678"/>
    <cellStyle name="40% - akcent 3 56 2" xfId="3679"/>
    <cellStyle name="40% - akcent 3 57" xfId="3680"/>
    <cellStyle name="40% - akcent 3 57 2" xfId="3681"/>
    <cellStyle name="40% - akcent 3 58" xfId="3682"/>
    <cellStyle name="40% - akcent 3 58 2" xfId="3683"/>
    <cellStyle name="40% - akcent 3 59" xfId="3684"/>
    <cellStyle name="40% - akcent 3 59 2" xfId="3685"/>
    <cellStyle name="40% - akcent 3 6" xfId="3686"/>
    <cellStyle name="40% - akcent 3 60" xfId="3687"/>
    <cellStyle name="40% - akcent 3 60 2" xfId="3688"/>
    <cellStyle name="40% - akcent 3 61" xfId="3689"/>
    <cellStyle name="40% - akcent 3 61 2" xfId="3690"/>
    <cellStyle name="40% - akcent 3 62" xfId="3691"/>
    <cellStyle name="40% - akcent 3 62 2" xfId="3692"/>
    <cellStyle name="40% - akcent 3 63" xfId="3693"/>
    <cellStyle name="40% - akcent 3 63 2" xfId="3694"/>
    <cellStyle name="40% - akcent 3 64" xfId="3695"/>
    <cellStyle name="40% - akcent 3 64 2" xfId="3696"/>
    <cellStyle name="40% - akcent 3 65" xfId="3697"/>
    <cellStyle name="40% - akcent 3 65 2" xfId="3698"/>
    <cellStyle name="40% - akcent 3 66" xfId="3699"/>
    <cellStyle name="40% - akcent 3 66 2" xfId="3700"/>
    <cellStyle name="40% - akcent 3 67" xfId="3701"/>
    <cellStyle name="40% - akcent 3 67 2" xfId="3702"/>
    <cellStyle name="40% - akcent 3 68" xfId="3703"/>
    <cellStyle name="40% - akcent 3 68 2" xfId="3704"/>
    <cellStyle name="40% - akcent 3 69" xfId="3705"/>
    <cellStyle name="40% - akcent 3 69 2" xfId="3706"/>
    <cellStyle name="40% - akcent 3 7" xfId="3707"/>
    <cellStyle name="40% - akcent 3 70" xfId="3708"/>
    <cellStyle name="40% - akcent 3 70 2" xfId="3709"/>
    <cellStyle name="40% - akcent 3 71" xfId="3710"/>
    <cellStyle name="40% - akcent 3 71 2" xfId="3711"/>
    <cellStyle name="40% - akcent 3 72" xfId="3712"/>
    <cellStyle name="40% - akcent 3 72 2" xfId="3713"/>
    <cellStyle name="40% - akcent 3 73" xfId="3714"/>
    <cellStyle name="40% - akcent 3 73 2" xfId="3715"/>
    <cellStyle name="40% - akcent 3 74" xfId="3716"/>
    <cellStyle name="40% - akcent 3 74 2" xfId="3717"/>
    <cellStyle name="40% - akcent 3 75" xfId="3718"/>
    <cellStyle name="40% - akcent 3 75 2" xfId="3719"/>
    <cellStyle name="40% - akcent 3 76" xfId="3720"/>
    <cellStyle name="40% - akcent 3 76 2" xfId="3721"/>
    <cellStyle name="40% - akcent 3 77" xfId="3722"/>
    <cellStyle name="40% - akcent 3 77 2" xfId="3723"/>
    <cellStyle name="40% - akcent 3 78" xfId="3724"/>
    <cellStyle name="40% - akcent 3 78 2" xfId="3725"/>
    <cellStyle name="40% - akcent 3 79" xfId="3726"/>
    <cellStyle name="40% - akcent 3 79 2" xfId="3727"/>
    <cellStyle name="40% - akcent 3 8" xfId="3728"/>
    <cellStyle name="40% - akcent 3 80" xfId="3729"/>
    <cellStyle name="40% - akcent 3 80 2" xfId="3730"/>
    <cellStyle name="40% - akcent 3 81" xfId="3731"/>
    <cellStyle name="40% - akcent 3 81 2" xfId="3732"/>
    <cellStyle name="40% - akcent 3 82" xfId="3733"/>
    <cellStyle name="40% - akcent 3 82 2" xfId="3734"/>
    <cellStyle name="40% - akcent 3 83" xfId="3735"/>
    <cellStyle name="40% - akcent 3 83 2" xfId="3736"/>
    <cellStyle name="40% - akcent 3 84" xfId="3737"/>
    <cellStyle name="40% - akcent 3 84 2" xfId="3738"/>
    <cellStyle name="40% - akcent 3 85" xfId="3739"/>
    <cellStyle name="40% - akcent 3 85 2" xfId="3740"/>
    <cellStyle name="40% - akcent 3 86" xfId="3741"/>
    <cellStyle name="40% - akcent 3 86 2" xfId="3742"/>
    <cellStyle name="40% - akcent 3 87" xfId="3743"/>
    <cellStyle name="40% - akcent 3 87 2" xfId="3744"/>
    <cellStyle name="40% - akcent 3 88" xfId="3745"/>
    <cellStyle name="40% - akcent 3 88 2" xfId="3746"/>
    <cellStyle name="40% - akcent 3 89" xfId="3747"/>
    <cellStyle name="40% - akcent 3 89 2" xfId="3748"/>
    <cellStyle name="40% - akcent 3 9" xfId="3749"/>
    <cellStyle name="40% - akcent 3 90" xfId="3750"/>
    <cellStyle name="40% - akcent 3 90 2" xfId="3751"/>
    <cellStyle name="40% - akcent 3 91" xfId="3752"/>
    <cellStyle name="40% - akcent 3 91 2" xfId="3753"/>
    <cellStyle name="40% - akcent 3 92" xfId="3754"/>
    <cellStyle name="40% - akcent 3 92 2" xfId="3755"/>
    <cellStyle name="40% - akcent 3 93" xfId="3756"/>
    <cellStyle name="40% - akcent 3 93 2" xfId="3757"/>
    <cellStyle name="40% - akcent 3 94" xfId="3758"/>
    <cellStyle name="40% - akcent 3 94 2" xfId="3759"/>
    <cellStyle name="40% - akcent 3 95" xfId="3760"/>
    <cellStyle name="40% - akcent 3 95 2" xfId="3761"/>
    <cellStyle name="40% - akcent 3 96" xfId="3762"/>
    <cellStyle name="40% - akcent 3 96 2" xfId="3763"/>
    <cellStyle name="40% - akcent 3 97" xfId="3764"/>
    <cellStyle name="40% - akcent 3 97 2" xfId="3765"/>
    <cellStyle name="40% - akcent 3 98" xfId="3766"/>
    <cellStyle name="40% - akcent 3 98 2" xfId="3767"/>
    <cellStyle name="40% - akcent 3 99" xfId="3768"/>
    <cellStyle name="40% - akcent 3 99 2" xfId="3769"/>
    <cellStyle name="40% - akcent 4 10" xfId="3770"/>
    <cellStyle name="40% - akcent 4 100" xfId="3771"/>
    <cellStyle name="40% - akcent 4 100 2" xfId="3772"/>
    <cellStyle name="40% - akcent 4 101" xfId="3773"/>
    <cellStyle name="40% - akcent 4 101 2" xfId="3774"/>
    <cellStyle name="40% - akcent 4 102" xfId="3775"/>
    <cellStyle name="40% - akcent 4 102 2" xfId="3776"/>
    <cellStyle name="40% - akcent 4 103" xfId="3777"/>
    <cellStyle name="40% - akcent 4 103 2" xfId="3778"/>
    <cellStyle name="40% - akcent 4 104" xfId="3779"/>
    <cellStyle name="40% - akcent 4 104 2" xfId="3780"/>
    <cellStyle name="40% - akcent 4 105" xfId="3781"/>
    <cellStyle name="40% - akcent 4 105 2" xfId="3782"/>
    <cellStyle name="40% - akcent 4 106" xfId="3783"/>
    <cellStyle name="40% - akcent 4 106 2" xfId="3784"/>
    <cellStyle name="40% - akcent 4 107" xfId="3785"/>
    <cellStyle name="40% - akcent 4 107 2" xfId="3786"/>
    <cellStyle name="40% - akcent 4 108" xfId="3787"/>
    <cellStyle name="40% - akcent 4 108 2" xfId="3788"/>
    <cellStyle name="40% - akcent 4 109" xfId="3789"/>
    <cellStyle name="40% - akcent 4 109 2" xfId="3790"/>
    <cellStyle name="40% - akcent 4 11" xfId="3791"/>
    <cellStyle name="40% - akcent 4 110" xfId="3792"/>
    <cellStyle name="40% - akcent 4 110 2" xfId="3793"/>
    <cellStyle name="40% - akcent 4 111" xfId="3794"/>
    <cellStyle name="40% - akcent 4 111 2" xfId="3795"/>
    <cellStyle name="40% - akcent 4 112" xfId="3796"/>
    <cellStyle name="40% - akcent 4 112 2" xfId="3797"/>
    <cellStyle name="40% - akcent 4 113" xfId="3798"/>
    <cellStyle name="40% - akcent 4 113 2" xfId="3799"/>
    <cellStyle name="40% - akcent 4 114" xfId="3800"/>
    <cellStyle name="40% - akcent 4 114 2" xfId="3801"/>
    <cellStyle name="40% - akcent 4 115" xfId="3802"/>
    <cellStyle name="40% - akcent 4 115 2" xfId="3803"/>
    <cellStyle name="40% - akcent 4 116" xfId="3804"/>
    <cellStyle name="40% - akcent 4 116 2" xfId="3805"/>
    <cellStyle name="40% - akcent 4 117" xfId="3806"/>
    <cellStyle name="40% - akcent 4 117 2" xfId="3807"/>
    <cellStyle name="40% - akcent 4 118" xfId="3808"/>
    <cellStyle name="40% - akcent 4 118 2" xfId="3809"/>
    <cellStyle name="40% - akcent 4 119" xfId="3810"/>
    <cellStyle name="40% - akcent 4 119 2" xfId="3811"/>
    <cellStyle name="40% - akcent 4 12" xfId="3812"/>
    <cellStyle name="40% - akcent 4 120" xfId="3813"/>
    <cellStyle name="40% - akcent 4 121" xfId="3814"/>
    <cellStyle name="40% - akcent 4 13" xfId="3815"/>
    <cellStyle name="40% - akcent 4 14" xfId="3816"/>
    <cellStyle name="40% - akcent 4 15" xfId="3817"/>
    <cellStyle name="40% - akcent 4 16" xfId="3818"/>
    <cellStyle name="40% - akcent 4 17" xfId="3819"/>
    <cellStyle name="40% - akcent 4 18" xfId="3820"/>
    <cellStyle name="40% - akcent 4 19" xfId="3821"/>
    <cellStyle name="40% - akcent 4 2" xfId="3822"/>
    <cellStyle name="40% - akcent 4 2 10" xfId="3823"/>
    <cellStyle name="40% - akcent 4 2 10 2" xfId="3824"/>
    <cellStyle name="40% - akcent 4 2 10 3" xfId="3825"/>
    <cellStyle name="40% - akcent 4 2 10 4" xfId="3826"/>
    <cellStyle name="40% - akcent 4 2 10 5" xfId="3827"/>
    <cellStyle name="40% - akcent 4 2 10 6" xfId="3828"/>
    <cellStyle name="40% - akcent 4 2 11" xfId="3829"/>
    <cellStyle name="40% - akcent 4 2 11 2" xfId="3830"/>
    <cellStyle name="40% - akcent 4 2 11 3" xfId="3831"/>
    <cellStyle name="40% - akcent 4 2 11 4" xfId="3832"/>
    <cellStyle name="40% - akcent 4 2 11 5" xfId="3833"/>
    <cellStyle name="40% - akcent 4 2 11 6" xfId="3834"/>
    <cellStyle name="40% - akcent 4 2 12" xfId="3835"/>
    <cellStyle name="40% - akcent 4 2 12 2" xfId="3836"/>
    <cellStyle name="40% - akcent 4 2 12 3" xfId="3837"/>
    <cellStyle name="40% - akcent 4 2 12 4" xfId="3838"/>
    <cellStyle name="40% - akcent 4 2 12 5" xfId="3839"/>
    <cellStyle name="40% - akcent 4 2 12 6" xfId="3840"/>
    <cellStyle name="40% - akcent 4 2 13" xfId="3841"/>
    <cellStyle name="40% - akcent 4 2 13 2" xfId="3842"/>
    <cellStyle name="40% - akcent 4 2 13 3" xfId="3843"/>
    <cellStyle name="40% - akcent 4 2 13 4" xfId="3844"/>
    <cellStyle name="40% - akcent 4 2 13 5" xfId="3845"/>
    <cellStyle name="40% - akcent 4 2 13 6" xfId="3846"/>
    <cellStyle name="40% - akcent 4 2 14" xfId="3847"/>
    <cellStyle name="40% - akcent 4 2 14 2" xfId="3848"/>
    <cellStyle name="40% - akcent 4 2 14 3" xfId="3849"/>
    <cellStyle name="40% - akcent 4 2 14 4" xfId="3850"/>
    <cellStyle name="40% - akcent 4 2 14 5" xfId="3851"/>
    <cellStyle name="40% - akcent 4 2 14 6" xfId="3852"/>
    <cellStyle name="40% - akcent 4 2 15" xfId="3853"/>
    <cellStyle name="40% - akcent 4 2 15 2" xfId="3854"/>
    <cellStyle name="40% - akcent 4 2 15 3" xfId="3855"/>
    <cellStyle name="40% - akcent 4 2 15 4" xfId="3856"/>
    <cellStyle name="40% - akcent 4 2 15 5" xfId="3857"/>
    <cellStyle name="40% - akcent 4 2 15 6" xfId="3858"/>
    <cellStyle name="40% - akcent 4 2 16" xfId="3859"/>
    <cellStyle name="40% - akcent 4 2 16 2" xfId="3860"/>
    <cellStyle name="40% - akcent 4 2 16 3" xfId="3861"/>
    <cellStyle name="40% - akcent 4 2 16 4" xfId="3862"/>
    <cellStyle name="40% - akcent 4 2 16 5" xfId="3863"/>
    <cellStyle name="40% - akcent 4 2 16 6" xfId="3864"/>
    <cellStyle name="40% - akcent 4 2 17" xfId="3865"/>
    <cellStyle name="40% - akcent 4 2 17 2" xfId="3866"/>
    <cellStyle name="40% - akcent 4 2 17 3" xfId="3867"/>
    <cellStyle name="40% - akcent 4 2 17 4" xfId="3868"/>
    <cellStyle name="40% - akcent 4 2 17 5" xfId="3869"/>
    <cellStyle name="40% - akcent 4 2 17 6" xfId="3870"/>
    <cellStyle name="40% - akcent 4 2 18" xfId="3871"/>
    <cellStyle name="40% - akcent 4 2 18 2" xfId="3872"/>
    <cellStyle name="40% - akcent 4 2 18 3" xfId="3873"/>
    <cellStyle name="40% - akcent 4 2 18 4" xfId="3874"/>
    <cellStyle name="40% - akcent 4 2 18 5" xfId="3875"/>
    <cellStyle name="40% - akcent 4 2 18 6" xfId="3876"/>
    <cellStyle name="40% - akcent 4 2 19" xfId="3877"/>
    <cellStyle name="40% - akcent 4 2 19 2" xfId="3878"/>
    <cellStyle name="40% - akcent 4 2 19 3" xfId="3879"/>
    <cellStyle name="40% - akcent 4 2 19 4" xfId="3880"/>
    <cellStyle name="40% - akcent 4 2 19 5" xfId="3881"/>
    <cellStyle name="40% - akcent 4 2 19 6" xfId="3882"/>
    <cellStyle name="40% - akcent 4 2 2" xfId="3883"/>
    <cellStyle name="40% - akcent 4 2 2 2" xfId="3884"/>
    <cellStyle name="40% - akcent 4 2 2 3" xfId="3885"/>
    <cellStyle name="40% - akcent 4 2 2 4" xfId="3886"/>
    <cellStyle name="40% - akcent 4 2 2 5" xfId="3887"/>
    <cellStyle name="40% - akcent 4 2 2 6" xfId="3888"/>
    <cellStyle name="40% - akcent 4 2 2 7" xfId="3889"/>
    <cellStyle name="40% - akcent 4 2 20" xfId="3890"/>
    <cellStyle name="40% - akcent 4 2 20 2" xfId="3891"/>
    <cellStyle name="40% - akcent 4 2 20 3" xfId="3892"/>
    <cellStyle name="40% - akcent 4 2 20 4" xfId="3893"/>
    <cellStyle name="40% - akcent 4 2 20 5" xfId="3894"/>
    <cellStyle name="40% - akcent 4 2 20 6" xfId="3895"/>
    <cellStyle name="40% - akcent 4 2 21" xfId="3896"/>
    <cellStyle name="40% - akcent 4 2 21 2" xfId="3897"/>
    <cellStyle name="40% - akcent 4 2 21 3" xfId="3898"/>
    <cellStyle name="40% - akcent 4 2 21 4" xfId="3899"/>
    <cellStyle name="40% - akcent 4 2 21 5" xfId="3900"/>
    <cellStyle name="40% - akcent 4 2 21 6" xfId="3901"/>
    <cellStyle name="40% - akcent 4 2 22" xfId="3902"/>
    <cellStyle name="40% - akcent 4 2 22 2" xfId="3903"/>
    <cellStyle name="40% - akcent 4 2 22 3" xfId="3904"/>
    <cellStyle name="40% - akcent 4 2 22 4" xfId="3905"/>
    <cellStyle name="40% - akcent 4 2 22 5" xfId="3906"/>
    <cellStyle name="40% - akcent 4 2 22 6" xfId="3907"/>
    <cellStyle name="40% - akcent 4 2 23" xfId="3908"/>
    <cellStyle name="40% - akcent 4 2 23 2" xfId="3909"/>
    <cellStyle name="40% - akcent 4 2 23 3" xfId="3910"/>
    <cellStyle name="40% - akcent 4 2 23 4" xfId="3911"/>
    <cellStyle name="40% - akcent 4 2 23 5" xfId="3912"/>
    <cellStyle name="40% - akcent 4 2 23 6" xfId="3913"/>
    <cellStyle name="40% - akcent 4 2 24" xfId="3914"/>
    <cellStyle name="40% - akcent 4 2 24 2" xfId="3915"/>
    <cellStyle name="40% - akcent 4 2 24 3" xfId="3916"/>
    <cellStyle name="40% - akcent 4 2 24 4" xfId="3917"/>
    <cellStyle name="40% - akcent 4 2 24 5" xfId="3918"/>
    <cellStyle name="40% - akcent 4 2 24 6" xfId="3919"/>
    <cellStyle name="40% - akcent 4 2 25" xfId="3920"/>
    <cellStyle name="40% - akcent 4 2 25 2" xfId="3921"/>
    <cellStyle name="40% - akcent 4 2 25 3" xfId="3922"/>
    <cellStyle name="40% - akcent 4 2 25 4" xfId="3923"/>
    <cellStyle name="40% - akcent 4 2 25 5" xfId="3924"/>
    <cellStyle name="40% - akcent 4 2 25 6" xfId="3925"/>
    <cellStyle name="40% - akcent 4 2 26" xfId="3926"/>
    <cellStyle name="40% - akcent 4 2 26 2" xfId="3927"/>
    <cellStyle name="40% - akcent 4 2 26 3" xfId="3928"/>
    <cellStyle name="40% - akcent 4 2 26 4" xfId="3929"/>
    <cellStyle name="40% - akcent 4 2 26 5" xfId="3930"/>
    <cellStyle name="40% - akcent 4 2 26 6" xfId="3931"/>
    <cellStyle name="40% - akcent 4 2 27" xfId="3932"/>
    <cellStyle name="40% - akcent 4 2 27 2" xfId="3933"/>
    <cellStyle name="40% - akcent 4 2 27 3" xfId="3934"/>
    <cellStyle name="40% - akcent 4 2 27 4" xfId="3935"/>
    <cellStyle name="40% - akcent 4 2 27 5" xfId="3936"/>
    <cellStyle name="40% - akcent 4 2 27 6" xfId="3937"/>
    <cellStyle name="40% - akcent 4 2 28" xfId="3938"/>
    <cellStyle name="40% - akcent 4 2 28 2" xfId="3939"/>
    <cellStyle name="40% - akcent 4 2 28 3" xfId="3940"/>
    <cellStyle name="40% - akcent 4 2 28 4" xfId="3941"/>
    <cellStyle name="40% - akcent 4 2 28 5" xfId="3942"/>
    <cellStyle name="40% - akcent 4 2 28 6" xfId="3943"/>
    <cellStyle name="40% - akcent 4 2 29" xfId="3944"/>
    <cellStyle name="40% - akcent 4 2 29 2" xfId="3945"/>
    <cellStyle name="40% - akcent 4 2 3" xfId="3946"/>
    <cellStyle name="40% - akcent 4 2 3 2" xfId="3947"/>
    <cellStyle name="40% - akcent 4 2 3 3" xfId="3948"/>
    <cellStyle name="40% - akcent 4 2 3 4" xfId="3949"/>
    <cellStyle name="40% - akcent 4 2 3 5" xfId="3950"/>
    <cellStyle name="40% - akcent 4 2 3 6" xfId="3951"/>
    <cellStyle name="40% - akcent 4 2 3 7" xfId="3952"/>
    <cellStyle name="40% - akcent 4 2 30" xfId="3953"/>
    <cellStyle name="40% - akcent 4 2 30 2" xfId="3954"/>
    <cellStyle name="40% - akcent 4 2 31" xfId="3955"/>
    <cellStyle name="40% - akcent 4 2 31 2" xfId="3956"/>
    <cellStyle name="40% - akcent 4 2 32" xfId="3957"/>
    <cellStyle name="40% - akcent 4 2 32 2" xfId="3958"/>
    <cellStyle name="40% - akcent 4 2 33" xfId="3959"/>
    <cellStyle name="40% - akcent 4 2 34" xfId="3960"/>
    <cellStyle name="40% - akcent 4 2 35" xfId="3961"/>
    <cellStyle name="40% - akcent 4 2 36" xfId="3962"/>
    <cellStyle name="40% - akcent 4 2 37" xfId="3963"/>
    <cellStyle name="40% - akcent 4 2 38" xfId="3964"/>
    <cellStyle name="40% - akcent 4 2 39" xfId="3965"/>
    <cellStyle name="40% - akcent 4 2 4" xfId="3966"/>
    <cellStyle name="40% - akcent 4 2 4 2" xfId="3967"/>
    <cellStyle name="40% - akcent 4 2 4 3" xfId="3968"/>
    <cellStyle name="40% - akcent 4 2 4 4" xfId="3969"/>
    <cellStyle name="40% - akcent 4 2 4 5" xfId="3970"/>
    <cellStyle name="40% - akcent 4 2 4 6" xfId="3971"/>
    <cellStyle name="40% - akcent 4 2 4 7" xfId="3972"/>
    <cellStyle name="40% - akcent 4 2 40" xfId="3973"/>
    <cellStyle name="40% - akcent 4 2 41" xfId="3974"/>
    <cellStyle name="40% - akcent 4 2 42" xfId="3975"/>
    <cellStyle name="40% - akcent 4 2 43" xfId="3976"/>
    <cellStyle name="40% - akcent 4 2 44" xfId="3977"/>
    <cellStyle name="40% - akcent 4 2 45" xfId="3978"/>
    <cellStyle name="40% - akcent 4 2 46" xfId="3979"/>
    <cellStyle name="40% - akcent 4 2 47" xfId="3980"/>
    <cellStyle name="40% - akcent 4 2 48" xfId="3981"/>
    <cellStyle name="40% - akcent 4 2 49" xfId="3982"/>
    <cellStyle name="40% - akcent 4 2 5" xfId="3983"/>
    <cellStyle name="40% - akcent 4 2 5 2" xfId="3984"/>
    <cellStyle name="40% - akcent 4 2 5 3" xfId="3985"/>
    <cellStyle name="40% - akcent 4 2 5 4" xfId="3986"/>
    <cellStyle name="40% - akcent 4 2 5 5" xfId="3987"/>
    <cellStyle name="40% - akcent 4 2 5 6" xfId="3988"/>
    <cellStyle name="40% - akcent 4 2 50" xfId="3989"/>
    <cellStyle name="40% - akcent 4 2 51" xfId="3990"/>
    <cellStyle name="40% - akcent 4 2 6" xfId="3991"/>
    <cellStyle name="40% - akcent 4 2 6 2" xfId="3992"/>
    <cellStyle name="40% - akcent 4 2 6 3" xfId="3993"/>
    <cellStyle name="40% - akcent 4 2 6 4" xfId="3994"/>
    <cellStyle name="40% - akcent 4 2 6 5" xfId="3995"/>
    <cellStyle name="40% - akcent 4 2 6 6" xfId="3996"/>
    <cellStyle name="40% - akcent 4 2 7" xfId="3997"/>
    <cellStyle name="40% - akcent 4 2 7 2" xfId="3998"/>
    <cellStyle name="40% - akcent 4 2 7 3" xfId="3999"/>
    <cellStyle name="40% - akcent 4 2 7 4" xfId="4000"/>
    <cellStyle name="40% - akcent 4 2 7 5" xfId="4001"/>
    <cellStyle name="40% - akcent 4 2 7 6" xfId="4002"/>
    <cellStyle name="40% - akcent 4 2 8" xfId="4003"/>
    <cellStyle name="40% - akcent 4 2 8 2" xfId="4004"/>
    <cellStyle name="40% - akcent 4 2 8 3" xfId="4005"/>
    <cellStyle name="40% - akcent 4 2 8 4" xfId="4006"/>
    <cellStyle name="40% - akcent 4 2 8 5" xfId="4007"/>
    <cellStyle name="40% - akcent 4 2 8 6" xfId="4008"/>
    <cellStyle name="40% - akcent 4 2 9" xfId="4009"/>
    <cellStyle name="40% - akcent 4 2 9 2" xfId="4010"/>
    <cellStyle name="40% - akcent 4 2 9 3" xfId="4011"/>
    <cellStyle name="40% - akcent 4 2 9 4" xfId="4012"/>
    <cellStyle name="40% - akcent 4 2 9 5" xfId="4013"/>
    <cellStyle name="40% - akcent 4 2 9 6" xfId="4014"/>
    <cellStyle name="40% - akcent 4 20" xfId="4015"/>
    <cellStyle name="40% - akcent 4 21" xfId="4016"/>
    <cellStyle name="40% - akcent 4 22" xfId="4017"/>
    <cellStyle name="40% - akcent 4 23" xfId="4018"/>
    <cellStyle name="40% - akcent 4 24" xfId="4019"/>
    <cellStyle name="40% - akcent 4 25" xfId="4020"/>
    <cellStyle name="40% - akcent 4 26" xfId="4021"/>
    <cellStyle name="40% - akcent 4 27" xfId="4022"/>
    <cellStyle name="40% - akcent 4 28" xfId="4023"/>
    <cellStyle name="40% - akcent 4 29" xfId="4024"/>
    <cellStyle name="40% - akcent 4 3" xfId="4025"/>
    <cellStyle name="40% - akcent 4 3 2" xfId="4026"/>
    <cellStyle name="40% - akcent 4 3 2 2" xfId="4027"/>
    <cellStyle name="40% - akcent 4 3 3" xfId="4028"/>
    <cellStyle name="40% - akcent 4 3 3 2" xfId="4029"/>
    <cellStyle name="40% - akcent 4 3 4" xfId="4030"/>
    <cellStyle name="40% - akcent 4 3 4 2" xfId="4031"/>
    <cellStyle name="40% - akcent 4 3 5" xfId="4032"/>
    <cellStyle name="40% - akcent 4 3 6" xfId="4033"/>
    <cellStyle name="40% - akcent 4 3 7" xfId="4034"/>
    <cellStyle name="40% - akcent 4 3 8" xfId="4035"/>
    <cellStyle name="40% - akcent 4 30" xfId="4036"/>
    <cellStyle name="40% - akcent 4 30 2" xfId="4037"/>
    <cellStyle name="40% - akcent 4 31" xfId="4038"/>
    <cellStyle name="40% - akcent 4 31 2" xfId="4039"/>
    <cellStyle name="40% - akcent 4 32" xfId="4040"/>
    <cellStyle name="40% - akcent 4 32 2" xfId="4041"/>
    <cellStyle name="40% - akcent 4 33" xfId="4042"/>
    <cellStyle name="40% - akcent 4 33 2" xfId="4043"/>
    <cellStyle name="40% - akcent 4 34" xfId="4044"/>
    <cellStyle name="40% - akcent 4 34 2" xfId="4045"/>
    <cellStyle name="40% - akcent 4 35" xfId="4046"/>
    <cellStyle name="40% - akcent 4 35 2" xfId="4047"/>
    <cellStyle name="40% - akcent 4 36" xfId="4048"/>
    <cellStyle name="40% - akcent 4 36 2" xfId="4049"/>
    <cellStyle name="40% - akcent 4 37" xfId="4050"/>
    <cellStyle name="40% - akcent 4 37 2" xfId="4051"/>
    <cellStyle name="40% - akcent 4 38" xfId="4052"/>
    <cellStyle name="40% - akcent 4 38 2" xfId="4053"/>
    <cellStyle name="40% - akcent 4 39" xfId="4054"/>
    <cellStyle name="40% - akcent 4 39 2" xfId="4055"/>
    <cellStyle name="40% - akcent 4 4" xfId="4056"/>
    <cellStyle name="40% - akcent 4 4 2" xfId="4057"/>
    <cellStyle name="40% - akcent 4 4 2 2" xfId="4058"/>
    <cellStyle name="40% - akcent 4 4 3" xfId="4059"/>
    <cellStyle name="40% - akcent 4 4 3 2" xfId="4060"/>
    <cellStyle name="40% - akcent 4 4 4" xfId="4061"/>
    <cellStyle name="40% - akcent 4 4 4 2" xfId="4062"/>
    <cellStyle name="40% - akcent 4 4 5" xfId="4063"/>
    <cellStyle name="40% - akcent 4 4 6" xfId="4064"/>
    <cellStyle name="40% - akcent 4 4 7" xfId="4065"/>
    <cellStyle name="40% - akcent 4 4 8" xfId="4066"/>
    <cellStyle name="40% - akcent 4 40" xfId="4067"/>
    <cellStyle name="40% - akcent 4 40 2" xfId="4068"/>
    <cellStyle name="40% - akcent 4 41" xfId="4069"/>
    <cellStyle name="40% - akcent 4 41 2" xfId="4070"/>
    <cellStyle name="40% - akcent 4 42" xfId="4071"/>
    <cellStyle name="40% - akcent 4 42 2" xfId="4072"/>
    <cellStyle name="40% - akcent 4 43" xfId="4073"/>
    <cellStyle name="40% - akcent 4 43 2" xfId="4074"/>
    <cellStyle name="40% - akcent 4 44" xfId="4075"/>
    <cellStyle name="40% - akcent 4 44 2" xfId="4076"/>
    <cellStyle name="40% - akcent 4 45" xfId="4077"/>
    <cellStyle name="40% - akcent 4 45 2" xfId="4078"/>
    <cellStyle name="40% - akcent 4 46" xfId="4079"/>
    <cellStyle name="40% - akcent 4 46 2" xfId="4080"/>
    <cellStyle name="40% - akcent 4 47" xfId="4081"/>
    <cellStyle name="40% - akcent 4 47 2" xfId="4082"/>
    <cellStyle name="40% - akcent 4 48" xfId="4083"/>
    <cellStyle name="40% - akcent 4 48 2" xfId="4084"/>
    <cellStyle name="40% - akcent 4 49" xfId="4085"/>
    <cellStyle name="40% - akcent 4 49 2" xfId="4086"/>
    <cellStyle name="40% - akcent 4 5" xfId="4087"/>
    <cellStyle name="40% - akcent 4 5 2" xfId="4088"/>
    <cellStyle name="40% - akcent 4 5 3" xfId="4089"/>
    <cellStyle name="40% - akcent 4 50" xfId="4090"/>
    <cellStyle name="40% - akcent 4 50 2" xfId="4091"/>
    <cellStyle name="40% - akcent 4 51" xfId="4092"/>
    <cellStyle name="40% - akcent 4 51 2" xfId="4093"/>
    <cellStyle name="40% - akcent 4 52" xfId="4094"/>
    <cellStyle name="40% - akcent 4 52 2" xfId="4095"/>
    <cellStyle name="40% - akcent 4 53" xfId="4096"/>
    <cellStyle name="40% - akcent 4 53 2" xfId="4097"/>
    <cellStyle name="40% - akcent 4 54" xfId="4098"/>
    <cellStyle name="40% - akcent 4 54 2" xfId="4099"/>
    <cellStyle name="40% - akcent 4 55" xfId="4100"/>
    <cellStyle name="40% - akcent 4 55 2" xfId="4101"/>
    <cellStyle name="40% - akcent 4 56" xfId="4102"/>
    <cellStyle name="40% - akcent 4 56 2" xfId="4103"/>
    <cellStyle name="40% - akcent 4 57" xfId="4104"/>
    <cellStyle name="40% - akcent 4 57 2" xfId="4105"/>
    <cellStyle name="40% - akcent 4 58" xfId="4106"/>
    <cellStyle name="40% - akcent 4 58 2" xfId="4107"/>
    <cellStyle name="40% - akcent 4 59" xfId="4108"/>
    <cellStyle name="40% - akcent 4 59 2" xfId="4109"/>
    <cellStyle name="40% - akcent 4 6" xfId="4110"/>
    <cellStyle name="40% - akcent 4 60" xfId="4111"/>
    <cellStyle name="40% - akcent 4 60 2" xfId="4112"/>
    <cellStyle name="40% - akcent 4 61" xfId="4113"/>
    <cellStyle name="40% - akcent 4 61 2" xfId="4114"/>
    <cellStyle name="40% - akcent 4 62" xfId="4115"/>
    <cellStyle name="40% - akcent 4 62 2" xfId="4116"/>
    <cellStyle name="40% - akcent 4 63" xfId="4117"/>
    <cellStyle name="40% - akcent 4 63 2" xfId="4118"/>
    <cellStyle name="40% - akcent 4 64" xfId="4119"/>
    <cellStyle name="40% - akcent 4 64 2" xfId="4120"/>
    <cellStyle name="40% - akcent 4 65" xfId="4121"/>
    <cellStyle name="40% - akcent 4 65 2" xfId="4122"/>
    <cellStyle name="40% - akcent 4 66" xfId="4123"/>
    <cellStyle name="40% - akcent 4 66 2" xfId="4124"/>
    <cellStyle name="40% - akcent 4 67" xfId="4125"/>
    <cellStyle name="40% - akcent 4 67 2" xfId="4126"/>
    <cellStyle name="40% - akcent 4 68" xfId="4127"/>
    <cellStyle name="40% - akcent 4 68 2" xfId="4128"/>
    <cellStyle name="40% - akcent 4 69" xfId="4129"/>
    <cellStyle name="40% - akcent 4 69 2" xfId="4130"/>
    <cellStyle name="40% - akcent 4 7" xfId="4131"/>
    <cellStyle name="40% - akcent 4 70" xfId="4132"/>
    <cellStyle name="40% - akcent 4 70 2" xfId="4133"/>
    <cellStyle name="40% - akcent 4 71" xfId="4134"/>
    <cellStyle name="40% - akcent 4 71 2" xfId="4135"/>
    <cellStyle name="40% - akcent 4 72" xfId="4136"/>
    <cellStyle name="40% - akcent 4 72 2" xfId="4137"/>
    <cellStyle name="40% - akcent 4 73" xfId="4138"/>
    <cellStyle name="40% - akcent 4 73 2" xfId="4139"/>
    <cellStyle name="40% - akcent 4 74" xfId="4140"/>
    <cellStyle name="40% - akcent 4 74 2" xfId="4141"/>
    <cellStyle name="40% - akcent 4 75" xfId="4142"/>
    <cellStyle name="40% - akcent 4 75 2" xfId="4143"/>
    <cellStyle name="40% - akcent 4 76" xfId="4144"/>
    <cellStyle name="40% - akcent 4 76 2" xfId="4145"/>
    <cellStyle name="40% - akcent 4 77" xfId="4146"/>
    <cellStyle name="40% - akcent 4 77 2" xfId="4147"/>
    <cellStyle name="40% - akcent 4 78" xfId="4148"/>
    <cellStyle name="40% - akcent 4 78 2" xfId="4149"/>
    <cellStyle name="40% - akcent 4 79" xfId="4150"/>
    <cellStyle name="40% - akcent 4 79 2" xfId="4151"/>
    <cellStyle name="40% - akcent 4 8" xfId="4152"/>
    <cellStyle name="40% - akcent 4 80" xfId="4153"/>
    <cellStyle name="40% - akcent 4 80 2" xfId="4154"/>
    <cellStyle name="40% - akcent 4 81" xfId="4155"/>
    <cellStyle name="40% - akcent 4 81 2" xfId="4156"/>
    <cellStyle name="40% - akcent 4 82" xfId="4157"/>
    <cellStyle name="40% - akcent 4 82 2" xfId="4158"/>
    <cellStyle name="40% - akcent 4 83" xfId="4159"/>
    <cellStyle name="40% - akcent 4 83 2" xfId="4160"/>
    <cellStyle name="40% - akcent 4 84" xfId="4161"/>
    <cellStyle name="40% - akcent 4 84 2" xfId="4162"/>
    <cellStyle name="40% - akcent 4 85" xfId="4163"/>
    <cellStyle name="40% - akcent 4 85 2" xfId="4164"/>
    <cellStyle name="40% - akcent 4 86" xfId="4165"/>
    <cellStyle name="40% - akcent 4 86 2" xfId="4166"/>
    <cellStyle name="40% - akcent 4 87" xfId="4167"/>
    <cellStyle name="40% - akcent 4 87 2" xfId="4168"/>
    <cellStyle name="40% - akcent 4 88" xfId="4169"/>
    <cellStyle name="40% - akcent 4 88 2" xfId="4170"/>
    <cellStyle name="40% - akcent 4 89" xfId="4171"/>
    <cellStyle name="40% - akcent 4 89 2" xfId="4172"/>
    <cellStyle name="40% - akcent 4 9" xfId="4173"/>
    <cellStyle name="40% - akcent 4 90" xfId="4174"/>
    <cellStyle name="40% - akcent 4 90 2" xfId="4175"/>
    <cellStyle name="40% - akcent 4 91" xfId="4176"/>
    <cellStyle name="40% - akcent 4 91 2" xfId="4177"/>
    <cellStyle name="40% - akcent 4 92" xfId="4178"/>
    <cellStyle name="40% - akcent 4 92 2" xfId="4179"/>
    <cellStyle name="40% - akcent 4 93" xfId="4180"/>
    <cellStyle name="40% - akcent 4 93 2" xfId="4181"/>
    <cellStyle name="40% - akcent 4 94" xfId="4182"/>
    <cellStyle name="40% - akcent 4 94 2" xfId="4183"/>
    <cellStyle name="40% - akcent 4 95" xfId="4184"/>
    <cellStyle name="40% - akcent 4 95 2" xfId="4185"/>
    <cellStyle name="40% - akcent 4 96" xfId="4186"/>
    <cellStyle name="40% - akcent 4 96 2" xfId="4187"/>
    <cellStyle name="40% - akcent 4 97" xfId="4188"/>
    <cellStyle name="40% - akcent 4 97 2" xfId="4189"/>
    <cellStyle name="40% - akcent 4 98" xfId="4190"/>
    <cellStyle name="40% - akcent 4 98 2" xfId="4191"/>
    <cellStyle name="40% - akcent 4 99" xfId="4192"/>
    <cellStyle name="40% - akcent 4 99 2" xfId="4193"/>
    <cellStyle name="40% - akcent 5 10" xfId="4194"/>
    <cellStyle name="40% - akcent 5 100" xfId="4195"/>
    <cellStyle name="40% - akcent 5 100 2" xfId="4196"/>
    <cellStyle name="40% - akcent 5 101" xfId="4197"/>
    <cellStyle name="40% - akcent 5 101 2" xfId="4198"/>
    <cellStyle name="40% - akcent 5 102" xfId="4199"/>
    <cellStyle name="40% - akcent 5 102 2" xfId="4200"/>
    <cellStyle name="40% - akcent 5 103" xfId="4201"/>
    <cellStyle name="40% - akcent 5 103 2" xfId="4202"/>
    <cellStyle name="40% - akcent 5 104" xfId="4203"/>
    <cellStyle name="40% - akcent 5 104 2" xfId="4204"/>
    <cellStyle name="40% - akcent 5 105" xfId="4205"/>
    <cellStyle name="40% - akcent 5 105 2" xfId="4206"/>
    <cellStyle name="40% - akcent 5 106" xfId="4207"/>
    <cellStyle name="40% - akcent 5 106 2" xfId="4208"/>
    <cellStyle name="40% - akcent 5 107" xfId="4209"/>
    <cellStyle name="40% - akcent 5 107 2" xfId="4210"/>
    <cellStyle name="40% - akcent 5 108" xfId="4211"/>
    <cellStyle name="40% - akcent 5 108 2" xfId="4212"/>
    <cellStyle name="40% - akcent 5 109" xfId="4213"/>
    <cellStyle name="40% - akcent 5 109 2" xfId="4214"/>
    <cellStyle name="40% - akcent 5 11" xfId="4215"/>
    <cellStyle name="40% - akcent 5 110" xfId="4216"/>
    <cellStyle name="40% - akcent 5 110 2" xfId="4217"/>
    <cellStyle name="40% - akcent 5 111" xfId="4218"/>
    <cellStyle name="40% - akcent 5 111 2" xfId="4219"/>
    <cellStyle name="40% - akcent 5 112" xfId="4220"/>
    <cellStyle name="40% - akcent 5 112 2" xfId="4221"/>
    <cellStyle name="40% - akcent 5 113" xfId="4222"/>
    <cellStyle name="40% - akcent 5 113 2" xfId="4223"/>
    <cellStyle name="40% - akcent 5 114" xfId="4224"/>
    <cellStyle name="40% - akcent 5 114 2" xfId="4225"/>
    <cellStyle name="40% - akcent 5 115" xfId="4226"/>
    <cellStyle name="40% - akcent 5 115 2" xfId="4227"/>
    <cellStyle name="40% - akcent 5 116" xfId="4228"/>
    <cellStyle name="40% - akcent 5 116 2" xfId="4229"/>
    <cellStyle name="40% - akcent 5 117" xfId="4230"/>
    <cellStyle name="40% - akcent 5 117 2" xfId="4231"/>
    <cellStyle name="40% - akcent 5 118" xfId="4232"/>
    <cellStyle name="40% - akcent 5 118 2" xfId="4233"/>
    <cellStyle name="40% - akcent 5 119" xfId="4234"/>
    <cellStyle name="40% - akcent 5 119 2" xfId="4235"/>
    <cellStyle name="40% - akcent 5 12" xfId="4236"/>
    <cellStyle name="40% - akcent 5 120" xfId="4237"/>
    <cellStyle name="40% - akcent 5 121" xfId="4238"/>
    <cellStyle name="40% - akcent 5 13" xfId="4239"/>
    <cellStyle name="40% - akcent 5 14" xfId="4240"/>
    <cellStyle name="40% - akcent 5 15" xfId="4241"/>
    <cellStyle name="40% - akcent 5 16" xfId="4242"/>
    <cellStyle name="40% - akcent 5 17" xfId="4243"/>
    <cellStyle name="40% - akcent 5 18" xfId="4244"/>
    <cellStyle name="40% - akcent 5 19" xfId="4245"/>
    <cellStyle name="40% - akcent 5 2" xfId="4246"/>
    <cellStyle name="40% - akcent 5 2 10" xfId="4247"/>
    <cellStyle name="40% - akcent 5 2 10 2" xfId="4248"/>
    <cellStyle name="40% - akcent 5 2 10 3" xfId="4249"/>
    <cellStyle name="40% - akcent 5 2 10 4" xfId="4250"/>
    <cellStyle name="40% - akcent 5 2 10 5" xfId="4251"/>
    <cellStyle name="40% - akcent 5 2 10 6" xfId="4252"/>
    <cellStyle name="40% - akcent 5 2 11" xfId="4253"/>
    <cellStyle name="40% - akcent 5 2 11 2" xfId="4254"/>
    <cellStyle name="40% - akcent 5 2 11 3" xfId="4255"/>
    <cellStyle name="40% - akcent 5 2 11 4" xfId="4256"/>
    <cellStyle name="40% - akcent 5 2 11 5" xfId="4257"/>
    <cellStyle name="40% - akcent 5 2 11 6" xfId="4258"/>
    <cellStyle name="40% - akcent 5 2 12" xfId="4259"/>
    <cellStyle name="40% - akcent 5 2 12 2" xfId="4260"/>
    <cellStyle name="40% - akcent 5 2 12 3" xfId="4261"/>
    <cellStyle name="40% - akcent 5 2 12 4" xfId="4262"/>
    <cellStyle name="40% - akcent 5 2 12 5" xfId="4263"/>
    <cellStyle name="40% - akcent 5 2 12 6" xfId="4264"/>
    <cellStyle name="40% - akcent 5 2 13" xfId="4265"/>
    <cellStyle name="40% - akcent 5 2 13 2" xfId="4266"/>
    <cellStyle name="40% - akcent 5 2 13 3" xfId="4267"/>
    <cellStyle name="40% - akcent 5 2 13 4" xfId="4268"/>
    <cellStyle name="40% - akcent 5 2 13 5" xfId="4269"/>
    <cellStyle name="40% - akcent 5 2 13 6" xfId="4270"/>
    <cellStyle name="40% - akcent 5 2 14" xfId="4271"/>
    <cellStyle name="40% - akcent 5 2 14 2" xfId="4272"/>
    <cellStyle name="40% - akcent 5 2 14 3" xfId="4273"/>
    <cellStyle name="40% - akcent 5 2 14 4" xfId="4274"/>
    <cellStyle name="40% - akcent 5 2 14 5" xfId="4275"/>
    <cellStyle name="40% - akcent 5 2 14 6" xfId="4276"/>
    <cellStyle name="40% - akcent 5 2 15" xfId="4277"/>
    <cellStyle name="40% - akcent 5 2 15 2" xfId="4278"/>
    <cellStyle name="40% - akcent 5 2 15 3" xfId="4279"/>
    <cellStyle name="40% - akcent 5 2 15 4" xfId="4280"/>
    <cellStyle name="40% - akcent 5 2 15 5" xfId="4281"/>
    <cellStyle name="40% - akcent 5 2 15 6" xfId="4282"/>
    <cellStyle name="40% - akcent 5 2 16" xfId="4283"/>
    <cellStyle name="40% - akcent 5 2 16 2" xfId="4284"/>
    <cellStyle name="40% - akcent 5 2 16 3" xfId="4285"/>
    <cellStyle name="40% - akcent 5 2 16 4" xfId="4286"/>
    <cellStyle name="40% - akcent 5 2 16 5" xfId="4287"/>
    <cellStyle name="40% - akcent 5 2 16 6" xfId="4288"/>
    <cellStyle name="40% - akcent 5 2 17" xfId="4289"/>
    <cellStyle name="40% - akcent 5 2 17 2" xfId="4290"/>
    <cellStyle name="40% - akcent 5 2 17 3" xfId="4291"/>
    <cellStyle name="40% - akcent 5 2 17 4" xfId="4292"/>
    <cellStyle name="40% - akcent 5 2 17 5" xfId="4293"/>
    <cellStyle name="40% - akcent 5 2 17 6" xfId="4294"/>
    <cellStyle name="40% - akcent 5 2 18" xfId="4295"/>
    <cellStyle name="40% - akcent 5 2 18 2" xfId="4296"/>
    <cellStyle name="40% - akcent 5 2 18 3" xfId="4297"/>
    <cellStyle name="40% - akcent 5 2 18 4" xfId="4298"/>
    <cellStyle name="40% - akcent 5 2 18 5" xfId="4299"/>
    <cellStyle name="40% - akcent 5 2 18 6" xfId="4300"/>
    <cellStyle name="40% - akcent 5 2 19" xfId="4301"/>
    <cellStyle name="40% - akcent 5 2 19 2" xfId="4302"/>
    <cellStyle name="40% - akcent 5 2 19 3" xfId="4303"/>
    <cellStyle name="40% - akcent 5 2 19 4" xfId="4304"/>
    <cellStyle name="40% - akcent 5 2 19 5" xfId="4305"/>
    <cellStyle name="40% - akcent 5 2 19 6" xfId="4306"/>
    <cellStyle name="40% - akcent 5 2 2" xfId="4307"/>
    <cellStyle name="40% - akcent 5 2 2 2" xfId="4308"/>
    <cellStyle name="40% - akcent 5 2 2 3" xfId="4309"/>
    <cellStyle name="40% - akcent 5 2 2 4" xfId="4310"/>
    <cellStyle name="40% - akcent 5 2 2 5" xfId="4311"/>
    <cellStyle name="40% - akcent 5 2 2 6" xfId="4312"/>
    <cellStyle name="40% - akcent 5 2 2 7" xfId="4313"/>
    <cellStyle name="40% - akcent 5 2 20" xfId="4314"/>
    <cellStyle name="40% - akcent 5 2 20 2" xfId="4315"/>
    <cellStyle name="40% - akcent 5 2 20 3" xfId="4316"/>
    <cellStyle name="40% - akcent 5 2 20 4" xfId="4317"/>
    <cellStyle name="40% - akcent 5 2 20 5" xfId="4318"/>
    <cellStyle name="40% - akcent 5 2 20 6" xfId="4319"/>
    <cellStyle name="40% - akcent 5 2 21" xfId="4320"/>
    <cellStyle name="40% - akcent 5 2 21 2" xfId="4321"/>
    <cellStyle name="40% - akcent 5 2 21 3" xfId="4322"/>
    <cellStyle name="40% - akcent 5 2 21 4" xfId="4323"/>
    <cellStyle name="40% - akcent 5 2 21 5" xfId="4324"/>
    <cellStyle name="40% - akcent 5 2 21 6" xfId="4325"/>
    <cellStyle name="40% - akcent 5 2 22" xfId="4326"/>
    <cellStyle name="40% - akcent 5 2 22 2" xfId="4327"/>
    <cellStyle name="40% - akcent 5 2 22 3" xfId="4328"/>
    <cellStyle name="40% - akcent 5 2 22 4" xfId="4329"/>
    <cellStyle name="40% - akcent 5 2 22 5" xfId="4330"/>
    <cellStyle name="40% - akcent 5 2 22 6" xfId="4331"/>
    <cellStyle name="40% - akcent 5 2 23" xfId="4332"/>
    <cellStyle name="40% - akcent 5 2 23 2" xfId="4333"/>
    <cellStyle name="40% - akcent 5 2 23 3" xfId="4334"/>
    <cellStyle name="40% - akcent 5 2 23 4" xfId="4335"/>
    <cellStyle name="40% - akcent 5 2 23 5" xfId="4336"/>
    <cellStyle name="40% - akcent 5 2 23 6" xfId="4337"/>
    <cellStyle name="40% - akcent 5 2 24" xfId="4338"/>
    <cellStyle name="40% - akcent 5 2 24 2" xfId="4339"/>
    <cellStyle name="40% - akcent 5 2 24 3" xfId="4340"/>
    <cellStyle name="40% - akcent 5 2 24 4" xfId="4341"/>
    <cellStyle name="40% - akcent 5 2 24 5" xfId="4342"/>
    <cellStyle name="40% - akcent 5 2 24 6" xfId="4343"/>
    <cellStyle name="40% - akcent 5 2 25" xfId="4344"/>
    <cellStyle name="40% - akcent 5 2 25 2" xfId="4345"/>
    <cellStyle name="40% - akcent 5 2 25 3" xfId="4346"/>
    <cellStyle name="40% - akcent 5 2 25 4" xfId="4347"/>
    <cellStyle name="40% - akcent 5 2 25 5" xfId="4348"/>
    <cellStyle name="40% - akcent 5 2 25 6" xfId="4349"/>
    <cellStyle name="40% - akcent 5 2 26" xfId="4350"/>
    <cellStyle name="40% - akcent 5 2 26 2" xfId="4351"/>
    <cellStyle name="40% - akcent 5 2 26 3" xfId="4352"/>
    <cellStyle name="40% - akcent 5 2 26 4" xfId="4353"/>
    <cellStyle name="40% - akcent 5 2 26 5" xfId="4354"/>
    <cellStyle name="40% - akcent 5 2 26 6" xfId="4355"/>
    <cellStyle name="40% - akcent 5 2 27" xfId="4356"/>
    <cellStyle name="40% - akcent 5 2 27 2" xfId="4357"/>
    <cellStyle name="40% - akcent 5 2 27 3" xfId="4358"/>
    <cellStyle name="40% - akcent 5 2 27 4" xfId="4359"/>
    <cellStyle name="40% - akcent 5 2 27 5" xfId="4360"/>
    <cellStyle name="40% - akcent 5 2 27 6" xfId="4361"/>
    <cellStyle name="40% - akcent 5 2 28" xfId="4362"/>
    <cellStyle name="40% - akcent 5 2 28 2" xfId="4363"/>
    <cellStyle name="40% - akcent 5 2 28 3" xfId="4364"/>
    <cellStyle name="40% - akcent 5 2 28 4" xfId="4365"/>
    <cellStyle name="40% - akcent 5 2 28 5" xfId="4366"/>
    <cellStyle name="40% - akcent 5 2 28 6" xfId="4367"/>
    <cellStyle name="40% - akcent 5 2 29" xfId="4368"/>
    <cellStyle name="40% - akcent 5 2 29 2" xfId="4369"/>
    <cellStyle name="40% - akcent 5 2 3" xfId="4370"/>
    <cellStyle name="40% - akcent 5 2 3 2" xfId="4371"/>
    <cellStyle name="40% - akcent 5 2 3 3" xfId="4372"/>
    <cellStyle name="40% - akcent 5 2 3 4" xfId="4373"/>
    <cellStyle name="40% - akcent 5 2 3 5" xfId="4374"/>
    <cellStyle name="40% - akcent 5 2 3 6" xfId="4375"/>
    <cellStyle name="40% - akcent 5 2 3 7" xfId="4376"/>
    <cellStyle name="40% - akcent 5 2 30" xfId="4377"/>
    <cellStyle name="40% - akcent 5 2 30 2" xfId="4378"/>
    <cellStyle name="40% - akcent 5 2 31" xfId="4379"/>
    <cellStyle name="40% - akcent 5 2 31 2" xfId="4380"/>
    <cellStyle name="40% - akcent 5 2 32" xfId="4381"/>
    <cellStyle name="40% - akcent 5 2 32 2" xfId="4382"/>
    <cellStyle name="40% - akcent 5 2 33" xfId="4383"/>
    <cellStyle name="40% - akcent 5 2 34" xfId="4384"/>
    <cellStyle name="40% - akcent 5 2 35" xfId="4385"/>
    <cellStyle name="40% - akcent 5 2 36" xfId="4386"/>
    <cellStyle name="40% - akcent 5 2 37" xfId="4387"/>
    <cellStyle name="40% - akcent 5 2 38" xfId="4388"/>
    <cellStyle name="40% - akcent 5 2 39" xfId="4389"/>
    <cellStyle name="40% - akcent 5 2 4" xfId="4390"/>
    <cellStyle name="40% - akcent 5 2 4 2" xfId="4391"/>
    <cellStyle name="40% - akcent 5 2 4 3" xfId="4392"/>
    <cellStyle name="40% - akcent 5 2 4 4" xfId="4393"/>
    <cellStyle name="40% - akcent 5 2 4 5" xfId="4394"/>
    <cellStyle name="40% - akcent 5 2 4 6" xfId="4395"/>
    <cellStyle name="40% - akcent 5 2 4 7" xfId="4396"/>
    <cellStyle name="40% - akcent 5 2 40" xfId="4397"/>
    <cellStyle name="40% - akcent 5 2 41" xfId="4398"/>
    <cellStyle name="40% - akcent 5 2 42" xfId="4399"/>
    <cellStyle name="40% - akcent 5 2 43" xfId="4400"/>
    <cellStyle name="40% - akcent 5 2 44" xfId="4401"/>
    <cellStyle name="40% - akcent 5 2 45" xfId="4402"/>
    <cellStyle name="40% - akcent 5 2 46" xfId="4403"/>
    <cellStyle name="40% - akcent 5 2 47" xfId="4404"/>
    <cellStyle name="40% - akcent 5 2 48" xfId="4405"/>
    <cellStyle name="40% - akcent 5 2 49" xfId="4406"/>
    <cellStyle name="40% - akcent 5 2 5" xfId="4407"/>
    <cellStyle name="40% - akcent 5 2 5 2" xfId="4408"/>
    <cellStyle name="40% - akcent 5 2 5 3" xfId="4409"/>
    <cellStyle name="40% - akcent 5 2 5 4" xfId="4410"/>
    <cellStyle name="40% - akcent 5 2 5 5" xfId="4411"/>
    <cellStyle name="40% - akcent 5 2 5 6" xfId="4412"/>
    <cellStyle name="40% - akcent 5 2 50" xfId="4413"/>
    <cellStyle name="40% - akcent 5 2 51" xfId="4414"/>
    <cellStyle name="40% - akcent 5 2 6" xfId="4415"/>
    <cellStyle name="40% - akcent 5 2 6 2" xfId="4416"/>
    <cellStyle name="40% - akcent 5 2 6 3" xfId="4417"/>
    <cellStyle name="40% - akcent 5 2 6 4" xfId="4418"/>
    <cellStyle name="40% - akcent 5 2 6 5" xfId="4419"/>
    <cellStyle name="40% - akcent 5 2 6 6" xfId="4420"/>
    <cellStyle name="40% - akcent 5 2 7" xfId="4421"/>
    <cellStyle name="40% - akcent 5 2 7 2" xfId="4422"/>
    <cellStyle name="40% - akcent 5 2 7 3" xfId="4423"/>
    <cellStyle name="40% - akcent 5 2 7 4" xfId="4424"/>
    <cellStyle name="40% - akcent 5 2 7 5" xfId="4425"/>
    <cellStyle name="40% - akcent 5 2 7 6" xfId="4426"/>
    <cellStyle name="40% - akcent 5 2 8" xfId="4427"/>
    <cellStyle name="40% - akcent 5 2 8 2" xfId="4428"/>
    <cellStyle name="40% - akcent 5 2 8 3" xfId="4429"/>
    <cellStyle name="40% - akcent 5 2 8 4" xfId="4430"/>
    <cellStyle name="40% - akcent 5 2 8 5" xfId="4431"/>
    <cellStyle name="40% - akcent 5 2 8 6" xfId="4432"/>
    <cellStyle name="40% - akcent 5 2 9" xfId="4433"/>
    <cellStyle name="40% - akcent 5 2 9 2" xfId="4434"/>
    <cellStyle name="40% - akcent 5 2 9 3" xfId="4435"/>
    <cellStyle name="40% - akcent 5 2 9 4" xfId="4436"/>
    <cellStyle name="40% - akcent 5 2 9 5" xfId="4437"/>
    <cellStyle name="40% - akcent 5 2 9 6" xfId="4438"/>
    <cellStyle name="40% - akcent 5 20" xfId="4439"/>
    <cellStyle name="40% - akcent 5 21" xfId="4440"/>
    <cellStyle name="40% - akcent 5 22" xfId="4441"/>
    <cellStyle name="40% - akcent 5 23" xfId="4442"/>
    <cellStyle name="40% - akcent 5 24" xfId="4443"/>
    <cellStyle name="40% - akcent 5 25" xfId="4444"/>
    <cellStyle name="40% - akcent 5 26" xfId="4445"/>
    <cellStyle name="40% - akcent 5 27" xfId="4446"/>
    <cellStyle name="40% - akcent 5 28" xfId="4447"/>
    <cellStyle name="40% - akcent 5 29" xfId="4448"/>
    <cellStyle name="40% - akcent 5 3" xfId="4449"/>
    <cellStyle name="40% - akcent 5 3 2" xfId="4450"/>
    <cellStyle name="40% - akcent 5 3 2 2" xfId="4451"/>
    <cellStyle name="40% - akcent 5 3 3" xfId="4452"/>
    <cellStyle name="40% - akcent 5 3 3 2" xfId="4453"/>
    <cellStyle name="40% - akcent 5 3 4" xfId="4454"/>
    <cellStyle name="40% - akcent 5 3 4 2" xfId="4455"/>
    <cellStyle name="40% - akcent 5 3 5" xfId="4456"/>
    <cellStyle name="40% - akcent 5 3 6" xfId="4457"/>
    <cellStyle name="40% - akcent 5 3 7" xfId="4458"/>
    <cellStyle name="40% - akcent 5 3 8" xfId="4459"/>
    <cellStyle name="40% - akcent 5 30" xfId="4460"/>
    <cellStyle name="40% - akcent 5 30 2" xfId="4461"/>
    <cellStyle name="40% - akcent 5 31" xfId="4462"/>
    <cellStyle name="40% - akcent 5 31 2" xfId="4463"/>
    <cellStyle name="40% - akcent 5 32" xfId="4464"/>
    <cellStyle name="40% - akcent 5 32 2" xfId="4465"/>
    <cellStyle name="40% - akcent 5 33" xfId="4466"/>
    <cellStyle name="40% - akcent 5 33 2" xfId="4467"/>
    <cellStyle name="40% - akcent 5 34" xfId="4468"/>
    <cellStyle name="40% - akcent 5 34 2" xfId="4469"/>
    <cellStyle name="40% - akcent 5 35" xfId="4470"/>
    <cellStyle name="40% - akcent 5 35 2" xfId="4471"/>
    <cellStyle name="40% - akcent 5 36" xfId="4472"/>
    <cellStyle name="40% - akcent 5 36 2" xfId="4473"/>
    <cellStyle name="40% - akcent 5 37" xfId="4474"/>
    <cellStyle name="40% - akcent 5 37 2" xfId="4475"/>
    <cellStyle name="40% - akcent 5 38" xfId="4476"/>
    <cellStyle name="40% - akcent 5 38 2" xfId="4477"/>
    <cellStyle name="40% - akcent 5 39" xfId="4478"/>
    <cellStyle name="40% - akcent 5 39 2" xfId="4479"/>
    <cellStyle name="40% - akcent 5 4" xfId="4480"/>
    <cellStyle name="40% - akcent 5 4 2" xfId="4481"/>
    <cellStyle name="40% - akcent 5 4 2 2" xfId="4482"/>
    <cellStyle name="40% - akcent 5 4 3" xfId="4483"/>
    <cellStyle name="40% - akcent 5 4 3 2" xfId="4484"/>
    <cellStyle name="40% - akcent 5 4 4" xfId="4485"/>
    <cellStyle name="40% - akcent 5 4 4 2" xfId="4486"/>
    <cellStyle name="40% - akcent 5 4 5" xfId="4487"/>
    <cellStyle name="40% - akcent 5 4 6" xfId="4488"/>
    <cellStyle name="40% - akcent 5 4 7" xfId="4489"/>
    <cellStyle name="40% - akcent 5 4 8" xfId="4490"/>
    <cellStyle name="40% - akcent 5 40" xfId="4491"/>
    <cellStyle name="40% - akcent 5 40 2" xfId="4492"/>
    <cellStyle name="40% - akcent 5 41" xfId="4493"/>
    <cellStyle name="40% - akcent 5 41 2" xfId="4494"/>
    <cellStyle name="40% - akcent 5 42" xfId="4495"/>
    <cellStyle name="40% - akcent 5 42 2" xfId="4496"/>
    <cellStyle name="40% - akcent 5 43" xfId="4497"/>
    <cellStyle name="40% - akcent 5 43 2" xfId="4498"/>
    <cellStyle name="40% - akcent 5 44" xfId="4499"/>
    <cellStyle name="40% - akcent 5 44 2" xfId="4500"/>
    <cellStyle name="40% - akcent 5 45" xfId="4501"/>
    <cellStyle name="40% - akcent 5 45 2" xfId="4502"/>
    <cellStyle name="40% - akcent 5 46" xfId="4503"/>
    <cellStyle name="40% - akcent 5 46 2" xfId="4504"/>
    <cellStyle name="40% - akcent 5 47" xfId="4505"/>
    <cellStyle name="40% - akcent 5 47 2" xfId="4506"/>
    <cellStyle name="40% - akcent 5 48" xfId="4507"/>
    <cellStyle name="40% - akcent 5 48 2" xfId="4508"/>
    <cellStyle name="40% - akcent 5 49" xfId="4509"/>
    <cellStyle name="40% - akcent 5 49 2" xfId="4510"/>
    <cellStyle name="40% - akcent 5 5" xfId="4511"/>
    <cellStyle name="40% - akcent 5 5 2" xfId="4512"/>
    <cellStyle name="40% - akcent 5 5 3" xfId="4513"/>
    <cellStyle name="40% - akcent 5 50" xfId="4514"/>
    <cellStyle name="40% - akcent 5 50 2" xfId="4515"/>
    <cellStyle name="40% - akcent 5 51" xfId="4516"/>
    <cellStyle name="40% - akcent 5 51 2" xfId="4517"/>
    <cellStyle name="40% - akcent 5 52" xfId="4518"/>
    <cellStyle name="40% - akcent 5 52 2" xfId="4519"/>
    <cellStyle name="40% - akcent 5 53" xfId="4520"/>
    <cellStyle name="40% - akcent 5 53 2" xfId="4521"/>
    <cellStyle name="40% - akcent 5 54" xfId="4522"/>
    <cellStyle name="40% - akcent 5 54 2" xfId="4523"/>
    <cellStyle name="40% - akcent 5 55" xfId="4524"/>
    <cellStyle name="40% - akcent 5 55 2" xfId="4525"/>
    <cellStyle name="40% - akcent 5 56" xfId="4526"/>
    <cellStyle name="40% - akcent 5 56 2" xfId="4527"/>
    <cellStyle name="40% - akcent 5 57" xfId="4528"/>
    <cellStyle name="40% - akcent 5 57 2" xfId="4529"/>
    <cellStyle name="40% - akcent 5 58" xfId="4530"/>
    <cellStyle name="40% - akcent 5 58 2" xfId="4531"/>
    <cellStyle name="40% - akcent 5 59" xfId="4532"/>
    <cellStyle name="40% - akcent 5 59 2" xfId="4533"/>
    <cellStyle name="40% - akcent 5 6" xfId="4534"/>
    <cellStyle name="40% - akcent 5 60" xfId="4535"/>
    <cellStyle name="40% - akcent 5 60 2" xfId="4536"/>
    <cellStyle name="40% - akcent 5 61" xfId="4537"/>
    <cellStyle name="40% - akcent 5 61 2" xfId="4538"/>
    <cellStyle name="40% - akcent 5 62" xfId="4539"/>
    <cellStyle name="40% - akcent 5 62 2" xfId="4540"/>
    <cellStyle name="40% - akcent 5 63" xfId="4541"/>
    <cellStyle name="40% - akcent 5 63 2" xfId="4542"/>
    <cellStyle name="40% - akcent 5 64" xfId="4543"/>
    <cellStyle name="40% - akcent 5 64 2" xfId="4544"/>
    <cellStyle name="40% - akcent 5 65" xfId="4545"/>
    <cellStyle name="40% - akcent 5 65 2" xfId="4546"/>
    <cellStyle name="40% - akcent 5 66" xfId="4547"/>
    <cellStyle name="40% - akcent 5 66 2" xfId="4548"/>
    <cellStyle name="40% - akcent 5 67" xfId="4549"/>
    <cellStyle name="40% - akcent 5 67 2" xfId="4550"/>
    <cellStyle name="40% - akcent 5 68" xfId="4551"/>
    <cellStyle name="40% - akcent 5 68 2" xfId="4552"/>
    <cellStyle name="40% - akcent 5 69" xfId="4553"/>
    <cellStyle name="40% - akcent 5 69 2" xfId="4554"/>
    <cellStyle name="40% - akcent 5 7" xfId="4555"/>
    <cellStyle name="40% - akcent 5 70" xfId="4556"/>
    <cellStyle name="40% - akcent 5 70 2" xfId="4557"/>
    <cellStyle name="40% - akcent 5 71" xfId="4558"/>
    <cellStyle name="40% - akcent 5 71 2" xfId="4559"/>
    <cellStyle name="40% - akcent 5 72" xfId="4560"/>
    <cellStyle name="40% - akcent 5 72 2" xfId="4561"/>
    <cellStyle name="40% - akcent 5 73" xfId="4562"/>
    <cellStyle name="40% - akcent 5 73 2" xfId="4563"/>
    <cellStyle name="40% - akcent 5 74" xfId="4564"/>
    <cellStyle name="40% - akcent 5 74 2" xfId="4565"/>
    <cellStyle name="40% - akcent 5 75" xfId="4566"/>
    <cellStyle name="40% - akcent 5 75 2" xfId="4567"/>
    <cellStyle name="40% - akcent 5 76" xfId="4568"/>
    <cellStyle name="40% - akcent 5 76 2" xfId="4569"/>
    <cellStyle name="40% - akcent 5 77" xfId="4570"/>
    <cellStyle name="40% - akcent 5 77 2" xfId="4571"/>
    <cellStyle name="40% - akcent 5 78" xfId="4572"/>
    <cellStyle name="40% - akcent 5 78 2" xfId="4573"/>
    <cellStyle name="40% - akcent 5 79" xfId="4574"/>
    <cellStyle name="40% - akcent 5 79 2" xfId="4575"/>
    <cellStyle name="40% - akcent 5 8" xfId="4576"/>
    <cellStyle name="40% - akcent 5 80" xfId="4577"/>
    <cellStyle name="40% - akcent 5 80 2" xfId="4578"/>
    <cellStyle name="40% - akcent 5 81" xfId="4579"/>
    <cellStyle name="40% - akcent 5 81 2" xfId="4580"/>
    <cellStyle name="40% - akcent 5 82" xfId="4581"/>
    <cellStyle name="40% - akcent 5 82 2" xfId="4582"/>
    <cellStyle name="40% - akcent 5 83" xfId="4583"/>
    <cellStyle name="40% - akcent 5 83 2" xfId="4584"/>
    <cellStyle name="40% - akcent 5 84" xfId="4585"/>
    <cellStyle name="40% - akcent 5 84 2" xfId="4586"/>
    <cellStyle name="40% - akcent 5 85" xfId="4587"/>
    <cellStyle name="40% - akcent 5 85 2" xfId="4588"/>
    <cellStyle name="40% - akcent 5 86" xfId="4589"/>
    <cellStyle name="40% - akcent 5 86 2" xfId="4590"/>
    <cellStyle name="40% - akcent 5 87" xfId="4591"/>
    <cellStyle name="40% - akcent 5 87 2" xfId="4592"/>
    <cellStyle name="40% - akcent 5 88" xfId="4593"/>
    <cellStyle name="40% - akcent 5 88 2" xfId="4594"/>
    <cellStyle name="40% - akcent 5 89" xfId="4595"/>
    <cellStyle name="40% - akcent 5 89 2" xfId="4596"/>
    <cellStyle name="40% - akcent 5 9" xfId="4597"/>
    <cellStyle name="40% - akcent 5 90" xfId="4598"/>
    <cellStyle name="40% - akcent 5 90 2" xfId="4599"/>
    <cellStyle name="40% - akcent 5 91" xfId="4600"/>
    <cellStyle name="40% - akcent 5 91 2" xfId="4601"/>
    <cellStyle name="40% - akcent 5 92" xfId="4602"/>
    <cellStyle name="40% - akcent 5 92 2" xfId="4603"/>
    <cellStyle name="40% - akcent 5 93" xfId="4604"/>
    <cellStyle name="40% - akcent 5 93 2" xfId="4605"/>
    <cellStyle name="40% - akcent 5 94" xfId="4606"/>
    <cellStyle name="40% - akcent 5 94 2" xfId="4607"/>
    <cellStyle name="40% - akcent 5 95" xfId="4608"/>
    <cellStyle name="40% - akcent 5 95 2" xfId="4609"/>
    <cellStyle name="40% - akcent 5 96" xfId="4610"/>
    <cellStyle name="40% - akcent 5 96 2" xfId="4611"/>
    <cellStyle name="40% - akcent 5 97" xfId="4612"/>
    <cellStyle name="40% - akcent 5 97 2" xfId="4613"/>
    <cellStyle name="40% - akcent 5 98" xfId="4614"/>
    <cellStyle name="40% - akcent 5 98 2" xfId="4615"/>
    <cellStyle name="40% - akcent 5 99" xfId="4616"/>
    <cellStyle name="40% - akcent 5 99 2" xfId="4617"/>
    <cellStyle name="40% - akcent 6 10" xfId="4618"/>
    <cellStyle name="40% - akcent 6 100" xfId="4619"/>
    <cellStyle name="40% - akcent 6 100 2" xfId="4620"/>
    <cellStyle name="40% - akcent 6 101" xfId="4621"/>
    <cellStyle name="40% - akcent 6 101 2" xfId="4622"/>
    <cellStyle name="40% - akcent 6 102" xfId="4623"/>
    <cellStyle name="40% - akcent 6 102 2" xfId="4624"/>
    <cellStyle name="40% - akcent 6 103" xfId="4625"/>
    <cellStyle name="40% - akcent 6 103 2" xfId="4626"/>
    <cellStyle name="40% - akcent 6 104" xfId="4627"/>
    <cellStyle name="40% - akcent 6 104 2" xfId="4628"/>
    <cellStyle name="40% - akcent 6 105" xfId="4629"/>
    <cellStyle name="40% - akcent 6 105 2" xfId="4630"/>
    <cellStyle name="40% - akcent 6 106" xfId="4631"/>
    <cellStyle name="40% - akcent 6 106 2" xfId="4632"/>
    <cellStyle name="40% - akcent 6 107" xfId="4633"/>
    <cellStyle name="40% - akcent 6 107 2" xfId="4634"/>
    <cellStyle name="40% - akcent 6 108" xfId="4635"/>
    <cellStyle name="40% - akcent 6 108 2" xfId="4636"/>
    <cellStyle name="40% - akcent 6 109" xfId="4637"/>
    <cellStyle name="40% - akcent 6 109 2" xfId="4638"/>
    <cellStyle name="40% - akcent 6 11" xfId="4639"/>
    <cellStyle name="40% - akcent 6 110" xfId="4640"/>
    <cellStyle name="40% - akcent 6 110 2" xfId="4641"/>
    <cellStyle name="40% - akcent 6 111" xfId="4642"/>
    <cellStyle name="40% - akcent 6 111 2" xfId="4643"/>
    <cellStyle name="40% - akcent 6 112" xfId="4644"/>
    <cellStyle name="40% - akcent 6 112 2" xfId="4645"/>
    <cellStyle name="40% - akcent 6 113" xfId="4646"/>
    <cellStyle name="40% - akcent 6 113 2" xfId="4647"/>
    <cellStyle name="40% - akcent 6 114" xfId="4648"/>
    <cellStyle name="40% - akcent 6 114 2" xfId="4649"/>
    <cellStyle name="40% - akcent 6 115" xfId="4650"/>
    <cellStyle name="40% - akcent 6 115 2" xfId="4651"/>
    <cellStyle name="40% - akcent 6 116" xfId="4652"/>
    <cellStyle name="40% - akcent 6 116 2" xfId="4653"/>
    <cellStyle name="40% - akcent 6 117" xfId="4654"/>
    <cellStyle name="40% - akcent 6 117 2" xfId="4655"/>
    <cellStyle name="40% - akcent 6 118" xfId="4656"/>
    <cellStyle name="40% - akcent 6 118 2" xfId="4657"/>
    <cellStyle name="40% - akcent 6 119" xfId="4658"/>
    <cellStyle name="40% - akcent 6 119 2" xfId="4659"/>
    <cellStyle name="40% - akcent 6 12" xfId="4660"/>
    <cellStyle name="40% - akcent 6 120" xfId="4661"/>
    <cellStyle name="40% - akcent 6 121" xfId="4662"/>
    <cellStyle name="40% - akcent 6 13" xfId="4663"/>
    <cellStyle name="40% - akcent 6 14" xfId="4664"/>
    <cellStyle name="40% - akcent 6 15" xfId="4665"/>
    <cellStyle name="40% - akcent 6 16" xfId="4666"/>
    <cellStyle name="40% - akcent 6 17" xfId="4667"/>
    <cellStyle name="40% - akcent 6 18" xfId="4668"/>
    <cellStyle name="40% - akcent 6 19" xfId="4669"/>
    <cellStyle name="40% - akcent 6 2" xfId="4670"/>
    <cellStyle name="40% - akcent 6 2 10" xfId="4671"/>
    <cellStyle name="40% - akcent 6 2 10 2" xfId="4672"/>
    <cellStyle name="40% - akcent 6 2 10 3" xfId="4673"/>
    <cellStyle name="40% - akcent 6 2 10 4" xfId="4674"/>
    <cellStyle name="40% - akcent 6 2 10 5" xfId="4675"/>
    <cellStyle name="40% - akcent 6 2 10 6" xfId="4676"/>
    <cellStyle name="40% - akcent 6 2 11" xfId="4677"/>
    <cellStyle name="40% - akcent 6 2 11 2" xfId="4678"/>
    <cellStyle name="40% - akcent 6 2 11 3" xfId="4679"/>
    <cellStyle name="40% - akcent 6 2 11 4" xfId="4680"/>
    <cellStyle name="40% - akcent 6 2 11 5" xfId="4681"/>
    <cellStyle name="40% - akcent 6 2 11 6" xfId="4682"/>
    <cellStyle name="40% - akcent 6 2 12" xfId="4683"/>
    <cellStyle name="40% - akcent 6 2 12 2" xfId="4684"/>
    <cellStyle name="40% - akcent 6 2 12 3" xfId="4685"/>
    <cellStyle name="40% - akcent 6 2 12 4" xfId="4686"/>
    <cellStyle name="40% - akcent 6 2 12 5" xfId="4687"/>
    <cellStyle name="40% - akcent 6 2 12 6" xfId="4688"/>
    <cellStyle name="40% - akcent 6 2 13" xfId="4689"/>
    <cellStyle name="40% - akcent 6 2 13 2" xfId="4690"/>
    <cellStyle name="40% - akcent 6 2 13 3" xfId="4691"/>
    <cellStyle name="40% - akcent 6 2 13 4" xfId="4692"/>
    <cellStyle name="40% - akcent 6 2 13 5" xfId="4693"/>
    <cellStyle name="40% - akcent 6 2 13 6" xfId="4694"/>
    <cellStyle name="40% - akcent 6 2 14" xfId="4695"/>
    <cellStyle name="40% - akcent 6 2 14 2" xfId="4696"/>
    <cellStyle name="40% - akcent 6 2 14 3" xfId="4697"/>
    <cellStyle name="40% - akcent 6 2 14 4" xfId="4698"/>
    <cellStyle name="40% - akcent 6 2 14 5" xfId="4699"/>
    <cellStyle name="40% - akcent 6 2 14 6" xfId="4700"/>
    <cellStyle name="40% - akcent 6 2 15" xfId="4701"/>
    <cellStyle name="40% - akcent 6 2 15 2" xfId="4702"/>
    <cellStyle name="40% - akcent 6 2 15 3" xfId="4703"/>
    <cellStyle name="40% - akcent 6 2 15 4" xfId="4704"/>
    <cellStyle name="40% - akcent 6 2 15 5" xfId="4705"/>
    <cellStyle name="40% - akcent 6 2 15 6" xfId="4706"/>
    <cellStyle name="40% - akcent 6 2 16" xfId="4707"/>
    <cellStyle name="40% - akcent 6 2 16 2" xfId="4708"/>
    <cellStyle name="40% - akcent 6 2 16 3" xfId="4709"/>
    <cellStyle name="40% - akcent 6 2 16 4" xfId="4710"/>
    <cellStyle name="40% - akcent 6 2 16 5" xfId="4711"/>
    <cellStyle name="40% - akcent 6 2 16 6" xfId="4712"/>
    <cellStyle name="40% - akcent 6 2 17" xfId="4713"/>
    <cellStyle name="40% - akcent 6 2 17 2" xfId="4714"/>
    <cellStyle name="40% - akcent 6 2 17 3" xfId="4715"/>
    <cellStyle name="40% - akcent 6 2 17 4" xfId="4716"/>
    <cellStyle name="40% - akcent 6 2 17 5" xfId="4717"/>
    <cellStyle name="40% - akcent 6 2 17 6" xfId="4718"/>
    <cellStyle name="40% - akcent 6 2 18" xfId="4719"/>
    <cellStyle name="40% - akcent 6 2 18 2" xfId="4720"/>
    <cellStyle name="40% - akcent 6 2 18 3" xfId="4721"/>
    <cellStyle name="40% - akcent 6 2 18 4" xfId="4722"/>
    <cellStyle name="40% - akcent 6 2 18 5" xfId="4723"/>
    <cellStyle name="40% - akcent 6 2 18 6" xfId="4724"/>
    <cellStyle name="40% - akcent 6 2 19" xfId="4725"/>
    <cellStyle name="40% - akcent 6 2 19 2" xfId="4726"/>
    <cellStyle name="40% - akcent 6 2 19 3" xfId="4727"/>
    <cellStyle name="40% - akcent 6 2 19 4" xfId="4728"/>
    <cellStyle name="40% - akcent 6 2 19 5" xfId="4729"/>
    <cellStyle name="40% - akcent 6 2 19 6" xfId="4730"/>
    <cellStyle name="40% - akcent 6 2 2" xfId="4731"/>
    <cellStyle name="40% - akcent 6 2 2 2" xfId="4732"/>
    <cellStyle name="40% - akcent 6 2 2 3" xfId="4733"/>
    <cellStyle name="40% - akcent 6 2 2 4" xfId="4734"/>
    <cellStyle name="40% - akcent 6 2 2 5" xfId="4735"/>
    <cellStyle name="40% - akcent 6 2 2 6" xfId="4736"/>
    <cellStyle name="40% - akcent 6 2 2 7" xfId="4737"/>
    <cellStyle name="40% - akcent 6 2 20" xfId="4738"/>
    <cellStyle name="40% - akcent 6 2 20 2" xfId="4739"/>
    <cellStyle name="40% - akcent 6 2 20 3" xfId="4740"/>
    <cellStyle name="40% - akcent 6 2 20 4" xfId="4741"/>
    <cellStyle name="40% - akcent 6 2 20 5" xfId="4742"/>
    <cellStyle name="40% - akcent 6 2 20 6" xfId="4743"/>
    <cellStyle name="40% - akcent 6 2 21" xfId="4744"/>
    <cellStyle name="40% - akcent 6 2 21 2" xfId="4745"/>
    <cellStyle name="40% - akcent 6 2 21 3" xfId="4746"/>
    <cellStyle name="40% - akcent 6 2 21 4" xfId="4747"/>
    <cellStyle name="40% - akcent 6 2 21 5" xfId="4748"/>
    <cellStyle name="40% - akcent 6 2 21 6" xfId="4749"/>
    <cellStyle name="40% - akcent 6 2 22" xfId="4750"/>
    <cellStyle name="40% - akcent 6 2 22 2" xfId="4751"/>
    <cellStyle name="40% - akcent 6 2 22 3" xfId="4752"/>
    <cellStyle name="40% - akcent 6 2 22 4" xfId="4753"/>
    <cellStyle name="40% - akcent 6 2 22 5" xfId="4754"/>
    <cellStyle name="40% - akcent 6 2 22 6" xfId="4755"/>
    <cellStyle name="40% - akcent 6 2 23" xfId="4756"/>
    <cellStyle name="40% - akcent 6 2 23 2" xfId="4757"/>
    <cellStyle name="40% - akcent 6 2 23 3" xfId="4758"/>
    <cellStyle name="40% - akcent 6 2 23 4" xfId="4759"/>
    <cellStyle name="40% - akcent 6 2 23 5" xfId="4760"/>
    <cellStyle name="40% - akcent 6 2 23 6" xfId="4761"/>
    <cellStyle name="40% - akcent 6 2 24" xfId="4762"/>
    <cellStyle name="40% - akcent 6 2 24 2" xfId="4763"/>
    <cellStyle name="40% - akcent 6 2 24 3" xfId="4764"/>
    <cellStyle name="40% - akcent 6 2 24 4" xfId="4765"/>
    <cellStyle name="40% - akcent 6 2 24 5" xfId="4766"/>
    <cellStyle name="40% - akcent 6 2 24 6" xfId="4767"/>
    <cellStyle name="40% - akcent 6 2 25" xfId="4768"/>
    <cellStyle name="40% - akcent 6 2 25 2" xfId="4769"/>
    <cellStyle name="40% - akcent 6 2 25 3" xfId="4770"/>
    <cellStyle name="40% - akcent 6 2 25 4" xfId="4771"/>
    <cellStyle name="40% - akcent 6 2 25 5" xfId="4772"/>
    <cellStyle name="40% - akcent 6 2 25 6" xfId="4773"/>
    <cellStyle name="40% - akcent 6 2 26" xfId="4774"/>
    <cellStyle name="40% - akcent 6 2 26 2" xfId="4775"/>
    <cellStyle name="40% - akcent 6 2 26 3" xfId="4776"/>
    <cellStyle name="40% - akcent 6 2 26 4" xfId="4777"/>
    <cellStyle name="40% - akcent 6 2 26 5" xfId="4778"/>
    <cellStyle name="40% - akcent 6 2 26 6" xfId="4779"/>
    <cellStyle name="40% - akcent 6 2 27" xfId="4780"/>
    <cellStyle name="40% - akcent 6 2 27 2" xfId="4781"/>
    <cellStyle name="40% - akcent 6 2 27 3" xfId="4782"/>
    <cellStyle name="40% - akcent 6 2 27 4" xfId="4783"/>
    <cellStyle name="40% - akcent 6 2 27 5" xfId="4784"/>
    <cellStyle name="40% - akcent 6 2 27 6" xfId="4785"/>
    <cellStyle name="40% - akcent 6 2 28" xfId="4786"/>
    <cellStyle name="40% - akcent 6 2 28 2" xfId="4787"/>
    <cellStyle name="40% - akcent 6 2 28 3" xfId="4788"/>
    <cellStyle name="40% - akcent 6 2 28 4" xfId="4789"/>
    <cellStyle name="40% - akcent 6 2 28 5" xfId="4790"/>
    <cellStyle name="40% - akcent 6 2 28 6" xfId="4791"/>
    <cellStyle name="40% - akcent 6 2 29" xfId="4792"/>
    <cellStyle name="40% - akcent 6 2 29 2" xfId="4793"/>
    <cellStyle name="40% - akcent 6 2 3" xfId="4794"/>
    <cellStyle name="40% - akcent 6 2 3 2" xfId="4795"/>
    <cellStyle name="40% - akcent 6 2 3 3" xfId="4796"/>
    <cellStyle name="40% - akcent 6 2 3 4" xfId="4797"/>
    <cellStyle name="40% - akcent 6 2 3 5" xfId="4798"/>
    <cellStyle name="40% - akcent 6 2 3 6" xfId="4799"/>
    <cellStyle name="40% - akcent 6 2 3 7" xfId="4800"/>
    <cellStyle name="40% - akcent 6 2 30" xfId="4801"/>
    <cellStyle name="40% - akcent 6 2 30 2" xfId="4802"/>
    <cellStyle name="40% - akcent 6 2 31" xfId="4803"/>
    <cellStyle name="40% - akcent 6 2 31 2" xfId="4804"/>
    <cellStyle name="40% - akcent 6 2 32" xfId="4805"/>
    <cellStyle name="40% - akcent 6 2 32 2" xfId="4806"/>
    <cellStyle name="40% - akcent 6 2 33" xfId="4807"/>
    <cellStyle name="40% - akcent 6 2 34" xfId="4808"/>
    <cellStyle name="40% - akcent 6 2 35" xfId="4809"/>
    <cellStyle name="40% - akcent 6 2 36" xfId="4810"/>
    <cellStyle name="40% - akcent 6 2 37" xfId="4811"/>
    <cellStyle name="40% - akcent 6 2 38" xfId="4812"/>
    <cellStyle name="40% - akcent 6 2 39" xfId="4813"/>
    <cellStyle name="40% - akcent 6 2 4" xfId="4814"/>
    <cellStyle name="40% - akcent 6 2 4 2" xfId="4815"/>
    <cellStyle name="40% - akcent 6 2 4 3" xfId="4816"/>
    <cellStyle name="40% - akcent 6 2 4 4" xfId="4817"/>
    <cellStyle name="40% - akcent 6 2 4 5" xfId="4818"/>
    <cellStyle name="40% - akcent 6 2 4 6" xfId="4819"/>
    <cellStyle name="40% - akcent 6 2 4 7" xfId="4820"/>
    <cellStyle name="40% - akcent 6 2 40" xfId="4821"/>
    <cellStyle name="40% - akcent 6 2 41" xfId="4822"/>
    <cellStyle name="40% - akcent 6 2 42" xfId="4823"/>
    <cellStyle name="40% - akcent 6 2 43" xfId="4824"/>
    <cellStyle name="40% - akcent 6 2 44" xfId="4825"/>
    <cellStyle name="40% - akcent 6 2 45" xfId="4826"/>
    <cellStyle name="40% - akcent 6 2 46" xfId="4827"/>
    <cellStyle name="40% - akcent 6 2 47" xfId="4828"/>
    <cellStyle name="40% - akcent 6 2 48" xfId="4829"/>
    <cellStyle name="40% - akcent 6 2 49" xfId="4830"/>
    <cellStyle name="40% - akcent 6 2 5" xfId="4831"/>
    <cellStyle name="40% - akcent 6 2 5 2" xfId="4832"/>
    <cellStyle name="40% - akcent 6 2 5 3" xfId="4833"/>
    <cellStyle name="40% - akcent 6 2 5 4" xfId="4834"/>
    <cellStyle name="40% - akcent 6 2 5 5" xfId="4835"/>
    <cellStyle name="40% - akcent 6 2 5 6" xfId="4836"/>
    <cellStyle name="40% - akcent 6 2 50" xfId="4837"/>
    <cellStyle name="40% - akcent 6 2 51" xfId="4838"/>
    <cellStyle name="40% - akcent 6 2 6" xfId="4839"/>
    <cellStyle name="40% - akcent 6 2 6 2" xfId="4840"/>
    <cellStyle name="40% - akcent 6 2 6 3" xfId="4841"/>
    <cellStyle name="40% - akcent 6 2 6 4" xfId="4842"/>
    <cellStyle name="40% - akcent 6 2 6 5" xfId="4843"/>
    <cellStyle name="40% - akcent 6 2 6 6" xfId="4844"/>
    <cellStyle name="40% - akcent 6 2 7" xfId="4845"/>
    <cellStyle name="40% - akcent 6 2 7 2" xfId="4846"/>
    <cellStyle name="40% - akcent 6 2 7 3" xfId="4847"/>
    <cellStyle name="40% - akcent 6 2 7 4" xfId="4848"/>
    <cellStyle name="40% - akcent 6 2 7 5" xfId="4849"/>
    <cellStyle name="40% - akcent 6 2 7 6" xfId="4850"/>
    <cellStyle name="40% - akcent 6 2 8" xfId="4851"/>
    <cellStyle name="40% - akcent 6 2 8 2" xfId="4852"/>
    <cellStyle name="40% - akcent 6 2 8 3" xfId="4853"/>
    <cellStyle name="40% - akcent 6 2 8 4" xfId="4854"/>
    <cellStyle name="40% - akcent 6 2 8 5" xfId="4855"/>
    <cellStyle name="40% - akcent 6 2 8 6" xfId="4856"/>
    <cellStyle name="40% - akcent 6 2 9" xfId="4857"/>
    <cellStyle name="40% - akcent 6 2 9 2" xfId="4858"/>
    <cellStyle name="40% - akcent 6 2 9 3" xfId="4859"/>
    <cellStyle name="40% - akcent 6 2 9 4" xfId="4860"/>
    <cellStyle name="40% - akcent 6 2 9 5" xfId="4861"/>
    <cellStyle name="40% - akcent 6 2 9 6" xfId="4862"/>
    <cellStyle name="40% - akcent 6 20" xfId="4863"/>
    <cellStyle name="40% - akcent 6 21" xfId="4864"/>
    <cellStyle name="40% - akcent 6 22" xfId="4865"/>
    <cellStyle name="40% - akcent 6 23" xfId="4866"/>
    <cellStyle name="40% - akcent 6 24" xfId="4867"/>
    <cellStyle name="40% - akcent 6 25" xfId="4868"/>
    <cellStyle name="40% - akcent 6 26" xfId="4869"/>
    <cellStyle name="40% - akcent 6 27" xfId="4870"/>
    <cellStyle name="40% - akcent 6 28" xfId="4871"/>
    <cellStyle name="40% - akcent 6 29" xfId="4872"/>
    <cellStyle name="40% - akcent 6 3" xfId="4873"/>
    <cellStyle name="40% - akcent 6 3 2" xfId="4874"/>
    <cellStyle name="40% - akcent 6 3 2 2" xfId="4875"/>
    <cellStyle name="40% - akcent 6 3 3" xfId="4876"/>
    <cellStyle name="40% - akcent 6 3 3 2" xfId="4877"/>
    <cellStyle name="40% - akcent 6 3 4" xfId="4878"/>
    <cellStyle name="40% - akcent 6 3 4 2" xfId="4879"/>
    <cellStyle name="40% - akcent 6 3 5" xfId="4880"/>
    <cellStyle name="40% - akcent 6 3 6" xfId="4881"/>
    <cellStyle name="40% - akcent 6 3 7" xfId="4882"/>
    <cellStyle name="40% - akcent 6 3 8" xfId="4883"/>
    <cellStyle name="40% - akcent 6 30" xfId="4884"/>
    <cellStyle name="40% - akcent 6 30 2" xfId="4885"/>
    <cellStyle name="40% - akcent 6 31" xfId="4886"/>
    <cellStyle name="40% - akcent 6 31 2" xfId="4887"/>
    <cellStyle name="40% - akcent 6 32" xfId="4888"/>
    <cellStyle name="40% - akcent 6 32 2" xfId="4889"/>
    <cellStyle name="40% - akcent 6 33" xfId="4890"/>
    <cellStyle name="40% - akcent 6 33 2" xfId="4891"/>
    <cellStyle name="40% - akcent 6 34" xfId="4892"/>
    <cellStyle name="40% - akcent 6 34 2" xfId="4893"/>
    <cellStyle name="40% - akcent 6 35" xfId="4894"/>
    <cellStyle name="40% - akcent 6 35 2" xfId="4895"/>
    <cellStyle name="40% - akcent 6 36" xfId="4896"/>
    <cellStyle name="40% - akcent 6 36 2" xfId="4897"/>
    <cellStyle name="40% - akcent 6 37" xfId="4898"/>
    <cellStyle name="40% - akcent 6 37 2" xfId="4899"/>
    <cellStyle name="40% - akcent 6 38" xfId="4900"/>
    <cellStyle name="40% - akcent 6 38 2" xfId="4901"/>
    <cellStyle name="40% - akcent 6 39" xfId="4902"/>
    <cellStyle name="40% - akcent 6 39 2" xfId="4903"/>
    <cellStyle name="40% - akcent 6 4" xfId="4904"/>
    <cellStyle name="40% - akcent 6 4 2" xfId="4905"/>
    <cellStyle name="40% - akcent 6 4 2 2" xfId="4906"/>
    <cellStyle name="40% - akcent 6 4 3" xfId="4907"/>
    <cellStyle name="40% - akcent 6 4 3 2" xfId="4908"/>
    <cellStyle name="40% - akcent 6 4 4" xfId="4909"/>
    <cellStyle name="40% - akcent 6 4 4 2" xfId="4910"/>
    <cellStyle name="40% - akcent 6 4 5" xfId="4911"/>
    <cellStyle name="40% - akcent 6 4 6" xfId="4912"/>
    <cellStyle name="40% - akcent 6 4 7" xfId="4913"/>
    <cellStyle name="40% - akcent 6 4 8" xfId="4914"/>
    <cellStyle name="40% - akcent 6 40" xfId="4915"/>
    <cellStyle name="40% - akcent 6 40 2" xfId="4916"/>
    <cellStyle name="40% - akcent 6 41" xfId="4917"/>
    <cellStyle name="40% - akcent 6 41 2" xfId="4918"/>
    <cellStyle name="40% - akcent 6 42" xfId="4919"/>
    <cellStyle name="40% - akcent 6 42 2" xfId="4920"/>
    <cellStyle name="40% - akcent 6 43" xfId="4921"/>
    <cellStyle name="40% - akcent 6 43 2" xfId="4922"/>
    <cellStyle name="40% - akcent 6 44" xfId="4923"/>
    <cellStyle name="40% - akcent 6 44 2" xfId="4924"/>
    <cellStyle name="40% - akcent 6 45" xfId="4925"/>
    <cellStyle name="40% - akcent 6 45 2" xfId="4926"/>
    <cellStyle name="40% - akcent 6 46" xfId="4927"/>
    <cellStyle name="40% - akcent 6 46 2" xfId="4928"/>
    <cellStyle name="40% - akcent 6 47" xfId="4929"/>
    <cellStyle name="40% - akcent 6 47 2" xfId="4930"/>
    <cellStyle name="40% - akcent 6 48" xfId="4931"/>
    <cellStyle name="40% - akcent 6 48 2" xfId="4932"/>
    <cellStyle name="40% - akcent 6 49" xfId="4933"/>
    <cellStyle name="40% - akcent 6 49 2" xfId="4934"/>
    <cellStyle name="40% - akcent 6 5" xfId="4935"/>
    <cellStyle name="40% - akcent 6 5 2" xfId="4936"/>
    <cellStyle name="40% - akcent 6 5 3" xfId="4937"/>
    <cellStyle name="40% - akcent 6 50" xfId="4938"/>
    <cellStyle name="40% - akcent 6 50 2" xfId="4939"/>
    <cellStyle name="40% - akcent 6 51" xfId="4940"/>
    <cellStyle name="40% - akcent 6 51 2" xfId="4941"/>
    <cellStyle name="40% - akcent 6 52" xfId="4942"/>
    <cellStyle name="40% - akcent 6 52 2" xfId="4943"/>
    <cellStyle name="40% - akcent 6 53" xfId="4944"/>
    <cellStyle name="40% - akcent 6 53 2" xfId="4945"/>
    <cellStyle name="40% - akcent 6 54" xfId="4946"/>
    <cellStyle name="40% - akcent 6 54 2" xfId="4947"/>
    <cellStyle name="40% - akcent 6 55" xfId="4948"/>
    <cellStyle name="40% - akcent 6 55 2" xfId="4949"/>
    <cellStyle name="40% - akcent 6 56" xfId="4950"/>
    <cellStyle name="40% - akcent 6 56 2" xfId="4951"/>
    <cellStyle name="40% - akcent 6 57" xfId="4952"/>
    <cellStyle name="40% - akcent 6 57 2" xfId="4953"/>
    <cellStyle name="40% - akcent 6 58" xfId="4954"/>
    <cellStyle name="40% - akcent 6 58 2" xfId="4955"/>
    <cellStyle name="40% - akcent 6 59" xfId="4956"/>
    <cellStyle name="40% - akcent 6 59 2" xfId="4957"/>
    <cellStyle name="40% - akcent 6 6" xfId="4958"/>
    <cellStyle name="40% - akcent 6 60" xfId="4959"/>
    <cellStyle name="40% - akcent 6 60 2" xfId="4960"/>
    <cellStyle name="40% - akcent 6 61" xfId="4961"/>
    <cellStyle name="40% - akcent 6 61 2" xfId="4962"/>
    <cellStyle name="40% - akcent 6 62" xfId="4963"/>
    <cellStyle name="40% - akcent 6 62 2" xfId="4964"/>
    <cellStyle name="40% - akcent 6 63" xfId="4965"/>
    <cellStyle name="40% - akcent 6 63 2" xfId="4966"/>
    <cellStyle name="40% - akcent 6 64" xfId="4967"/>
    <cellStyle name="40% - akcent 6 64 2" xfId="4968"/>
    <cellStyle name="40% - akcent 6 65" xfId="4969"/>
    <cellStyle name="40% - akcent 6 65 2" xfId="4970"/>
    <cellStyle name="40% - akcent 6 66" xfId="4971"/>
    <cellStyle name="40% - akcent 6 66 2" xfId="4972"/>
    <cellStyle name="40% - akcent 6 67" xfId="4973"/>
    <cellStyle name="40% - akcent 6 67 2" xfId="4974"/>
    <cellStyle name="40% - akcent 6 68" xfId="4975"/>
    <cellStyle name="40% - akcent 6 68 2" xfId="4976"/>
    <cellStyle name="40% - akcent 6 69" xfId="4977"/>
    <cellStyle name="40% - akcent 6 69 2" xfId="4978"/>
    <cellStyle name="40% - akcent 6 7" xfId="4979"/>
    <cellStyle name="40% - akcent 6 70" xfId="4980"/>
    <cellStyle name="40% - akcent 6 70 2" xfId="4981"/>
    <cellStyle name="40% - akcent 6 71" xfId="4982"/>
    <cellStyle name="40% - akcent 6 71 2" xfId="4983"/>
    <cellStyle name="40% - akcent 6 72" xfId="4984"/>
    <cellStyle name="40% - akcent 6 72 2" xfId="4985"/>
    <cellStyle name="40% - akcent 6 73" xfId="4986"/>
    <cellStyle name="40% - akcent 6 73 2" xfId="4987"/>
    <cellStyle name="40% - akcent 6 74" xfId="4988"/>
    <cellStyle name="40% - akcent 6 74 2" xfId="4989"/>
    <cellStyle name="40% - akcent 6 75" xfId="4990"/>
    <cellStyle name="40% - akcent 6 75 2" xfId="4991"/>
    <cellStyle name="40% - akcent 6 76" xfId="4992"/>
    <cellStyle name="40% - akcent 6 76 2" xfId="4993"/>
    <cellStyle name="40% - akcent 6 77" xfId="4994"/>
    <cellStyle name="40% - akcent 6 77 2" xfId="4995"/>
    <cellStyle name="40% - akcent 6 78" xfId="4996"/>
    <cellStyle name="40% - akcent 6 78 2" xfId="4997"/>
    <cellStyle name="40% - akcent 6 79" xfId="4998"/>
    <cellStyle name="40% - akcent 6 79 2" xfId="4999"/>
    <cellStyle name="40% - akcent 6 8" xfId="5000"/>
    <cellStyle name="40% - akcent 6 80" xfId="5001"/>
    <cellStyle name="40% - akcent 6 80 2" xfId="5002"/>
    <cellStyle name="40% - akcent 6 81" xfId="5003"/>
    <cellStyle name="40% - akcent 6 81 2" xfId="5004"/>
    <cellStyle name="40% - akcent 6 82" xfId="5005"/>
    <cellStyle name="40% - akcent 6 82 2" xfId="5006"/>
    <cellStyle name="40% - akcent 6 83" xfId="5007"/>
    <cellStyle name="40% - akcent 6 83 2" xfId="5008"/>
    <cellStyle name="40% - akcent 6 84" xfId="5009"/>
    <cellStyle name="40% - akcent 6 84 2" xfId="5010"/>
    <cellStyle name="40% - akcent 6 85" xfId="5011"/>
    <cellStyle name="40% - akcent 6 85 2" xfId="5012"/>
    <cellStyle name="40% - akcent 6 86" xfId="5013"/>
    <cellStyle name="40% - akcent 6 86 2" xfId="5014"/>
    <cellStyle name="40% - akcent 6 87" xfId="5015"/>
    <cellStyle name="40% - akcent 6 87 2" xfId="5016"/>
    <cellStyle name="40% - akcent 6 88" xfId="5017"/>
    <cellStyle name="40% - akcent 6 88 2" xfId="5018"/>
    <cellStyle name="40% - akcent 6 89" xfId="5019"/>
    <cellStyle name="40% - akcent 6 89 2" xfId="5020"/>
    <cellStyle name="40% - akcent 6 9" xfId="5021"/>
    <cellStyle name="40% - akcent 6 90" xfId="5022"/>
    <cellStyle name="40% - akcent 6 90 2" xfId="5023"/>
    <cellStyle name="40% - akcent 6 91" xfId="5024"/>
    <cellStyle name="40% - akcent 6 91 2" xfId="5025"/>
    <cellStyle name="40% - akcent 6 92" xfId="5026"/>
    <cellStyle name="40% - akcent 6 92 2" xfId="5027"/>
    <cellStyle name="40% - akcent 6 93" xfId="5028"/>
    <cellStyle name="40% - akcent 6 93 2" xfId="5029"/>
    <cellStyle name="40% - akcent 6 94" xfId="5030"/>
    <cellStyle name="40% - akcent 6 94 2" xfId="5031"/>
    <cellStyle name="40% - akcent 6 95" xfId="5032"/>
    <cellStyle name="40% - akcent 6 95 2" xfId="5033"/>
    <cellStyle name="40% - akcent 6 96" xfId="5034"/>
    <cellStyle name="40% - akcent 6 96 2" xfId="5035"/>
    <cellStyle name="40% - akcent 6 97" xfId="5036"/>
    <cellStyle name="40% - akcent 6 97 2" xfId="5037"/>
    <cellStyle name="40% - akcent 6 98" xfId="5038"/>
    <cellStyle name="40% - akcent 6 98 2" xfId="5039"/>
    <cellStyle name="40% - akcent 6 99" xfId="5040"/>
    <cellStyle name="40% - akcent 6 99 2" xfId="5041"/>
    <cellStyle name="60% - akcent 1 2" xfId="5042"/>
    <cellStyle name="60% - akcent 1 2 10" xfId="5043"/>
    <cellStyle name="60% - akcent 1 2 10 2" xfId="5044"/>
    <cellStyle name="60% - akcent 1 2 10 3" xfId="5045"/>
    <cellStyle name="60% - akcent 1 2 10 4" xfId="5046"/>
    <cellStyle name="60% - akcent 1 2 10 5" xfId="5047"/>
    <cellStyle name="60% - akcent 1 2 10 6" xfId="5048"/>
    <cellStyle name="60% - akcent 1 2 11" xfId="5049"/>
    <cellStyle name="60% - akcent 1 2 11 2" xfId="5050"/>
    <cellStyle name="60% - akcent 1 2 11 3" xfId="5051"/>
    <cellStyle name="60% - akcent 1 2 11 4" xfId="5052"/>
    <cellStyle name="60% - akcent 1 2 11 5" xfId="5053"/>
    <cellStyle name="60% - akcent 1 2 11 6" xfId="5054"/>
    <cellStyle name="60% - akcent 1 2 12" xfId="5055"/>
    <cellStyle name="60% - akcent 1 2 12 2" xfId="5056"/>
    <cellStyle name="60% - akcent 1 2 12 3" xfId="5057"/>
    <cellStyle name="60% - akcent 1 2 12 4" xfId="5058"/>
    <cellStyle name="60% - akcent 1 2 12 5" xfId="5059"/>
    <cellStyle name="60% - akcent 1 2 12 6" xfId="5060"/>
    <cellStyle name="60% - akcent 1 2 13" xfId="5061"/>
    <cellStyle name="60% - akcent 1 2 13 2" xfId="5062"/>
    <cellStyle name="60% - akcent 1 2 13 3" xfId="5063"/>
    <cellStyle name="60% - akcent 1 2 13 4" xfId="5064"/>
    <cellStyle name="60% - akcent 1 2 13 5" xfId="5065"/>
    <cellStyle name="60% - akcent 1 2 13 6" xfId="5066"/>
    <cellStyle name="60% - akcent 1 2 14" xfId="5067"/>
    <cellStyle name="60% - akcent 1 2 14 2" xfId="5068"/>
    <cellStyle name="60% - akcent 1 2 14 3" xfId="5069"/>
    <cellStyle name="60% - akcent 1 2 14 4" xfId="5070"/>
    <cellStyle name="60% - akcent 1 2 14 5" xfId="5071"/>
    <cellStyle name="60% - akcent 1 2 14 6" xfId="5072"/>
    <cellStyle name="60% - akcent 1 2 15" xfId="5073"/>
    <cellStyle name="60% - akcent 1 2 15 2" xfId="5074"/>
    <cellStyle name="60% - akcent 1 2 15 3" xfId="5075"/>
    <cellStyle name="60% - akcent 1 2 15 4" xfId="5076"/>
    <cellStyle name="60% - akcent 1 2 15 5" xfId="5077"/>
    <cellStyle name="60% - akcent 1 2 15 6" xfId="5078"/>
    <cellStyle name="60% - akcent 1 2 16" xfId="5079"/>
    <cellStyle name="60% - akcent 1 2 16 2" xfId="5080"/>
    <cellStyle name="60% - akcent 1 2 16 3" xfId="5081"/>
    <cellStyle name="60% - akcent 1 2 16 4" xfId="5082"/>
    <cellStyle name="60% - akcent 1 2 16 5" xfId="5083"/>
    <cellStyle name="60% - akcent 1 2 16 6" xfId="5084"/>
    <cellStyle name="60% - akcent 1 2 17" xfId="5085"/>
    <cellStyle name="60% - akcent 1 2 17 2" xfId="5086"/>
    <cellStyle name="60% - akcent 1 2 17 3" xfId="5087"/>
    <cellStyle name="60% - akcent 1 2 17 4" xfId="5088"/>
    <cellStyle name="60% - akcent 1 2 17 5" xfId="5089"/>
    <cellStyle name="60% - akcent 1 2 17 6" xfId="5090"/>
    <cellStyle name="60% - akcent 1 2 18" xfId="5091"/>
    <cellStyle name="60% - akcent 1 2 18 2" xfId="5092"/>
    <cellStyle name="60% - akcent 1 2 18 3" xfId="5093"/>
    <cellStyle name="60% - akcent 1 2 18 4" xfId="5094"/>
    <cellStyle name="60% - akcent 1 2 18 5" xfId="5095"/>
    <cellStyle name="60% - akcent 1 2 18 6" xfId="5096"/>
    <cellStyle name="60% - akcent 1 2 19" xfId="5097"/>
    <cellStyle name="60% - akcent 1 2 19 2" xfId="5098"/>
    <cellStyle name="60% - akcent 1 2 19 3" xfId="5099"/>
    <cellStyle name="60% - akcent 1 2 19 4" xfId="5100"/>
    <cellStyle name="60% - akcent 1 2 19 5" xfId="5101"/>
    <cellStyle name="60% - akcent 1 2 19 6" xfId="5102"/>
    <cellStyle name="60% - akcent 1 2 2" xfId="5103"/>
    <cellStyle name="60% - akcent 1 2 2 2" xfId="5104"/>
    <cellStyle name="60% - akcent 1 2 2 3" xfId="5105"/>
    <cellStyle name="60% - akcent 1 2 2 4" xfId="5106"/>
    <cellStyle name="60% - akcent 1 2 2 5" xfId="5107"/>
    <cellStyle name="60% - akcent 1 2 2 6" xfId="5108"/>
    <cellStyle name="60% - akcent 1 2 2 7" xfId="5109"/>
    <cellStyle name="60% - akcent 1 2 20" xfId="5110"/>
    <cellStyle name="60% - akcent 1 2 20 2" xfId="5111"/>
    <cellStyle name="60% - akcent 1 2 20 3" xfId="5112"/>
    <cellStyle name="60% - akcent 1 2 20 4" xfId="5113"/>
    <cellStyle name="60% - akcent 1 2 20 5" xfId="5114"/>
    <cellStyle name="60% - akcent 1 2 20 6" xfId="5115"/>
    <cellStyle name="60% - akcent 1 2 21" xfId="5116"/>
    <cellStyle name="60% - akcent 1 2 21 2" xfId="5117"/>
    <cellStyle name="60% - akcent 1 2 21 3" xfId="5118"/>
    <cellStyle name="60% - akcent 1 2 21 4" xfId="5119"/>
    <cellStyle name="60% - akcent 1 2 21 5" xfId="5120"/>
    <cellStyle name="60% - akcent 1 2 21 6" xfId="5121"/>
    <cellStyle name="60% - akcent 1 2 22" xfId="5122"/>
    <cellStyle name="60% - akcent 1 2 22 2" xfId="5123"/>
    <cellStyle name="60% - akcent 1 2 22 3" xfId="5124"/>
    <cellStyle name="60% - akcent 1 2 22 4" xfId="5125"/>
    <cellStyle name="60% - akcent 1 2 22 5" xfId="5126"/>
    <cellStyle name="60% - akcent 1 2 22 6" xfId="5127"/>
    <cellStyle name="60% - akcent 1 2 23" xfId="5128"/>
    <cellStyle name="60% - akcent 1 2 23 2" xfId="5129"/>
    <cellStyle name="60% - akcent 1 2 23 3" xfId="5130"/>
    <cellStyle name="60% - akcent 1 2 23 4" xfId="5131"/>
    <cellStyle name="60% - akcent 1 2 23 5" xfId="5132"/>
    <cellStyle name="60% - akcent 1 2 23 6" xfId="5133"/>
    <cellStyle name="60% - akcent 1 2 24" xfId="5134"/>
    <cellStyle name="60% - akcent 1 2 24 2" xfId="5135"/>
    <cellStyle name="60% - akcent 1 2 24 3" xfId="5136"/>
    <cellStyle name="60% - akcent 1 2 24 4" xfId="5137"/>
    <cellStyle name="60% - akcent 1 2 24 5" xfId="5138"/>
    <cellStyle name="60% - akcent 1 2 24 6" xfId="5139"/>
    <cellStyle name="60% - akcent 1 2 25" xfId="5140"/>
    <cellStyle name="60% - akcent 1 2 25 2" xfId="5141"/>
    <cellStyle name="60% - akcent 1 2 25 3" xfId="5142"/>
    <cellStyle name="60% - akcent 1 2 25 4" xfId="5143"/>
    <cellStyle name="60% - akcent 1 2 25 5" xfId="5144"/>
    <cellStyle name="60% - akcent 1 2 25 6" xfId="5145"/>
    <cellStyle name="60% - akcent 1 2 26" xfId="5146"/>
    <cellStyle name="60% - akcent 1 2 26 2" xfId="5147"/>
    <cellStyle name="60% - akcent 1 2 26 3" xfId="5148"/>
    <cellStyle name="60% - akcent 1 2 26 4" xfId="5149"/>
    <cellStyle name="60% - akcent 1 2 26 5" xfId="5150"/>
    <cellStyle name="60% - akcent 1 2 26 6" xfId="5151"/>
    <cellStyle name="60% - akcent 1 2 27" xfId="5152"/>
    <cellStyle name="60% - akcent 1 2 27 2" xfId="5153"/>
    <cellStyle name="60% - akcent 1 2 27 3" xfId="5154"/>
    <cellStyle name="60% - akcent 1 2 27 4" xfId="5155"/>
    <cellStyle name="60% - akcent 1 2 27 5" xfId="5156"/>
    <cellStyle name="60% - akcent 1 2 27 6" xfId="5157"/>
    <cellStyle name="60% - akcent 1 2 28" xfId="5158"/>
    <cellStyle name="60% - akcent 1 2 28 2" xfId="5159"/>
    <cellStyle name="60% - akcent 1 2 28 3" xfId="5160"/>
    <cellStyle name="60% - akcent 1 2 28 4" xfId="5161"/>
    <cellStyle name="60% - akcent 1 2 28 5" xfId="5162"/>
    <cellStyle name="60% - akcent 1 2 28 6" xfId="5163"/>
    <cellStyle name="60% - akcent 1 2 29" xfId="5164"/>
    <cellStyle name="60% - akcent 1 2 29 2" xfId="5165"/>
    <cellStyle name="60% - akcent 1 2 3" xfId="5166"/>
    <cellStyle name="60% - akcent 1 2 3 2" xfId="5167"/>
    <cellStyle name="60% - akcent 1 2 3 3" xfId="5168"/>
    <cellStyle name="60% - akcent 1 2 3 4" xfId="5169"/>
    <cellStyle name="60% - akcent 1 2 3 5" xfId="5170"/>
    <cellStyle name="60% - akcent 1 2 3 6" xfId="5171"/>
    <cellStyle name="60% - akcent 1 2 30" xfId="5172"/>
    <cellStyle name="60% - akcent 1 2 30 2" xfId="5173"/>
    <cellStyle name="60% - akcent 1 2 31" xfId="5174"/>
    <cellStyle name="60% - akcent 1 2 31 2" xfId="5175"/>
    <cellStyle name="60% - akcent 1 2 32" xfId="5176"/>
    <cellStyle name="60% - akcent 1 2 32 2" xfId="5177"/>
    <cellStyle name="60% - akcent 1 2 33" xfId="5178"/>
    <cellStyle name="60% - akcent 1 2 34" xfId="5179"/>
    <cellStyle name="60% - akcent 1 2 35" xfId="5180"/>
    <cellStyle name="60% - akcent 1 2 36" xfId="5181"/>
    <cellStyle name="60% - akcent 1 2 37" xfId="5182"/>
    <cellStyle name="60% - akcent 1 2 38" xfId="5183"/>
    <cellStyle name="60% - akcent 1 2 39" xfId="5184"/>
    <cellStyle name="60% - akcent 1 2 4" xfId="5185"/>
    <cellStyle name="60% - akcent 1 2 4 2" xfId="5186"/>
    <cellStyle name="60% - akcent 1 2 4 3" xfId="5187"/>
    <cellStyle name="60% - akcent 1 2 4 4" xfId="5188"/>
    <cellStyle name="60% - akcent 1 2 4 5" xfId="5189"/>
    <cellStyle name="60% - akcent 1 2 4 6" xfId="5190"/>
    <cellStyle name="60% - akcent 1 2 40" xfId="5191"/>
    <cellStyle name="60% - akcent 1 2 41" xfId="5192"/>
    <cellStyle name="60% - akcent 1 2 42" xfId="5193"/>
    <cellStyle name="60% - akcent 1 2 43" xfId="5194"/>
    <cellStyle name="60% - akcent 1 2 44" xfId="5195"/>
    <cellStyle name="60% - akcent 1 2 45" xfId="5196"/>
    <cellStyle name="60% - akcent 1 2 46" xfId="5197"/>
    <cellStyle name="60% - akcent 1 2 47" xfId="5198"/>
    <cellStyle name="60% - akcent 1 2 48" xfId="5199"/>
    <cellStyle name="60% - akcent 1 2 49" xfId="5200"/>
    <cellStyle name="60% - akcent 1 2 5" xfId="5201"/>
    <cellStyle name="60% - akcent 1 2 5 2" xfId="5202"/>
    <cellStyle name="60% - akcent 1 2 5 3" xfId="5203"/>
    <cellStyle name="60% - akcent 1 2 5 4" xfId="5204"/>
    <cellStyle name="60% - akcent 1 2 5 5" xfId="5205"/>
    <cellStyle name="60% - akcent 1 2 5 6" xfId="5206"/>
    <cellStyle name="60% - akcent 1 2 50" xfId="5207"/>
    <cellStyle name="60% - akcent 1 2 51" xfId="5208"/>
    <cellStyle name="60% - akcent 1 2 52" xfId="5209"/>
    <cellStyle name="60% - akcent 1 2 6" xfId="5210"/>
    <cellStyle name="60% - akcent 1 2 6 2" xfId="5211"/>
    <cellStyle name="60% - akcent 1 2 6 3" xfId="5212"/>
    <cellStyle name="60% - akcent 1 2 6 4" xfId="5213"/>
    <cellStyle name="60% - akcent 1 2 6 5" xfId="5214"/>
    <cellStyle name="60% - akcent 1 2 6 6" xfId="5215"/>
    <cellStyle name="60% - akcent 1 2 7" xfId="5216"/>
    <cellStyle name="60% - akcent 1 2 7 2" xfId="5217"/>
    <cellStyle name="60% - akcent 1 2 7 3" xfId="5218"/>
    <cellStyle name="60% - akcent 1 2 7 4" xfId="5219"/>
    <cellStyle name="60% - akcent 1 2 7 5" xfId="5220"/>
    <cellStyle name="60% - akcent 1 2 7 6" xfId="5221"/>
    <cellStyle name="60% - akcent 1 2 8" xfId="5222"/>
    <cellStyle name="60% - akcent 1 2 8 2" xfId="5223"/>
    <cellStyle name="60% - akcent 1 2 8 3" xfId="5224"/>
    <cellStyle name="60% - akcent 1 2 8 4" xfId="5225"/>
    <cellStyle name="60% - akcent 1 2 8 5" xfId="5226"/>
    <cellStyle name="60% - akcent 1 2 8 6" xfId="5227"/>
    <cellStyle name="60% - akcent 1 2 9" xfId="5228"/>
    <cellStyle name="60% - akcent 1 2 9 2" xfId="5229"/>
    <cellStyle name="60% - akcent 1 2 9 3" xfId="5230"/>
    <cellStyle name="60% - akcent 1 2 9 4" xfId="5231"/>
    <cellStyle name="60% - akcent 1 2 9 5" xfId="5232"/>
    <cellStyle name="60% - akcent 1 2 9 6" xfId="5233"/>
    <cellStyle name="60% - akcent 1 3" xfId="5234"/>
    <cellStyle name="60% - akcent 1 3 2" xfId="5235"/>
    <cellStyle name="60% - akcent 1 3 2 2" xfId="5236"/>
    <cellStyle name="60% - akcent 1 3 3" xfId="5237"/>
    <cellStyle name="60% - akcent 1 3 4" xfId="5238"/>
    <cellStyle name="60% - akcent 1 3 5" xfId="5239"/>
    <cellStyle name="60% - akcent 1 3 6" xfId="5240"/>
    <cellStyle name="60% - akcent 1 3 7" xfId="5241"/>
    <cellStyle name="60% - akcent 1 3 8" xfId="5242"/>
    <cellStyle name="60% - akcent 1 4" xfId="5243"/>
    <cellStyle name="60% - akcent 1 4 2" xfId="5244"/>
    <cellStyle name="60% - akcent 1 4 3" xfId="5245"/>
    <cellStyle name="60% - akcent 1 4 4" xfId="5246"/>
    <cellStyle name="60% - akcent 1 4 5" xfId="5247"/>
    <cellStyle name="60% - akcent 1 4 6" xfId="5248"/>
    <cellStyle name="60% - akcent 1 4 7" xfId="5249"/>
    <cellStyle name="60% - akcent 1 4 8" xfId="5250"/>
    <cellStyle name="60% - akcent 1 5" xfId="5251"/>
    <cellStyle name="60% - akcent 1 5 2" xfId="5252"/>
    <cellStyle name="60% - akcent 1 6" xfId="5253"/>
    <cellStyle name="60% - akcent 1 7" xfId="5254"/>
    <cellStyle name="60% - akcent 2 2" xfId="5255"/>
    <cellStyle name="60% - akcent 2 2 10" xfId="5256"/>
    <cellStyle name="60% - akcent 2 2 10 2" xfId="5257"/>
    <cellStyle name="60% - akcent 2 2 10 3" xfId="5258"/>
    <cellStyle name="60% - akcent 2 2 10 4" xfId="5259"/>
    <cellStyle name="60% - akcent 2 2 10 5" xfId="5260"/>
    <cellStyle name="60% - akcent 2 2 10 6" xfId="5261"/>
    <cellStyle name="60% - akcent 2 2 11" xfId="5262"/>
    <cellStyle name="60% - akcent 2 2 11 2" xfId="5263"/>
    <cellStyle name="60% - akcent 2 2 11 3" xfId="5264"/>
    <cellStyle name="60% - akcent 2 2 11 4" xfId="5265"/>
    <cellStyle name="60% - akcent 2 2 11 5" xfId="5266"/>
    <cellStyle name="60% - akcent 2 2 11 6" xfId="5267"/>
    <cellStyle name="60% - akcent 2 2 12" xfId="5268"/>
    <cellStyle name="60% - akcent 2 2 12 2" xfId="5269"/>
    <cellStyle name="60% - akcent 2 2 12 3" xfId="5270"/>
    <cellStyle name="60% - akcent 2 2 12 4" xfId="5271"/>
    <cellStyle name="60% - akcent 2 2 12 5" xfId="5272"/>
    <cellStyle name="60% - akcent 2 2 12 6" xfId="5273"/>
    <cellStyle name="60% - akcent 2 2 13" xfId="5274"/>
    <cellStyle name="60% - akcent 2 2 13 2" xfId="5275"/>
    <cellStyle name="60% - akcent 2 2 13 3" xfId="5276"/>
    <cellStyle name="60% - akcent 2 2 13 4" xfId="5277"/>
    <cellStyle name="60% - akcent 2 2 13 5" xfId="5278"/>
    <cellStyle name="60% - akcent 2 2 13 6" xfId="5279"/>
    <cellStyle name="60% - akcent 2 2 14" xfId="5280"/>
    <cellStyle name="60% - akcent 2 2 14 2" xfId="5281"/>
    <cellStyle name="60% - akcent 2 2 14 3" xfId="5282"/>
    <cellStyle name="60% - akcent 2 2 14 4" xfId="5283"/>
    <cellStyle name="60% - akcent 2 2 14 5" xfId="5284"/>
    <cellStyle name="60% - akcent 2 2 14 6" xfId="5285"/>
    <cellStyle name="60% - akcent 2 2 15" xfId="5286"/>
    <cellStyle name="60% - akcent 2 2 15 2" xfId="5287"/>
    <cellStyle name="60% - akcent 2 2 15 3" xfId="5288"/>
    <cellStyle name="60% - akcent 2 2 15 4" xfId="5289"/>
    <cellStyle name="60% - akcent 2 2 15 5" xfId="5290"/>
    <cellStyle name="60% - akcent 2 2 15 6" xfId="5291"/>
    <cellStyle name="60% - akcent 2 2 16" xfId="5292"/>
    <cellStyle name="60% - akcent 2 2 16 2" xfId="5293"/>
    <cellStyle name="60% - akcent 2 2 16 3" xfId="5294"/>
    <cellStyle name="60% - akcent 2 2 16 4" xfId="5295"/>
    <cellStyle name="60% - akcent 2 2 16 5" xfId="5296"/>
    <cellStyle name="60% - akcent 2 2 16 6" xfId="5297"/>
    <cellStyle name="60% - akcent 2 2 17" xfId="5298"/>
    <cellStyle name="60% - akcent 2 2 17 2" xfId="5299"/>
    <cellStyle name="60% - akcent 2 2 17 3" xfId="5300"/>
    <cellStyle name="60% - akcent 2 2 17 4" xfId="5301"/>
    <cellStyle name="60% - akcent 2 2 17 5" xfId="5302"/>
    <cellStyle name="60% - akcent 2 2 17 6" xfId="5303"/>
    <cellStyle name="60% - akcent 2 2 18" xfId="5304"/>
    <cellStyle name="60% - akcent 2 2 18 2" xfId="5305"/>
    <cellStyle name="60% - akcent 2 2 18 3" xfId="5306"/>
    <cellStyle name="60% - akcent 2 2 18 4" xfId="5307"/>
    <cellStyle name="60% - akcent 2 2 18 5" xfId="5308"/>
    <cellStyle name="60% - akcent 2 2 18 6" xfId="5309"/>
    <cellStyle name="60% - akcent 2 2 19" xfId="5310"/>
    <cellStyle name="60% - akcent 2 2 19 2" xfId="5311"/>
    <cellStyle name="60% - akcent 2 2 19 3" xfId="5312"/>
    <cellStyle name="60% - akcent 2 2 19 4" xfId="5313"/>
    <cellStyle name="60% - akcent 2 2 19 5" xfId="5314"/>
    <cellStyle name="60% - akcent 2 2 19 6" xfId="5315"/>
    <cellStyle name="60% - akcent 2 2 2" xfId="5316"/>
    <cellStyle name="60% - akcent 2 2 2 2" xfId="5317"/>
    <cellStyle name="60% - akcent 2 2 2 3" xfId="5318"/>
    <cellStyle name="60% - akcent 2 2 2 4" xfId="5319"/>
    <cellStyle name="60% - akcent 2 2 2 5" xfId="5320"/>
    <cellStyle name="60% - akcent 2 2 2 6" xfId="5321"/>
    <cellStyle name="60% - akcent 2 2 2 7" xfId="5322"/>
    <cellStyle name="60% - akcent 2 2 20" xfId="5323"/>
    <cellStyle name="60% - akcent 2 2 20 2" xfId="5324"/>
    <cellStyle name="60% - akcent 2 2 20 3" xfId="5325"/>
    <cellStyle name="60% - akcent 2 2 20 4" xfId="5326"/>
    <cellStyle name="60% - akcent 2 2 20 5" xfId="5327"/>
    <cellStyle name="60% - akcent 2 2 20 6" xfId="5328"/>
    <cellStyle name="60% - akcent 2 2 21" xfId="5329"/>
    <cellStyle name="60% - akcent 2 2 21 2" xfId="5330"/>
    <cellStyle name="60% - akcent 2 2 21 3" xfId="5331"/>
    <cellStyle name="60% - akcent 2 2 21 4" xfId="5332"/>
    <cellStyle name="60% - akcent 2 2 21 5" xfId="5333"/>
    <cellStyle name="60% - akcent 2 2 21 6" xfId="5334"/>
    <cellStyle name="60% - akcent 2 2 22" xfId="5335"/>
    <cellStyle name="60% - akcent 2 2 22 2" xfId="5336"/>
    <cellStyle name="60% - akcent 2 2 22 3" xfId="5337"/>
    <cellStyle name="60% - akcent 2 2 22 4" xfId="5338"/>
    <cellStyle name="60% - akcent 2 2 22 5" xfId="5339"/>
    <cellStyle name="60% - akcent 2 2 22 6" xfId="5340"/>
    <cellStyle name="60% - akcent 2 2 23" xfId="5341"/>
    <cellStyle name="60% - akcent 2 2 23 2" xfId="5342"/>
    <cellStyle name="60% - akcent 2 2 23 3" xfId="5343"/>
    <cellStyle name="60% - akcent 2 2 23 4" xfId="5344"/>
    <cellStyle name="60% - akcent 2 2 23 5" xfId="5345"/>
    <cellStyle name="60% - akcent 2 2 23 6" xfId="5346"/>
    <cellStyle name="60% - akcent 2 2 24" xfId="5347"/>
    <cellStyle name="60% - akcent 2 2 24 2" xfId="5348"/>
    <cellStyle name="60% - akcent 2 2 24 3" xfId="5349"/>
    <cellStyle name="60% - akcent 2 2 24 4" xfId="5350"/>
    <cellStyle name="60% - akcent 2 2 24 5" xfId="5351"/>
    <cellStyle name="60% - akcent 2 2 24 6" xfId="5352"/>
    <cellStyle name="60% - akcent 2 2 25" xfId="5353"/>
    <cellStyle name="60% - akcent 2 2 25 2" xfId="5354"/>
    <cellStyle name="60% - akcent 2 2 25 3" xfId="5355"/>
    <cellStyle name="60% - akcent 2 2 25 4" xfId="5356"/>
    <cellStyle name="60% - akcent 2 2 25 5" xfId="5357"/>
    <cellStyle name="60% - akcent 2 2 25 6" xfId="5358"/>
    <cellStyle name="60% - akcent 2 2 26" xfId="5359"/>
    <cellStyle name="60% - akcent 2 2 26 2" xfId="5360"/>
    <cellStyle name="60% - akcent 2 2 26 3" xfId="5361"/>
    <cellStyle name="60% - akcent 2 2 26 4" xfId="5362"/>
    <cellStyle name="60% - akcent 2 2 26 5" xfId="5363"/>
    <cellStyle name="60% - akcent 2 2 26 6" xfId="5364"/>
    <cellStyle name="60% - akcent 2 2 27" xfId="5365"/>
    <cellStyle name="60% - akcent 2 2 27 2" xfId="5366"/>
    <cellStyle name="60% - akcent 2 2 27 3" xfId="5367"/>
    <cellStyle name="60% - akcent 2 2 27 4" xfId="5368"/>
    <cellStyle name="60% - akcent 2 2 27 5" xfId="5369"/>
    <cellStyle name="60% - akcent 2 2 27 6" xfId="5370"/>
    <cellStyle name="60% - akcent 2 2 28" xfId="5371"/>
    <cellStyle name="60% - akcent 2 2 28 2" xfId="5372"/>
    <cellStyle name="60% - akcent 2 2 28 3" xfId="5373"/>
    <cellStyle name="60% - akcent 2 2 28 4" xfId="5374"/>
    <cellStyle name="60% - akcent 2 2 28 5" xfId="5375"/>
    <cellStyle name="60% - akcent 2 2 28 6" xfId="5376"/>
    <cellStyle name="60% - akcent 2 2 29" xfId="5377"/>
    <cellStyle name="60% - akcent 2 2 29 2" xfId="5378"/>
    <cellStyle name="60% - akcent 2 2 3" xfId="5379"/>
    <cellStyle name="60% - akcent 2 2 3 2" xfId="5380"/>
    <cellStyle name="60% - akcent 2 2 3 3" xfId="5381"/>
    <cellStyle name="60% - akcent 2 2 3 4" xfId="5382"/>
    <cellStyle name="60% - akcent 2 2 3 5" xfId="5383"/>
    <cellStyle name="60% - akcent 2 2 3 6" xfId="5384"/>
    <cellStyle name="60% - akcent 2 2 30" xfId="5385"/>
    <cellStyle name="60% - akcent 2 2 30 2" xfId="5386"/>
    <cellStyle name="60% - akcent 2 2 31" xfId="5387"/>
    <cellStyle name="60% - akcent 2 2 31 2" xfId="5388"/>
    <cellStyle name="60% - akcent 2 2 32" xfId="5389"/>
    <cellStyle name="60% - akcent 2 2 32 2" xfId="5390"/>
    <cellStyle name="60% - akcent 2 2 33" xfId="5391"/>
    <cellStyle name="60% - akcent 2 2 34" xfId="5392"/>
    <cellStyle name="60% - akcent 2 2 35" xfId="5393"/>
    <cellStyle name="60% - akcent 2 2 36" xfId="5394"/>
    <cellStyle name="60% - akcent 2 2 37" xfId="5395"/>
    <cellStyle name="60% - akcent 2 2 38" xfId="5396"/>
    <cellStyle name="60% - akcent 2 2 39" xfId="5397"/>
    <cellStyle name="60% - akcent 2 2 4" xfId="5398"/>
    <cellStyle name="60% - akcent 2 2 4 2" xfId="5399"/>
    <cellStyle name="60% - akcent 2 2 4 3" xfId="5400"/>
    <cellStyle name="60% - akcent 2 2 4 4" xfId="5401"/>
    <cellStyle name="60% - akcent 2 2 4 5" xfId="5402"/>
    <cellStyle name="60% - akcent 2 2 4 6" xfId="5403"/>
    <cellStyle name="60% - akcent 2 2 40" xfId="5404"/>
    <cellStyle name="60% - akcent 2 2 41" xfId="5405"/>
    <cellStyle name="60% - akcent 2 2 42" xfId="5406"/>
    <cellStyle name="60% - akcent 2 2 43" xfId="5407"/>
    <cellStyle name="60% - akcent 2 2 44" xfId="5408"/>
    <cellStyle name="60% - akcent 2 2 45" xfId="5409"/>
    <cellStyle name="60% - akcent 2 2 46" xfId="5410"/>
    <cellStyle name="60% - akcent 2 2 47" xfId="5411"/>
    <cellStyle name="60% - akcent 2 2 48" xfId="5412"/>
    <cellStyle name="60% - akcent 2 2 49" xfId="5413"/>
    <cellStyle name="60% - akcent 2 2 5" xfId="5414"/>
    <cellStyle name="60% - akcent 2 2 5 2" xfId="5415"/>
    <cellStyle name="60% - akcent 2 2 5 3" xfId="5416"/>
    <cellStyle name="60% - akcent 2 2 5 4" xfId="5417"/>
    <cellStyle name="60% - akcent 2 2 5 5" xfId="5418"/>
    <cellStyle name="60% - akcent 2 2 5 6" xfId="5419"/>
    <cellStyle name="60% - akcent 2 2 50" xfId="5420"/>
    <cellStyle name="60% - akcent 2 2 51" xfId="5421"/>
    <cellStyle name="60% - akcent 2 2 52" xfId="5422"/>
    <cellStyle name="60% - akcent 2 2 6" xfId="5423"/>
    <cellStyle name="60% - akcent 2 2 6 2" xfId="5424"/>
    <cellStyle name="60% - akcent 2 2 6 3" xfId="5425"/>
    <cellStyle name="60% - akcent 2 2 6 4" xfId="5426"/>
    <cellStyle name="60% - akcent 2 2 6 5" xfId="5427"/>
    <cellStyle name="60% - akcent 2 2 6 6" xfId="5428"/>
    <cellStyle name="60% - akcent 2 2 7" xfId="5429"/>
    <cellStyle name="60% - akcent 2 2 7 2" xfId="5430"/>
    <cellStyle name="60% - akcent 2 2 7 3" xfId="5431"/>
    <cellStyle name="60% - akcent 2 2 7 4" xfId="5432"/>
    <cellStyle name="60% - akcent 2 2 7 5" xfId="5433"/>
    <cellStyle name="60% - akcent 2 2 7 6" xfId="5434"/>
    <cellStyle name="60% - akcent 2 2 8" xfId="5435"/>
    <cellStyle name="60% - akcent 2 2 8 2" xfId="5436"/>
    <cellStyle name="60% - akcent 2 2 8 3" xfId="5437"/>
    <cellStyle name="60% - akcent 2 2 8 4" xfId="5438"/>
    <cellStyle name="60% - akcent 2 2 8 5" xfId="5439"/>
    <cellStyle name="60% - akcent 2 2 8 6" xfId="5440"/>
    <cellStyle name="60% - akcent 2 2 9" xfId="5441"/>
    <cellStyle name="60% - akcent 2 2 9 2" xfId="5442"/>
    <cellStyle name="60% - akcent 2 2 9 3" xfId="5443"/>
    <cellStyle name="60% - akcent 2 2 9 4" xfId="5444"/>
    <cellStyle name="60% - akcent 2 2 9 5" xfId="5445"/>
    <cellStyle name="60% - akcent 2 2 9 6" xfId="5446"/>
    <cellStyle name="60% - akcent 2 3" xfId="5447"/>
    <cellStyle name="60% - akcent 2 3 2" xfId="5448"/>
    <cellStyle name="60% - akcent 2 3 2 2" xfId="5449"/>
    <cellStyle name="60% - akcent 2 3 3" xfId="5450"/>
    <cellStyle name="60% - akcent 2 3 4" xfId="5451"/>
    <cellStyle name="60% - akcent 2 3 5" xfId="5452"/>
    <cellStyle name="60% - akcent 2 3 6" xfId="5453"/>
    <cellStyle name="60% - akcent 2 3 7" xfId="5454"/>
    <cellStyle name="60% - akcent 2 3 8" xfId="5455"/>
    <cellStyle name="60% - akcent 2 4" xfId="5456"/>
    <cellStyle name="60% - akcent 2 4 2" xfId="5457"/>
    <cellStyle name="60% - akcent 2 4 3" xfId="5458"/>
    <cellStyle name="60% - akcent 2 4 4" xfId="5459"/>
    <cellStyle name="60% - akcent 2 4 5" xfId="5460"/>
    <cellStyle name="60% - akcent 2 4 6" xfId="5461"/>
    <cellStyle name="60% - akcent 2 4 7" xfId="5462"/>
    <cellStyle name="60% - akcent 2 4 8" xfId="5463"/>
    <cellStyle name="60% - akcent 2 5" xfId="5464"/>
    <cellStyle name="60% - akcent 2 5 2" xfId="5465"/>
    <cellStyle name="60% - akcent 2 6" xfId="5466"/>
    <cellStyle name="60% - akcent 2 7" xfId="5467"/>
    <cellStyle name="60% - akcent 3 2" xfId="5468"/>
    <cellStyle name="60% - akcent 3 2 10" xfId="5469"/>
    <cellStyle name="60% - akcent 3 2 10 2" xfId="5470"/>
    <cellStyle name="60% - akcent 3 2 10 3" xfId="5471"/>
    <cellStyle name="60% - akcent 3 2 10 4" xfId="5472"/>
    <cellStyle name="60% - akcent 3 2 10 5" xfId="5473"/>
    <cellStyle name="60% - akcent 3 2 10 6" xfId="5474"/>
    <cellStyle name="60% - akcent 3 2 11" xfId="5475"/>
    <cellStyle name="60% - akcent 3 2 11 2" xfId="5476"/>
    <cellStyle name="60% - akcent 3 2 11 3" xfId="5477"/>
    <cellStyle name="60% - akcent 3 2 11 4" xfId="5478"/>
    <cellStyle name="60% - akcent 3 2 11 5" xfId="5479"/>
    <cellStyle name="60% - akcent 3 2 11 6" xfId="5480"/>
    <cellStyle name="60% - akcent 3 2 12" xfId="5481"/>
    <cellStyle name="60% - akcent 3 2 12 2" xfId="5482"/>
    <cellStyle name="60% - akcent 3 2 12 3" xfId="5483"/>
    <cellStyle name="60% - akcent 3 2 12 4" xfId="5484"/>
    <cellStyle name="60% - akcent 3 2 12 5" xfId="5485"/>
    <cellStyle name="60% - akcent 3 2 12 6" xfId="5486"/>
    <cellStyle name="60% - akcent 3 2 13" xfId="5487"/>
    <cellStyle name="60% - akcent 3 2 13 2" xfId="5488"/>
    <cellStyle name="60% - akcent 3 2 13 3" xfId="5489"/>
    <cellStyle name="60% - akcent 3 2 13 4" xfId="5490"/>
    <cellStyle name="60% - akcent 3 2 13 5" xfId="5491"/>
    <cellStyle name="60% - akcent 3 2 13 6" xfId="5492"/>
    <cellStyle name="60% - akcent 3 2 14" xfId="5493"/>
    <cellStyle name="60% - akcent 3 2 14 2" xfId="5494"/>
    <cellStyle name="60% - akcent 3 2 14 3" xfId="5495"/>
    <cellStyle name="60% - akcent 3 2 14 4" xfId="5496"/>
    <cellStyle name="60% - akcent 3 2 14 5" xfId="5497"/>
    <cellStyle name="60% - akcent 3 2 14 6" xfId="5498"/>
    <cellStyle name="60% - akcent 3 2 15" xfId="5499"/>
    <cellStyle name="60% - akcent 3 2 15 2" xfId="5500"/>
    <cellStyle name="60% - akcent 3 2 15 3" xfId="5501"/>
    <cellStyle name="60% - akcent 3 2 15 4" xfId="5502"/>
    <cellStyle name="60% - akcent 3 2 15 5" xfId="5503"/>
    <cellStyle name="60% - akcent 3 2 15 6" xfId="5504"/>
    <cellStyle name="60% - akcent 3 2 16" xfId="5505"/>
    <cellStyle name="60% - akcent 3 2 16 2" xfId="5506"/>
    <cellStyle name="60% - akcent 3 2 16 3" xfId="5507"/>
    <cellStyle name="60% - akcent 3 2 16 4" xfId="5508"/>
    <cellStyle name="60% - akcent 3 2 16 5" xfId="5509"/>
    <cellStyle name="60% - akcent 3 2 16 6" xfId="5510"/>
    <cellStyle name="60% - akcent 3 2 17" xfId="5511"/>
    <cellStyle name="60% - akcent 3 2 17 2" xfId="5512"/>
    <cellStyle name="60% - akcent 3 2 17 3" xfId="5513"/>
    <cellStyle name="60% - akcent 3 2 17 4" xfId="5514"/>
    <cellStyle name="60% - akcent 3 2 17 5" xfId="5515"/>
    <cellStyle name="60% - akcent 3 2 17 6" xfId="5516"/>
    <cellStyle name="60% - akcent 3 2 18" xfId="5517"/>
    <cellStyle name="60% - akcent 3 2 18 2" xfId="5518"/>
    <cellStyle name="60% - akcent 3 2 18 3" xfId="5519"/>
    <cellStyle name="60% - akcent 3 2 18 4" xfId="5520"/>
    <cellStyle name="60% - akcent 3 2 18 5" xfId="5521"/>
    <cellStyle name="60% - akcent 3 2 18 6" xfId="5522"/>
    <cellStyle name="60% - akcent 3 2 19" xfId="5523"/>
    <cellStyle name="60% - akcent 3 2 19 2" xfId="5524"/>
    <cellStyle name="60% - akcent 3 2 19 3" xfId="5525"/>
    <cellStyle name="60% - akcent 3 2 19 4" xfId="5526"/>
    <cellStyle name="60% - akcent 3 2 19 5" xfId="5527"/>
    <cellStyle name="60% - akcent 3 2 19 6" xfId="5528"/>
    <cellStyle name="60% - akcent 3 2 2" xfId="5529"/>
    <cellStyle name="60% - akcent 3 2 2 2" xfId="5530"/>
    <cellStyle name="60% - akcent 3 2 2 3" xfId="5531"/>
    <cellStyle name="60% - akcent 3 2 2 4" xfId="5532"/>
    <cellStyle name="60% - akcent 3 2 2 5" xfId="5533"/>
    <cellStyle name="60% - akcent 3 2 2 6" xfId="5534"/>
    <cellStyle name="60% - akcent 3 2 2 7" xfId="5535"/>
    <cellStyle name="60% - akcent 3 2 20" xfId="5536"/>
    <cellStyle name="60% - akcent 3 2 20 2" xfId="5537"/>
    <cellStyle name="60% - akcent 3 2 20 3" xfId="5538"/>
    <cellStyle name="60% - akcent 3 2 20 4" xfId="5539"/>
    <cellStyle name="60% - akcent 3 2 20 5" xfId="5540"/>
    <cellStyle name="60% - akcent 3 2 20 6" xfId="5541"/>
    <cellStyle name="60% - akcent 3 2 21" xfId="5542"/>
    <cellStyle name="60% - akcent 3 2 21 2" xfId="5543"/>
    <cellStyle name="60% - akcent 3 2 21 3" xfId="5544"/>
    <cellStyle name="60% - akcent 3 2 21 4" xfId="5545"/>
    <cellStyle name="60% - akcent 3 2 21 5" xfId="5546"/>
    <cellStyle name="60% - akcent 3 2 21 6" xfId="5547"/>
    <cellStyle name="60% - akcent 3 2 22" xfId="5548"/>
    <cellStyle name="60% - akcent 3 2 22 2" xfId="5549"/>
    <cellStyle name="60% - akcent 3 2 22 3" xfId="5550"/>
    <cellStyle name="60% - akcent 3 2 22 4" xfId="5551"/>
    <cellStyle name="60% - akcent 3 2 22 5" xfId="5552"/>
    <cellStyle name="60% - akcent 3 2 22 6" xfId="5553"/>
    <cellStyle name="60% - akcent 3 2 23" xfId="5554"/>
    <cellStyle name="60% - akcent 3 2 23 2" xfId="5555"/>
    <cellStyle name="60% - akcent 3 2 23 3" xfId="5556"/>
    <cellStyle name="60% - akcent 3 2 23 4" xfId="5557"/>
    <cellStyle name="60% - akcent 3 2 23 5" xfId="5558"/>
    <cellStyle name="60% - akcent 3 2 23 6" xfId="5559"/>
    <cellStyle name="60% - akcent 3 2 24" xfId="5560"/>
    <cellStyle name="60% - akcent 3 2 24 2" xfId="5561"/>
    <cellStyle name="60% - akcent 3 2 24 3" xfId="5562"/>
    <cellStyle name="60% - akcent 3 2 24 4" xfId="5563"/>
    <cellStyle name="60% - akcent 3 2 24 5" xfId="5564"/>
    <cellStyle name="60% - akcent 3 2 24 6" xfId="5565"/>
    <cellStyle name="60% - akcent 3 2 25" xfId="5566"/>
    <cellStyle name="60% - akcent 3 2 25 2" xfId="5567"/>
    <cellStyle name="60% - akcent 3 2 25 3" xfId="5568"/>
    <cellStyle name="60% - akcent 3 2 25 4" xfId="5569"/>
    <cellStyle name="60% - akcent 3 2 25 5" xfId="5570"/>
    <cellStyle name="60% - akcent 3 2 25 6" xfId="5571"/>
    <cellStyle name="60% - akcent 3 2 26" xfId="5572"/>
    <cellStyle name="60% - akcent 3 2 26 2" xfId="5573"/>
    <cellStyle name="60% - akcent 3 2 26 3" xfId="5574"/>
    <cellStyle name="60% - akcent 3 2 26 4" xfId="5575"/>
    <cellStyle name="60% - akcent 3 2 26 5" xfId="5576"/>
    <cellStyle name="60% - akcent 3 2 26 6" xfId="5577"/>
    <cellStyle name="60% - akcent 3 2 27" xfId="5578"/>
    <cellStyle name="60% - akcent 3 2 27 2" xfId="5579"/>
    <cellStyle name="60% - akcent 3 2 27 3" xfId="5580"/>
    <cellStyle name="60% - akcent 3 2 27 4" xfId="5581"/>
    <cellStyle name="60% - akcent 3 2 27 5" xfId="5582"/>
    <cellStyle name="60% - akcent 3 2 27 6" xfId="5583"/>
    <cellStyle name="60% - akcent 3 2 28" xfId="5584"/>
    <cellStyle name="60% - akcent 3 2 28 2" xfId="5585"/>
    <cellStyle name="60% - akcent 3 2 28 3" xfId="5586"/>
    <cellStyle name="60% - akcent 3 2 28 4" xfId="5587"/>
    <cellStyle name="60% - akcent 3 2 28 5" xfId="5588"/>
    <cellStyle name="60% - akcent 3 2 28 6" xfId="5589"/>
    <cellStyle name="60% - akcent 3 2 29" xfId="5590"/>
    <cellStyle name="60% - akcent 3 2 29 2" xfId="5591"/>
    <cellStyle name="60% - akcent 3 2 3" xfId="5592"/>
    <cellStyle name="60% - akcent 3 2 3 2" xfId="5593"/>
    <cellStyle name="60% - akcent 3 2 3 3" xfId="5594"/>
    <cellStyle name="60% - akcent 3 2 3 4" xfId="5595"/>
    <cellStyle name="60% - akcent 3 2 3 5" xfId="5596"/>
    <cellStyle name="60% - akcent 3 2 3 6" xfId="5597"/>
    <cellStyle name="60% - akcent 3 2 30" xfId="5598"/>
    <cellStyle name="60% - akcent 3 2 30 2" xfId="5599"/>
    <cellStyle name="60% - akcent 3 2 31" xfId="5600"/>
    <cellStyle name="60% - akcent 3 2 31 2" xfId="5601"/>
    <cellStyle name="60% - akcent 3 2 32" xfId="5602"/>
    <cellStyle name="60% - akcent 3 2 32 2" xfId="5603"/>
    <cellStyle name="60% - akcent 3 2 33" xfId="5604"/>
    <cellStyle name="60% - akcent 3 2 34" xfId="5605"/>
    <cellStyle name="60% - akcent 3 2 35" xfId="5606"/>
    <cellStyle name="60% - akcent 3 2 36" xfId="5607"/>
    <cellStyle name="60% - akcent 3 2 37" xfId="5608"/>
    <cellStyle name="60% - akcent 3 2 38" xfId="5609"/>
    <cellStyle name="60% - akcent 3 2 39" xfId="5610"/>
    <cellStyle name="60% - akcent 3 2 4" xfId="5611"/>
    <cellStyle name="60% - akcent 3 2 4 2" xfId="5612"/>
    <cellStyle name="60% - akcent 3 2 4 3" xfId="5613"/>
    <cellStyle name="60% - akcent 3 2 4 4" xfId="5614"/>
    <cellStyle name="60% - akcent 3 2 4 5" xfId="5615"/>
    <cellStyle name="60% - akcent 3 2 4 6" xfId="5616"/>
    <cellStyle name="60% - akcent 3 2 40" xfId="5617"/>
    <cellStyle name="60% - akcent 3 2 41" xfId="5618"/>
    <cellStyle name="60% - akcent 3 2 42" xfId="5619"/>
    <cellStyle name="60% - akcent 3 2 43" xfId="5620"/>
    <cellStyle name="60% - akcent 3 2 44" xfId="5621"/>
    <cellStyle name="60% - akcent 3 2 45" xfId="5622"/>
    <cellStyle name="60% - akcent 3 2 46" xfId="5623"/>
    <cellStyle name="60% - akcent 3 2 47" xfId="5624"/>
    <cellStyle name="60% - akcent 3 2 48" xfId="5625"/>
    <cellStyle name="60% - akcent 3 2 49" xfId="5626"/>
    <cellStyle name="60% - akcent 3 2 5" xfId="5627"/>
    <cellStyle name="60% - akcent 3 2 5 2" xfId="5628"/>
    <cellStyle name="60% - akcent 3 2 5 3" xfId="5629"/>
    <cellStyle name="60% - akcent 3 2 5 4" xfId="5630"/>
    <cellStyle name="60% - akcent 3 2 5 5" xfId="5631"/>
    <cellStyle name="60% - akcent 3 2 5 6" xfId="5632"/>
    <cellStyle name="60% - akcent 3 2 50" xfId="5633"/>
    <cellStyle name="60% - akcent 3 2 51" xfId="5634"/>
    <cellStyle name="60% - akcent 3 2 52" xfId="5635"/>
    <cellStyle name="60% - akcent 3 2 6" xfId="5636"/>
    <cellStyle name="60% - akcent 3 2 6 2" xfId="5637"/>
    <cellStyle name="60% - akcent 3 2 6 3" xfId="5638"/>
    <cellStyle name="60% - akcent 3 2 6 4" xfId="5639"/>
    <cellStyle name="60% - akcent 3 2 6 5" xfId="5640"/>
    <cellStyle name="60% - akcent 3 2 6 6" xfId="5641"/>
    <cellStyle name="60% - akcent 3 2 7" xfId="5642"/>
    <cellStyle name="60% - akcent 3 2 7 2" xfId="5643"/>
    <cellStyle name="60% - akcent 3 2 7 3" xfId="5644"/>
    <cellStyle name="60% - akcent 3 2 7 4" xfId="5645"/>
    <cellStyle name="60% - akcent 3 2 7 5" xfId="5646"/>
    <cellStyle name="60% - akcent 3 2 7 6" xfId="5647"/>
    <cellStyle name="60% - akcent 3 2 8" xfId="5648"/>
    <cellStyle name="60% - akcent 3 2 8 2" xfId="5649"/>
    <cellStyle name="60% - akcent 3 2 8 3" xfId="5650"/>
    <cellStyle name="60% - akcent 3 2 8 4" xfId="5651"/>
    <cellStyle name="60% - akcent 3 2 8 5" xfId="5652"/>
    <cellStyle name="60% - akcent 3 2 8 6" xfId="5653"/>
    <cellStyle name="60% - akcent 3 2 9" xfId="5654"/>
    <cellStyle name="60% - akcent 3 2 9 2" xfId="5655"/>
    <cellStyle name="60% - akcent 3 2 9 3" xfId="5656"/>
    <cellStyle name="60% - akcent 3 2 9 4" xfId="5657"/>
    <cellStyle name="60% - akcent 3 2 9 5" xfId="5658"/>
    <cellStyle name="60% - akcent 3 2 9 6" xfId="5659"/>
    <cellStyle name="60% - akcent 3 3" xfId="5660"/>
    <cellStyle name="60% - akcent 3 3 2" xfId="5661"/>
    <cellStyle name="60% - akcent 3 3 2 2" xfId="5662"/>
    <cellStyle name="60% - akcent 3 3 3" xfId="5663"/>
    <cellStyle name="60% - akcent 3 3 4" xfId="5664"/>
    <cellStyle name="60% - akcent 3 3 5" xfId="5665"/>
    <cellStyle name="60% - akcent 3 3 6" xfId="5666"/>
    <cellStyle name="60% - akcent 3 3 7" xfId="5667"/>
    <cellStyle name="60% - akcent 3 3 8" xfId="5668"/>
    <cellStyle name="60% - akcent 3 4" xfId="5669"/>
    <cellStyle name="60% - akcent 3 4 2" xfId="5670"/>
    <cellStyle name="60% - akcent 3 4 3" xfId="5671"/>
    <cellStyle name="60% - akcent 3 4 4" xfId="5672"/>
    <cellStyle name="60% - akcent 3 4 5" xfId="5673"/>
    <cellStyle name="60% - akcent 3 4 6" xfId="5674"/>
    <cellStyle name="60% - akcent 3 4 7" xfId="5675"/>
    <cellStyle name="60% - akcent 3 4 8" xfId="5676"/>
    <cellStyle name="60% - akcent 3 5" xfId="5677"/>
    <cellStyle name="60% - akcent 3 5 2" xfId="5678"/>
    <cellStyle name="60% - akcent 3 6" xfId="5679"/>
    <cellStyle name="60% - akcent 3 7" xfId="5680"/>
    <cellStyle name="60% - akcent 4 2" xfId="5681"/>
    <cellStyle name="60% - akcent 4 2 10" xfId="5682"/>
    <cellStyle name="60% - akcent 4 2 10 2" xfId="5683"/>
    <cellStyle name="60% - akcent 4 2 10 3" xfId="5684"/>
    <cellStyle name="60% - akcent 4 2 10 4" xfId="5685"/>
    <cellStyle name="60% - akcent 4 2 10 5" xfId="5686"/>
    <cellStyle name="60% - akcent 4 2 10 6" xfId="5687"/>
    <cellStyle name="60% - akcent 4 2 11" xfId="5688"/>
    <cellStyle name="60% - akcent 4 2 11 2" xfId="5689"/>
    <cellStyle name="60% - akcent 4 2 11 3" xfId="5690"/>
    <cellStyle name="60% - akcent 4 2 11 4" xfId="5691"/>
    <cellStyle name="60% - akcent 4 2 11 5" xfId="5692"/>
    <cellStyle name="60% - akcent 4 2 11 6" xfId="5693"/>
    <cellStyle name="60% - akcent 4 2 12" xfId="5694"/>
    <cellStyle name="60% - akcent 4 2 12 2" xfId="5695"/>
    <cellStyle name="60% - akcent 4 2 12 3" xfId="5696"/>
    <cellStyle name="60% - akcent 4 2 12 4" xfId="5697"/>
    <cellStyle name="60% - akcent 4 2 12 5" xfId="5698"/>
    <cellStyle name="60% - akcent 4 2 12 6" xfId="5699"/>
    <cellStyle name="60% - akcent 4 2 13" xfId="5700"/>
    <cellStyle name="60% - akcent 4 2 13 2" xfId="5701"/>
    <cellStyle name="60% - akcent 4 2 13 3" xfId="5702"/>
    <cellStyle name="60% - akcent 4 2 13 4" xfId="5703"/>
    <cellStyle name="60% - akcent 4 2 13 5" xfId="5704"/>
    <cellStyle name="60% - akcent 4 2 13 6" xfId="5705"/>
    <cellStyle name="60% - akcent 4 2 14" xfId="5706"/>
    <cellStyle name="60% - akcent 4 2 14 2" xfId="5707"/>
    <cellStyle name="60% - akcent 4 2 14 3" xfId="5708"/>
    <cellStyle name="60% - akcent 4 2 14 4" xfId="5709"/>
    <cellStyle name="60% - akcent 4 2 14 5" xfId="5710"/>
    <cellStyle name="60% - akcent 4 2 14 6" xfId="5711"/>
    <cellStyle name="60% - akcent 4 2 15" xfId="5712"/>
    <cellStyle name="60% - akcent 4 2 15 2" xfId="5713"/>
    <cellStyle name="60% - akcent 4 2 15 3" xfId="5714"/>
    <cellStyle name="60% - akcent 4 2 15 4" xfId="5715"/>
    <cellStyle name="60% - akcent 4 2 15 5" xfId="5716"/>
    <cellStyle name="60% - akcent 4 2 15 6" xfId="5717"/>
    <cellStyle name="60% - akcent 4 2 16" xfId="5718"/>
    <cellStyle name="60% - akcent 4 2 16 2" xfId="5719"/>
    <cellStyle name="60% - akcent 4 2 16 3" xfId="5720"/>
    <cellStyle name="60% - akcent 4 2 16 4" xfId="5721"/>
    <cellStyle name="60% - akcent 4 2 16 5" xfId="5722"/>
    <cellStyle name="60% - akcent 4 2 16 6" xfId="5723"/>
    <cellStyle name="60% - akcent 4 2 17" xfId="5724"/>
    <cellStyle name="60% - akcent 4 2 17 2" xfId="5725"/>
    <cellStyle name="60% - akcent 4 2 17 3" xfId="5726"/>
    <cellStyle name="60% - akcent 4 2 17 4" xfId="5727"/>
    <cellStyle name="60% - akcent 4 2 17 5" xfId="5728"/>
    <cellStyle name="60% - akcent 4 2 17 6" xfId="5729"/>
    <cellStyle name="60% - akcent 4 2 18" xfId="5730"/>
    <cellStyle name="60% - akcent 4 2 18 2" xfId="5731"/>
    <cellStyle name="60% - akcent 4 2 18 3" xfId="5732"/>
    <cellStyle name="60% - akcent 4 2 18 4" xfId="5733"/>
    <cellStyle name="60% - akcent 4 2 18 5" xfId="5734"/>
    <cellStyle name="60% - akcent 4 2 18 6" xfId="5735"/>
    <cellStyle name="60% - akcent 4 2 19" xfId="5736"/>
    <cellStyle name="60% - akcent 4 2 19 2" xfId="5737"/>
    <cellStyle name="60% - akcent 4 2 19 3" xfId="5738"/>
    <cellStyle name="60% - akcent 4 2 19 4" xfId="5739"/>
    <cellStyle name="60% - akcent 4 2 19 5" xfId="5740"/>
    <cellStyle name="60% - akcent 4 2 19 6" xfId="5741"/>
    <cellStyle name="60% - akcent 4 2 2" xfId="5742"/>
    <cellStyle name="60% - akcent 4 2 2 2" xfId="5743"/>
    <cellStyle name="60% - akcent 4 2 2 3" xfId="5744"/>
    <cellStyle name="60% - akcent 4 2 2 4" xfId="5745"/>
    <cellStyle name="60% - akcent 4 2 2 5" xfId="5746"/>
    <cellStyle name="60% - akcent 4 2 2 6" xfId="5747"/>
    <cellStyle name="60% - akcent 4 2 2 7" xfId="5748"/>
    <cellStyle name="60% - akcent 4 2 20" xfId="5749"/>
    <cellStyle name="60% - akcent 4 2 20 2" xfId="5750"/>
    <cellStyle name="60% - akcent 4 2 20 3" xfId="5751"/>
    <cellStyle name="60% - akcent 4 2 20 4" xfId="5752"/>
    <cellStyle name="60% - akcent 4 2 20 5" xfId="5753"/>
    <cellStyle name="60% - akcent 4 2 20 6" xfId="5754"/>
    <cellStyle name="60% - akcent 4 2 21" xfId="5755"/>
    <cellStyle name="60% - akcent 4 2 21 2" xfId="5756"/>
    <cellStyle name="60% - akcent 4 2 21 3" xfId="5757"/>
    <cellStyle name="60% - akcent 4 2 21 4" xfId="5758"/>
    <cellStyle name="60% - akcent 4 2 21 5" xfId="5759"/>
    <cellStyle name="60% - akcent 4 2 21 6" xfId="5760"/>
    <cellStyle name="60% - akcent 4 2 22" xfId="5761"/>
    <cellStyle name="60% - akcent 4 2 22 2" xfId="5762"/>
    <cellStyle name="60% - akcent 4 2 22 3" xfId="5763"/>
    <cellStyle name="60% - akcent 4 2 22 4" xfId="5764"/>
    <cellStyle name="60% - akcent 4 2 22 5" xfId="5765"/>
    <cellStyle name="60% - akcent 4 2 22 6" xfId="5766"/>
    <cellStyle name="60% - akcent 4 2 23" xfId="5767"/>
    <cellStyle name="60% - akcent 4 2 23 2" xfId="5768"/>
    <cellStyle name="60% - akcent 4 2 23 3" xfId="5769"/>
    <cellStyle name="60% - akcent 4 2 23 4" xfId="5770"/>
    <cellStyle name="60% - akcent 4 2 23 5" xfId="5771"/>
    <cellStyle name="60% - akcent 4 2 23 6" xfId="5772"/>
    <cellStyle name="60% - akcent 4 2 24" xfId="5773"/>
    <cellStyle name="60% - akcent 4 2 24 2" xfId="5774"/>
    <cellStyle name="60% - akcent 4 2 24 3" xfId="5775"/>
    <cellStyle name="60% - akcent 4 2 24 4" xfId="5776"/>
    <cellStyle name="60% - akcent 4 2 24 5" xfId="5777"/>
    <cellStyle name="60% - akcent 4 2 24 6" xfId="5778"/>
    <cellStyle name="60% - akcent 4 2 25" xfId="5779"/>
    <cellStyle name="60% - akcent 4 2 25 2" xfId="5780"/>
    <cellStyle name="60% - akcent 4 2 25 3" xfId="5781"/>
    <cellStyle name="60% - akcent 4 2 25 4" xfId="5782"/>
    <cellStyle name="60% - akcent 4 2 25 5" xfId="5783"/>
    <cellStyle name="60% - akcent 4 2 25 6" xfId="5784"/>
    <cellStyle name="60% - akcent 4 2 26" xfId="5785"/>
    <cellStyle name="60% - akcent 4 2 26 2" xfId="5786"/>
    <cellStyle name="60% - akcent 4 2 26 3" xfId="5787"/>
    <cellStyle name="60% - akcent 4 2 26 4" xfId="5788"/>
    <cellStyle name="60% - akcent 4 2 26 5" xfId="5789"/>
    <cellStyle name="60% - akcent 4 2 26 6" xfId="5790"/>
    <cellStyle name="60% - akcent 4 2 27" xfId="5791"/>
    <cellStyle name="60% - akcent 4 2 27 2" xfId="5792"/>
    <cellStyle name="60% - akcent 4 2 27 3" xfId="5793"/>
    <cellStyle name="60% - akcent 4 2 27 4" xfId="5794"/>
    <cellStyle name="60% - akcent 4 2 27 5" xfId="5795"/>
    <cellStyle name="60% - akcent 4 2 27 6" xfId="5796"/>
    <cellStyle name="60% - akcent 4 2 28" xfId="5797"/>
    <cellStyle name="60% - akcent 4 2 28 2" xfId="5798"/>
    <cellStyle name="60% - akcent 4 2 28 3" xfId="5799"/>
    <cellStyle name="60% - akcent 4 2 28 4" xfId="5800"/>
    <cellStyle name="60% - akcent 4 2 28 5" xfId="5801"/>
    <cellStyle name="60% - akcent 4 2 28 6" xfId="5802"/>
    <cellStyle name="60% - akcent 4 2 29" xfId="5803"/>
    <cellStyle name="60% - akcent 4 2 29 2" xfId="5804"/>
    <cellStyle name="60% - akcent 4 2 3" xfId="5805"/>
    <cellStyle name="60% - akcent 4 2 3 2" xfId="5806"/>
    <cellStyle name="60% - akcent 4 2 3 3" xfId="5807"/>
    <cellStyle name="60% - akcent 4 2 3 4" xfId="5808"/>
    <cellStyle name="60% - akcent 4 2 3 5" xfId="5809"/>
    <cellStyle name="60% - akcent 4 2 3 6" xfId="5810"/>
    <cellStyle name="60% - akcent 4 2 30" xfId="5811"/>
    <cellStyle name="60% - akcent 4 2 30 2" xfId="5812"/>
    <cellStyle name="60% - akcent 4 2 31" xfId="5813"/>
    <cellStyle name="60% - akcent 4 2 31 2" xfId="5814"/>
    <cellStyle name="60% - akcent 4 2 32" xfId="5815"/>
    <cellStyle name="60% - akcent 4 2 32 2" xfId="5816"/>
    <cellStyle name="60% - akcent 4 2 33" xfId="5817"/>
    <cellStyle name="60% - akcent 4 2 34" xfId="5818"/>
    <cellStyle name="60% - akcent 4 2 35" xfId="5819"/>
    <cellStyle name="60% - akcent 4 2 36" xfId="5820"/>
    <cellStyle name="60% - akcent 4 2 37" xfId="5821"/>
    <cellStyle name="60% - akcent 4 2 38" xfId="5822"/>
    <cellStyle name="60% - akcent 4 2 39" xfId="5823"/>
    <cellStyle name="60% - akcent 4 2 4" xfId="5824"/>
    <cellStyle name="60% - akcent 4 2 4 2" xfId="5825"/>
    <cellStyle name="60% - akcent 4 2 4 3" xfId="5826"/>
    <cellStyle name="60% - akcent 4 2 4 4" xfId="5827"/>
    <cellStyle name="60% - akcent 4 2 4 5" xfId="5828"/>
    <cellStyle name="60% - akcent 4 2 4 6" xfId="5829"/>
    <cellStyle name="60% - akcent 4 2 40" xfId="5830"/>
    <cellStyle name="60% - akcent 4 2 41" xfId="5831"/>
    <cellStyle name="60% - akcent 4 2 42" xfId="5832"/>
    <cellStyle name="60% - akcent 4 2 43" xfId="5833"/>
    <cellStyle name="60% - akcent 4 2 44" xfId="5834"/>
    <cellStyle name="60% - akcent 4 2 45" xfId="5835"/>
    <cellStyle name="60% - akcent 4 2 46" xfId="5836"/>
    <cellStyle name="60% - akcent 4 2 47" xfId="5837"/>
    <cellStyle name="60% - akcent 4 2 48" xfId="5838"/>
    <cellStyle name="60% - akcent 4 2 49" xfId="5839"/>
    <cellStyle name="60% - akcent 4 2 5" xfId="5840"/>
    <cellStyle name="60% - akcent 4 2 5 2" xfId="5841"/>
    <cellStyle name="60% - akcent 4 2 5 3" xfId="5842"/>
    <cellStyle name="60% - akcent 4 2 5 4" xfId="5843"/>
    <cellStyle name="60% - akcent 4 2 5 5" xfId="5844"/>
    <cellStyle name="60% - akcent 4 2 5 6" xfId="5845"/>
    <cellStyle name="60% - akcent 4 2 50" xfId="5846"/>
    <cellStyle name="60% - akcent 4 2 51" xfId="5847"/>
    <cellStyle name="60% - akcent 4 2 52" xfId="5848"/>
    <cellStyle name="60% - akcent 4 2 6" xfId="5849"/>
    <cellStyle name="60% - akcent 4 2 6 2" xfId="5850"/>
    <cellStyle name="60% - akcent 4 2 6 3" xfId="5851"/>
    <cellStyle name="60% - akcent 4 2 6 4" xfId="5852"/>
    <cellStyle name="60% - akcent 4 2 6 5" xfId="5853"/>
    <cellStyle name="60% - akcent 4 2 6 6" xfId="5854"/>
    <cellStyle name="60% - akcent 4 2 7" xfId="5855"/>
    <cellStyle name="60% - akcent 4 2 7 2" xfId="5856"/>
    <cellStyle name="60% - akcent 4 2 7 3" xfId="5857"/>
    <cellStyle name="60% - akcent 4 2 7 4" xfId="5858"/>
    <cellStyle name="60% - akcent 4 2 7 5" xfId="5859"/>
    <cellStyle name="60% - akcent 4 2 7 6" xfId="5860"/>
    <cellStyle name="60% - akcent 4 2 8" xfId="5861"/>
    <cellStyle name="60% - akcent 4 2 8 2" xfId="5862"/>
    <cellStyle name="60% - akcent 4 2 8 3" xfId="5863"/>
    <cellStyle name="60% - akcent 4 2 8 4" xfId="5864"/>
    <cellStyle name="60% - akcent 4 2 8 5" xfId="5865"/>
    <cellStyle name="60% - akcent 4 2 8 6" xfId="5866"/>
    <cellStyle name="60% - akcent 4 2 9" xfId="5867"/>
    <cellStyle name="60% - akcent 4 2 9 2" xfId="5868"/>
    <cellStyle name="60% - akcent 4 2 9 3" xfId="5869"/>
    <cellStyle name="60% - akcent 4 2 9 4" xfId="5870"/>
    <cellStyle name="60% - akcent 4 2 9 5" xfId="5871"/>
    <cellStyle name="60% - akcent 4 2 9 6" xfId="5872"/>
    <cellStyle name="60% - akcent 4 3" xfId="5873"/>
    <cellStyle name="60% - akcent 4 3 2" xfId="5874"/>
    <cellStyle name="60% - akcent 4 3 2 2" xfId="5875"/>
    <cellStyle name="60% - akcent 4 3 3" xfId="5876"/>
    <cellStyle name="60% - akcent 4 3 4" xfId="5877"/>
    <cellStyle name="60% - akcent 4 3 5" xfId="5878"/>
    <cellStyle name="60% - akcent 4 3 6" xfId="5879"/>
    <cellStyle name="60% - akcent 4 3 7" xfId="5880"/>
    <cellStyle name="60% - akcent 4 3 8" xfId="5881"/>
    <cellStyle name="60% - akcent 4 4" xfId="5882"/>
    <cellStyle name="60% - akcent 4 4 2" xfId="5883"/>
    <cellStyle name="60% - akcent 4 4 3" xfId="5884"/>
    <cellStyle name="60% - akcent 4 4 4" xfId="5885"/>
    <cellStyle name="60% - akcent 4 4 5" xfId="5886"/>
    <cellStyle name="60% - akcent 4 4 6" xfId="5887"/>
    <cellStyle name="60% - akcent 4 4 7" xfId="5888"/>
    <cellStyle name="60% - akcent 4 4 8" xfId="5889"/>
    <cellStyle name="60% - akcent 4 5" xfId="5890"/>
    <cellStyle name="60% - akcent 4 5 2" xfId="5891"/>
    <cellStyle name="60% - akcent 4 6" xfId="5892"/>
    <cellStyle name="60% - akcent 4 7" xfId="5893"/>
    <cellStyle name="60% - akcent 5 2" xfId="5894"/>
    <cellStyle name="60% - akcent 5 2 10" xfId="5895"/>
    <cellStyle name="60% - akcent 5 2 10 2" xfId="5896"/>
    <cellStyle name="60% - akcent 5 2 10 3" xfId="5897"/>
    <cellStyle name="60% - akcent 5 2 10 4" xfId="5898"/>
    <cellStyle name="60% - akcent 5 2 10 5" xfId="5899"/>
    <cellStyle name="60% - akcent 5 2 10 6" xfId="5900"/>
    <cellStyle name="60% - akcent 5 2 11" xfId="5901"/>
    <cellStyle name="60% - akcent 5 2 11 2" xfId="5902"/>
    <cellStyle name="60% - akcent 5 2 11 3" xfId="5903"/>
    <cellStyle name="60% - akcent 5 2 11 4" xfId="5904"/>
    <cellStyle name="60% - akcent 5 2 11 5" xfId="5905"/>
    <cellStyle name="60% - akcent 5 2 11 6" xfId="5906"/>
    <cellStyle name="60% - akcent 5 2 12" xfId="5907"/>
    <cellStyle name="60% - akcent 5 2 12 2" xfId="5908"/>
    <cellStyle name="60% - akcent 5 2 12 3" xfId="5909"/>
    <cellStyle name="60% - akcent 5 2 12 4" xfId="5910"/>
    <cellStyle name="60% - akcent 5 2 12 5" xfId="5911"/>
    <cellStyle name="60% - akcent 5 2 12 6" xfId="5912"/>
    <cellStyle name="60% - akcent 5 2 13" xfId="5913"/>
    <cellStyle name="60% - akcent 5 2 13 2" xfId="5914"/>
    <cellStyle name="60% - akcent 5 2 13 3" xfId="5915"/>
    <cellStyle name="60% - akcent 5 2 13 4" xfId="5916"/>
    <cellStyle name="60% - akcent 5 2 13 5" xfId="5917"/>
    <cellStyle name="60% - akcent 5 2 13 6" xfId="5918"/>
    <cellStyle name="60% - akcent 5 2 14" xfId="5919"/>
    <cellStyle name="60% - akcent 5 2 14 2" xfId="5920"/>
    <cellStyle name="60% - akcent 5 2 14 3" xfId="5921"/>
    <cellStyle name="60% - akcent 5 2 14 4" xfId="5922"/>
    <cellStyle name="60% - akcent 5 2 14 5" xfId="5923"/>
    <cellStyle name="60% - akcent 5 2 14 6" xfId="5924"/>
    <cellStyle name="60% - akcent 5 2 15" xfId="5925"/>
    <cellStyle name="60% - akcent 5 2 15 2" xfId="5926"/>
    <cellStyle name="60% - akcent 5 2 15 3" xfId="5927"/>
    <cellStyle name="60% - akcent 5 2 15 4" xfId="5928"/>
    <cellStyle name="60% - akcent 5 2 15 5" xfId="5929"/>
    <cellStyle name="60% - akcent 5 2 15 6" xfId="5930"/>
    <cellStyle name="60% - akcent 5 2 16" xfId="5931"/>
    <cellStyle name="60% - akcent 5 2 16 2" xfId="5932"/>
    <cellStyle name="60% - akcent 5 2 16 3" xfId="5933"/>
    <cellStyle name="60% - akcent 5 2 16 4" xfId="5934"/>
    <cellStyle name="60% - akcent 5 2 16 5" xfId="5935"/>
    <cellStyle name="60% - akcent 5 2 16 6" xfId="5936"/>
    <cellStyle name="60% - akcent 5 2 17" xfId="5937"/>
    <cellStyle name="60% - akcent 5 2 17 2" xfId="5938"/>
    <cellStyle name="60% - akcent 5 2 17 3" xfId="5939"/>
    <cellStyle name="60% - akcent 5 2 17 4" xfId="5940"/>
    <cellStyle name="60% - akcent 5 2 17 5" xfId="5941"/>
    <cellStyle name="60% - akcent 5 2 17 6" xfId="5942"/>
    <cellStyle name="60% - akcent 5 2 18" xfId="5943"/>
    <cellStyle name="60% - akcent 5 2 18 2" xfId="5944"/>
    <cellStyle name="60% - akcent 5 2 18 3" xfId="5945"/>
    <cellStyle name="60% - akcent 5 2 18 4" xfId="5946"/>
    <cellStyle name="60% - akcent 5 2 18 5" xfId="5947"/>
    <cellStyle name="60% - akcent 5 2 18 6" xfId="5948"/>
    <cellStyle name="60% - akcent 5 2 19" xfId="5949"/>
    <cellStyle name="60% - akcent 5 2 19 2" xfId="5950"/>
    <cellStyle name="60% - akcent 5 2 19 3" xfId="5951"/>
    <cellStyle name="60% - akcent 5 2 19 4" xfId="5952"/>
    <cellStyle name="60% - akcent 5 2 19 5" xfId="5953"/>
    <cellStyle name="60% - akcent 5 2 19 6" xfId="5954"/>
    <cellStyle name="60% - akcent 5 2 2" xfId="5955"/>
    <cellStyle name="60% - akcent 5 2 2 2" xfId="5956"/>
    <cellStyle name="60% - akcent 5 2 2 3" xfId="5957"/>
    <cellStyle name="60% - akcent 5 2 2 4" xfId="5958"/>
    <cellStyle name="60% - akcent 5 2 2 5" xfId="5959"/>
    <cellStyle name="60% - akcent 5 2 2 6" xfId="5960"/>
    <cellStyle name="60% - akcent 5 2 2 7" xfId="5961"/>
    <cellStyle name="60% - akcent 5 2 20" xfId="5962"/>
    <cellStyle name="60% - akcent 5 2 20 2" xfId="5963"/>
    <cellStyle name="60% - akcent 5 2 20 3" xfId="5964"/>
    <cellStyle name="60% - akcent 5 2 20 4" xfId="5965"/>
    <cellStyle name="60% - akcent 5 2 20 5" xfId="5966"/>
    <cellStyle name="60% - akcent 5 2 20 6" xfId="5967"/>
    <cellStyle name="60% - akcent 5 2 21" xfId="5968"/>
    <cellStyle name="60% - akcent 5 2 21 2" xfId="5969"/>
    <cellStyle name="60% - akcent 5 2 21 3" xfId="5970"/>
    <cellStyle name="60% - akcent 5 2 21 4" xfId="5971"/>
    <cellStyle name="60% - akcent 5 2 21 5" xfId="5972"/>
    <cellStyle name="60% - akcent 5 2 21 6" xfId="5973"/>
    <cellStyle name="60% - akcent 5 2 22" xfId="5974"/>
    <cellStyle name="60% - akcent 5 2 22 2" xfId="5975"/>
    <cellStyle name="60% - akcent 5 2 22 3" xfId="5976"/>
    <cellStyle name="60% - akcent 5 2 22 4" xfId="5977"/>
    <cellStyle name="60% - akcent 5 2 22 5" xfId="5978"/>
    <cellStyle name="60% - akcent 5 2 22 6" xfId="5979"/>
    <cellStyle name="60% - akcent 5 2 23" xfId="5980"/>
    <cellStyle name="60% - akcent 5 2 23 2" xfId="5981"/>
    <cellStyle name="60% - akcent 5 2 23 3" xfId="5982"/>
    <cellStyle name="60% - akcent 5 2 23 4" xfId="5983"/>
    <cellStyle name="60% - akcent 5 2 23 5" xfId="5984"/>
    <cellStyle name="60% - akcent 5 2 23 6" xfId="5985"/>
    <cellStyle name="60% - akcent 5 2 24" xfId="5986"/>
    <cellStyle name="60% - akcent 5 2 24 2" xfId="5987"/>
    <cellStyle name="60% - akcent 5 2 24 3" xfId="5988"/>
    <cellStyle name="60% - akcent 5 2 24 4" xfId="5989"/>
    <cellStyle name="60% - akcent 5 2 24 5" xfId="5990"/>
    <cellStyle name="60% - akcent 5 2 24 6" xfId="5991"/>
    <cellStyle name="60% - akcent 5 2 25" xfId="5992"/>
    <cellStyle name="60% - akcent 5 2 25 2" xfId="5993"/>
    <cellStyle name="60% - akcent 5 2 25 3" xfId="5994"/>
    <cellStyle name="60% - akcent 5 2 25 4" xfId="5995"/>
    <cellStyle name="60% - akcent 5 2 25 5" xfId="5996"/>
    <cellStyle name="60% - akcent 5 2 25 6" xfId="5997"/>
    <cellStyle name="60% - akcent 5 2 26" xfId="5998"/>
    <cellStyle name="60% - akcent 5 2 26 2" xfId="5999"/>
    <cellStyle name="60% - akcent 5 2 26 3" xfId="6000"/>
    <cellStyle name="60% - akcent 5 2 26 4" xfId="6001"/>
    <cellStyle name="60% - akcent 5 2 26 5" xfId="6002"/>
    <cellStyle name="60% - akcent 5 2 26 6" xfId="6003"/>
    <cellStyle name="60% - akcent 5 2 27" xfId="6004"/>
    <cellStyle name="60% - akcent 5 2 27 2" xfId="6005"/>
    <cellStyle name="60% - akcent 5 2 27 3" xfId="6006"/>
    <cellStyle name="60% - akcent 5 2 27 4" xfId="6007"/>
    <cellStyle name="60% - akcent 5 2 27 5" xfId="6008"/>
    <cellStyle name="60% - akcent 5 2 27 6" xfId="6009"/>
    <cellStyle name="60% - akcent 5 2 28" xfId="6010"/>
    <cellStyle name="60% - akcent 5 2 28 2" xfId="6011"/>
    <cellStyle name="60% - akcent 5 2 28 3" xfId="6012"/>
    <cellStyle name="60% - akcent 5 2 28 4" xfId="6013"/>
    <cellStyle name="60% - akcent 5 2 28 5" xfId="6014"/>
    <cellStyle name="60% - akcent 5 2 28 6" xfId="6015"/>
    <cellStyle name="60% - akcent 5 2 29" xfId="6016"/>
    <cellStyle name="60% - akcent 5 2 29 2" xfId="6017"/>
    <cellStyle name="60% - akcent 5 2 3" xfId="6018"/>
    <cellStyle name="60% - akcent 5 2 3 2" xfId="6019"/>
    <cellStyle name="60% - akcent 5 2 3 3" xfId="6020"/>
    <cellStyle name="60% - akcent 5 2 3 4" xfId="6021"/>
    <cellStyle name="60% - akcent 5 2 3 5" xfId="6022"/>
    <cellStyle name="60% - akcent 5 2 3 6" xfId="6023"/>
    <cellStyle name="60% - akcent 5 2 30" xfId="6024"/>
    <cellStyle name="60% - akcent 5 2 30 2" xfId="6025"/>
    <cellStyle name="60% - akcent 5 2 31" xfId="6026"/>
    <cellStyle name="60% - akcent 5 2 31 2" xfId="6027"/>
    <cellStyle name="60% - akcent 5 2 32" xfId="6028"/>
    <cellStyle name="60% - akcent 5 2 32 2" xfId="6029"/>
    <cellStyle name="60% - akcent 5 2 33" xfId="6030"/>
    <cellStyle name="60% - akcent 5 2 34" xfId="6031"/>
    <cellStyle name="60% - akcent 5 2 35" xfId="6032"/>
    <cellStyle name="60% - akcent 5 2 36" xfId="6033"/>
    <cellStyle name="60% - akcent 5 2 37" xfId="6034"/>
    <cellStyle name="60% - akcent 5 2 38" xfId="6035"/>
    <cellStyle name="60% - akcent 5 2 39" xfId="6036"/>
    <cellStyle name="60% - akcent 5 2 4" xfId="6037"/>
    <cellStyle name="60% - akcent 5 2 4 2" xfId="6038"/>
    <cellStyle name="60% - akcent 5 2 4 3" xfId="6039"/>
    <cellStyle name="60% - akcent 5 2 4 4" xfId="6040"/>
    <cellStyle name="60% - akcent 5 2 4 5" xfId="6041"/>
    <cellStyle name="60% - akcent 5 2 4 6" xfId="6042"/>
    <cellStyle name="60% - akcent 5 2 40" xfId="6043"/>
    <cellStyle name="60% - akcent 5 2 41" xfId="6044"/>
    <cellStyle name="60% - akcent 5 2 42" xfId="6045"/>
    <cellStyle name="60% - akcent 5 2 43" xfId="6046"/>
    <cellStyle name="60% - akcent 5 2 44" xfId="6047"/>
    <cellStyle name="60% - akcent 5 2 45" xfId="6048"/>
    <cellStyle name="60% - akcent 5 2 46" xfId="6049"/>
    <cellStyle name="60% - akcent 5 2 47" xfId="6050"/>
    <cellStyle name="60% - akcent 5 2 48" xfId="6051"/>
    <cellStyle name="60% - akcent 5 2 49" xfId="6052"/>
    <cellStyle name="60% - akcent 5 2 5" xfId="6053"/>
    <cellStyle name="60% - akcent 5 2 5 2" xfId="6054"/>
    <cellStyle name="60% - akcent 5 2 5 3" xfId="6055"/>
    <cellStyle name="60% - akcent 5 2 5 4" xfId="6056"/>
    <cellStyle name="60% - akcent 5 2 5 5" xfId="6057"/>
    <cellStyle name="60% - akcent 5 2 5 6" xfId="6058"/>
    <cellStyle name="60% - akcent 5 2 50" xfId="6059"/>
    <cellStyle name="60% - akcent 5 2 51" xfId="6060"/>
    <cellStyle name="60% - akcent 5 2 52" xfId="6061"/>
    <cellStyle name="60% - akcent 5 2 6" xfId="6062"/>
    <cellStyle name="60% - akcent 5 2 6 2" xfId="6063"/>
    <cellStyle name="60% - akcent 5 2 6 3" xfId="6064"/>
    <cellStyle name="60% - akcent 5 2 6 4" xfId="6065"/>
    <cellStyle name="60% - akcent 5 2 6 5" xfId="6066"/>
    <cellStyle name="60% - akcent 5 2 6 6" xfId="6067"/>
    <cellStyle name="60% - akcent 5 2 7" xfId="6068"/>
    <cellStyle name="60% - akcent 5 2 7 2" xfId="6069"/>
    <cellStyle name="60% - akcent 5 2 7 3" xfId="6070"/>
    <cellStyle name="60% - akcent 5 2 7 4" xfId="6071"/>
    <cellStyle name="60% - akcent 5 2 7 5" xfId="6072"/>
    <cellStyle name="60% - akcent 5 2 7 6" xfId="6073"/>
    <cellStyle name="60% - akcent 5 2 8" xfId="6074"/>
    <cellStyle name="60% - akcent 5 2 8 2" xfId="6075"/>
    <cellStyle name="60% - akcent 5 2 8 3" xfId="6076"/>
    <cellStyle name="60% - akcent 5 2 8 4" xfId="6077"/>
    <cellStyle name="60% - akcent 5 2 8 5" xfId="6078"/>
    <cellStyle name="60% - akcent 5 2 8 6" xfId="6079"/>
    <cellStyle name="60% - akcent 5 2 9" xfId="6080"/>
    <cellStyle name="60% - akcent 5 2 9 2" xfId="6081"/>
    <cellStyle name="60% - akcent 5 2 9 3" xfId="6082"/>
    <cellStyle name="60% - akcent 5 2 9 4" xfId="6083"/>
    <cellStyle name="60% - akcent 5 2 9 5" xfId="6084"/>
    <cellStyle name="60% - akcent 5 2 9 6" xfId="6085"/>
    <cellStyle name="60% - akcent 5 3" xfId="6086"/>
    <cellStyle name="60% - akcent 5 3 2" xfId="6087"/>
    <cellStyle name="60% - akcent 5 3 2 2" xfId="6088"/>
    <cellStyle name="60% - akcent 5 3 3" xfId="6089"/>
    <cellStyle name="60% - akcent 5 3 4" xfId="6090"/>
    <cellStyle name="60% - akcent 5 3 5" xfId="6091"/>
    <cellStyle name="60% - akcent 5 3 6" xfId="6092"/>
    <cellStyle name="60% - akcent 5 3 7" xfId="6093"/>
    <cellStyle name="60% - akcent 5 3 8" xfId="6094"/>
    <cellStyle name="60% - akcent 5 4" xfId="6095"/>
    <cellStyle name="60% - akcent 5 4 2" xfId="6096"/>
    <cellStyle name="60% - akcent 5 4 3" xfId="6097"/>
    <cellStyle name="60% - akcent 5 4 4" xfId="6098"/>
    <cellStyle name="60% - akcent 5 4 5" xfId="6099"/>
    <cellStyle name="60% - akcent 5 4 6" xfId="6100"/>
    <cellStyle name="60% - akcent 5 4 7" xfId="6101"/>
    <cellStyle name="60% - akcent 5 4 8" xfId="6102"/>
    <cellStyle name="60% - akcent 5 5" xfId="6103"/>
    <cellStyle name="60% - akcent 5 5 2" xfId="6104"/>
    <cellStyle name="60% - akcent 5 6" xfId="6105"/>
    <cellStyle name="60% - akcent 5 7" xfId="6106"/>
    <cellStyle name="60% - akcent 6 2" xfId="6107"/>
    <cellStyle name="60% - akcent 6 2 10" xfId="6108"/>
    <cellStyle name="60% - akcent 6 2 10 2" xfId="6109"/>
    <cellStyle name="60% - akcent 6 2 10 3" xfId="6110"/>
    <cellStyle name="60% - akcent 6 2 10 4" xfId="6111"/>
    <cellStyle name="60% - akcent 6 2 10 5" xfId="6112"/>
    <cellStyle name="60% - akcent 6 2 10 6" xfId="6113"/>
    <cellStyle name="60% - akcent 6 2 11" xfId="6114"/>
    <cellStyle name="60% - akcent 6 2 11 2" xfId="6115"/>
    <cellStyle name="60% - akcent 6 2 11 3" xfId="6116"/>
    <cellStyle name="60% - akcent 6 2 11 4" xfId="6117"/>
    <cellStyle name="60% - akcent 6 2 11 5" xfId="6118"/>
    <cellStyle name="60% - akcent 6 2 11 6" xfId="6119"/>
    <cellStyle name="60% - akcent 6 2 12" xfId="6120"/>
    <cellStyle name="60% - akcent 6 2 12 2" xfId="6121"/>
    <cellStyle name="60% - akcent 6 2 12 3" xfId="6122"/>
    <cellStyle name="60% - akcent 6 2 12 4" xfId="6123"/>
    <cellStyle name="60% - akcent 6 2 12 5" xfId="6124"/>
    <cellStyle name="60% - akcent 6 2 12 6" xfId="6125"/>
    <cellStyle name="60% - akcent 6 2 13" xfId="6126"/>
    <cellStyle name="60% - akcent 6 2 13 2" xfId="6127"/>
    <cellStyle name="60% - akcent 6 2 13 3" xfId="6128"/>
    <cellStyle name="60% - akcent 6 2 13 4" xfId="6129"/>
    <cellStyle name="60% - akcent 6 2 13 5" xfId="6130"/>
    <cellStyle name="60% - akcent 6 2 13 6" xfId="6131"/>
    <cellStyle name="60% - akcent 6 2 14" xfId="6132"/>
    <cellStyle name="60% - akcent 6 2 14 2" xfId="6133"/>
    <cellStyle name="60% - akcent 6 2 14 3" xfId="6134"/>
    <cellStyle name="60% - akcent 6 2 14 4" xfId="6135"/>
    <cellStyle name="60% - akcent 6 2 14 5" xfId="6136"/>
    <cellStyle name="60% - akcent 6 2 14 6" xfId="6137"/>
    <cellStyle name="60% - akcent 6 2 15" xfId="6138"/>
    <cellStyle name="60% - akcent 6 2 15 2" xfId="6139"/>
    <cellStyle name="60% - akcent 6 2 15 3" xfId="6140"/>
    <cellStyle name="60% - akcent 6 2 15 4" xfId="6141"/>
    <cellStyle name="60% - akcent 6 2 15 5" xfId="6142"/>
    <cellStyle name="60% - akcent 6 2 15 6" xfId="6143"/>
    <cellStyle name="60% - akcent 6 2 16" xfId="6144"/>
    <cellStyle name="60% - akcent 6 2 16 2" xfId="6145"/>
    <cellStyle name="60% - akcent 6 2 16 3" xfId="6146"/>
    <cellStyle name="60% - akcent 6 2 16 4" xfId="6147"/>
    <cellStyle name="60% - akcent 6 2 16 5" xfId="6148"/>
    <cellStyle name="60% - akcent 6 2 16 6" xfId="6149"/>
    <cellStyle name="60% - akcent 6 2 17" xfId="6150"/>
    <cellStyle name="60% - akcent 6 2 17 2" xfId="6151"/>
    <cellStyle name="60% - akcent 6 2 17 3" xfId="6152"/>
    <cellStyle name="60% - akcent 6 2 17 4" xfId="6153"/>
    <cellStyle name="60% - akcent 6 2 17 5" xfId="6154"/>
    <cellStyle name="60% - akcent 6 2 17 6" xfId="6155"/>
    <cellStyle name="60% - akcent 6 2 18" xfId="6156"/>
    <cellStyle name="60% - akcent 6 2 18 2" xfId="6157"/>
    <cellStyle name="60% - akcent 6 2 18 3" xfId="6158"/>
    <cellStyle name="60% - akcent 6 2 18 4" xfId="6159"/>
    <cellStyle name="60% - akcent 6 2 18 5" xfId="6160"/>
    <cellStyle name="60% - akcent 6 2 18 6" xfId="6161"/>
    <cellStyle name="60% - akcent 6 2 19" xfId="6162"/>
    <cellStyle name="60% - akcent 6 2 19 2" xfId="6163"/>
    <cellStyle name="60% - akcent 6 2 19 3" xfId="6164"/>
    <cellStyle name="60% - akcent 6 2 19 4" xfId="6165"/>
    <cellStyle name="60% - akcent 6 2 19 5" xfId="6166"/>
    <cellStyle name="60% - akcent 6 2 19 6" xfId="6167"/>
    <cellStyle name="60% - akcent 6 2 2" xfId="6168"/>
    <cellStyle name="60% - akcent 6 2 2 2" xfId="6169"/>
    <cellStyle name="60% - akcent 6 2 2 3" xfId="6170"/>
    <cellStyle name="60% - akcent 6 2 2 4" xfId="6171"/>
    <cellStyle name="60% - akcent 6 2 2 5" xfId="6172"/>
    <cellStyle name="60% - akcent 6 2 2 6" xfId="6173"/>
    <cellStyle name="60% - akcent 6 2 2 7" xfId="6174"/>
    <cellStyle name="60% - akcent 6 2 20" xfId="6175"/>
    <cellStyle name="60% - akcent 6 2 20 2" xfId="6176"/>
    <cellStyle name="60% - akcent 6 2 20 3" xfId="6177"/>
    <cellStyle name="60% - akcent 6 2 20 4" xfId="6178"/>
    <cellStyle name="60% - akcent 6 2 20 5" xfId="6179"/>
    <cellStyle name="60% - akcent 6 2 20 6" xfId="6180"/>
    <cellStyle name="60% - akcent 6 2 21" xfId="6181"/>
    <cellStyle name="60% - akcent 6 2 21 2" xfId="6182"/>
    <cellStyle name="60% - akcent 6 2 21 3" xfId="6183"/>
    <cellStyle name="60% - akcent 6 2 21 4" xfId="6184"/>
    <cellStyle name="60% - akcent 6 2 21 5" xfId="6185"/>
    <cellStyle name="60% - akcent 6 2 21 6" xfId="6186"/>
    <cellStyle name="60% - akcent 6 2 22" xfId="6187"/>
    <cellStyle name="60% - akcent 6 2 22 2" xfId="6188"/>
    <cellStyle name="60% - akcent 6 2 22 3" xfId="6189"/>
    <cellStyle name="60% - akcent 6 2 22 4" xfId="6190"/>
    <cellStyle name="60% - akcent 6 2 22 5" xfId="6191"/>
    <cellStyle name="60% - akcent 6 2 22 6" xfId="6192"/>
    <cellStyle name="60% - akcent 6 2 23" xfId="6193"/>
    <cellStyle name="60% - akcent 6 2 23 2" xfId="6194"/>
    <cellStyle name="60% - akcent 6 2 23 3" xfId="6195"/>
    <cellStyle name="60% - akcent 6 2 23 4" xfId="6196"/>
    <cellStyle name="60% - akcent 6 2 23 5" xfId="6197"/>
    <cellStyle name="60% - akcent 6 2 23 6" xfId="6198"/>
    <cellStyle name="60% - akcent 6 2 24" xfId="6199"/>
    <cellStyle name="60% - akcent 6 2 24 2" xfId="6200"/>
    <cellStyle name="60% - akcent 6 2 24 3" xfId="6201"/>
    <cellStyle name="60% - akcent 6 2 24 4" xfId="6202"/>
    <cellStyle name="60% - akcent 6 2 24 5" xfId="6203"/>
    <cellStyle name="60% - akcent 6 2 24 6" xfId="6204"/>
    <cellStyle name="60% - akcent 6 2 25" xfId="6205"/>
    <cellStyle name="60% - akcent 6 2 25 2" xfId="6206"/>
    <cellStyle name="60% - akcent 6 2 25 3" xfId="6207"/>
    <cellStyle name="60% - akcent 6 2 25 4" xfId="6208"/>
    <cellStyle name="60% - akcent 6 2 25 5" xfId="6209"/>
    <cellStyle name="60% - akcent 6 2 25 6" xfId="6210"/>
    <cellStyle name="60% - akcent 6 2 26" xfId="6211"/>
    <cellStyle name="60% - akcent 6 2 26 2" xfId="6212"/>
    <cellStyle name="60% - akcent 6 2 26 3" xfId="6213"/>
    <cellStyle name="60% - akcent 6 2 26 4" xfId="6214"/>
    <cellStyle name="60% - akcent 6 2 26 5" xfId="6215"/>
    <cellStyle name="60% - akcent 6 2 26 6" xfId="6216"/>
    <cellStyle name="60% - akcent 6 2 27" xfId="6217"/>
    <cellStyle name="60% - akcent 6 2 27 2" xfId="6218"/>
    <cellStyle name="60% - akcent 6 2 27 3" xfId="6219"/>
    <cellStyle name="60% - akcent 6 2 27 4" xfId="6220"/>
    <cellStyle name="60% - akcent 6 2 27 5" xfId="6221"/>
    <cellStyle name="60% - akcent 6 2 27 6" xfId="6222"/>
    <cellStyle name="60% - akcent 6 2 28" xfId="6223"/>
    <cellStyle name="60% - akcent 6 2 28 2" xfId="6224"/>
    <cellStyle name="60% - akcent 6 2 28 3" xfId="6225"/>
    <cellStyle name="60% - akcent 6 2 28 4" xfId="6226"/>
    <cellStyle name="60% - akcent 6 2 28 5" xfId="6227"/>
    <cellStyle name="60% - akcent 6 2 28 6" xfId="6228"/>
    <cellStyle name="60% - akcent 6 2 29" xfId="6229"/>
    <cellStyle name="60% - akcent 6 2 29 2" xfId="6230"/>
    <cellStyle name="60% - akcent 6 2 3" xfId="6231"/>
    <cellStyle name="60% - akcent 6 2 3 2" xfId="6232"/>
    <cellStyle name="60% - akcent 6 2 3 3" xfId="6233"/>
    <cellStyle name="60% - akcent 6 2 3 4" xfId="6234"/>
    <cellStyle name="60% - akcent 6 2 3 5" xfId="6235"/>
    <cellStyle name="60% - akcent 6 2 3 6" xfId="6236"/>
    <cellStyle name="60% - akcent 6 2 30" xfId="6237"/>
    <cellStyle name="60% - akcent 6 2 30 2" xfId="6238"/>
    <cellStyle name="60% - akcent 6 2 31" xfId="6239"/>
    <cellStyle name="60% - akcent 6 2 31 2" xfId="6240"/>
    <cellStyle name="60% - akcent 6 2 32" xfId="6241"/>
    <cellStyle name="60% - akcent 6 2 32 2" xfId="6242"/>
    <cellStyle name="60% - akcent 6 2 33" xfId="6243"/>
    <cellStyle name="60% - akcent 6 2 34" xfId="6244"/>
    <cellStyle name="60% - akcent 6 2 35" xfId="6245"/>
    <cellStyle name="60% - akcent 6 2 36" xfId="6246"/>
    <cellStyle name="60% - akcent 6 2 37" xfId="6247"/>
    <cellStyle name="60% - akcent 6 2 38" xfId="6248"/>
    <cellStyle name="60% - akcent 6 2 39" xfId="6249"/>
    <cellStyle name="60% - akcent 6 2 4" xfId="6250"/>
    <cellStyle name="60% - akcent 6 2 4 2" xfId="6251"/>
    <cellStyle name="60% - akcent 6 2 4 3" xfId="6252"/>
    <cellStyle name="60% - akcent 6 2 4 4" xfId="6253"/>
    <cellStyle name="60% - akcent 6 2 4 5" xfId="6254"/>
    <cellStyle name="60% - akcent 6 2 4 6" xfId="6255"/>
    <cellStyle name="60% - akcent 6 2 40" xfId="6256"/>
    <cellStyle name="60% - akcent 6 2 41" xfId="6257"/>
    <cellStyle name="60% - akcent 6 2 42" xfId="6258"/>
    <cellStyle name="60% - akcent 6 2 43" xfId="6259"/>
    <cellStyle name="60% - akcent 6 2 44" xfId="6260"/>
    <cellStyle name="60% - akcent 6 2 45" xfId="6261"/>
    <cellStyle name="60% - akcent 6 2 46" xfId="6262"/>
    <cellStyle name="60% - akcent 6 2 47" xfId="6263"/>
    <cellStyle name="60% - akcent 6 2 48" xfId="6264"/>
    <cellStyle name="60% - akcent 6 2 49" xfId="6265"/>
    <cellStyle name="60% - akcent 6 2 5" xfId="6266"/>
    <cellStyle name="60% - akcent 6 2 5 2" xfId="6267"/>
    <cellStyle name="60% - akcent 6 2 5 3" xfId="6268"/>
    <cellStyle name="60% - akcent 6 2 5 4" xfId="6269"/>
    <cellStyle name="60% - akcent 6 2 5 5" xfId="6270"/>
    <cellStyle name="60% - akcent 6 2 5 6" xfId="6271"/>
    <cellStyle name="60% - akcent 6 2 50" xfId="6272"/>
    <cellStyle name="60% - akcent 6 2 51" xfId="6273"/>
    <cellStyle name="60% - akcent 6 2 52" xfId="6274"/>
    <cellStyle name="60% - akcent 6 2 6" xfId="6275"/>
    <cellStyle name="60% - akcent 6 2 6 2" xfId="6276"/>
    <cellStyle name="60% - akcent 6 2 6 3" xfId="6277"/>
    <cellStyle name="60% - akcent 6 2 6 4" xfId="6278"/>
    <cellStyle name="60% - akcent 6 2 6 5" xfId="6279"/>
    <cellStyle name="60% - akcent 6 2 6 6" xfId="6280"/>
    <cellStyle name="60% - akcent 6 2 7" xfId="6281"/>
    <cellStyle name="60% - akcent 6 2 7 2" xfId="6282"/>
    <cellStyle name="60% - akcent 6 2 7 3" xfId="6283"/>
    <cellStyle name="60% - akcent 6 2 7 4" xfId="6284"/>
    <cellStyle name="60% - akcent 6 2 7 5" xfId="6285"/>
    <cellStyle name="60% - akcent 6 2 7 6" xfId="6286"/>
    <cellStyle name="60% - akcent 6 2 8" xfId="6287"/>
    <cellStyle name="60% - akcent 6 2 8 2" xfId="6288"/>
    <cellStyle name="60% - akcent 6 2 8 3" xfId="6289"/>
    <cellStyle name="60% - akcent 6 2 8 4" xfId="6290"/>
    <cellStyle name="60% - akcent 6 2 8 5" xfId="6291"/>
    <cellStyle name="60% - akcent 6 2 8 6" xfId="6292"/>
    <cellStyle name="60% - akcent 6 2 9" xfId="6293"/>
    <cellStyle name="60% - akcent 6 2 9 2" xfId="6294"/>
    <cellStyle name="60% - akcent 6 2 9 3" xfId="6295"/>
    <cellStyle name="60% - akcent 6 2 9 4" xfId="6296"/>
    <cellStyle name="60% - akcent 6 2 9 5" xfId="6297"/>
    <cellStyle name="60% - akcent 6 2 9 6" xfId="6298"/>
    <cellStyle name="60% - akcent 6 3" xfId="6299"/>
    <cellStyle name="60% - akcent 6 3 2" xfId="6300"/>
    <cellStyle name="60% - akcent 6 3 2 2" xfId="6301"/>
    <cellStyle name="60% - akcent 6 3 3" xfId="6302"/>
    <cellStyle name="60% - akcent 6 3 4" xfId="6303"/>
    <cellStyle name="60% - akcent 6 3 5" xfId="6304"/>
    <cellStyle name="60% - akcent 6 3 6" xfId="6305"/>
    <cellStyle name="60% - akcent 6 3 7" xfId="6306"/>
    <cellStyle name="60% - akcent 6 3 8" xfId="6307"/>
    <cellStyle name="60% - akcent 6 4" xfId="6308"/>
    <cellStyle name="60% - akcent 6 4 2" xfId="6309"/>
    <cellStyle name="60% - akcent 6 4 3" xfId="6310"/>
    <cellStyle name="60% - akcent 6 4 4" xfId="6311"/>
    <cellStyle name="60% - akcent 6 4 5" xfId="6312"/>
    <cellStyle name="60% - akcent 6 4 6" xfId="6313"/>
    <cellStyle name="60% - akcent 6 4 7" xfId="6314"/>
    <cellStyle name="60% - akcent 6 4 8" xfId="6315"/>
    <cellStyle name="60% - akcent 6 5" xfId="6316"/>
    <cellStyle name="60% - akcent 6 5 2" xfId="6317"/>
    <cellStyle name="60% - akcent 6 6" xfId="6318"/>
    <cellStyle name="60% - akcent 6 7" xfId="6319"/>
    <cellStyle name="aaa" xfId="6320"/>
    <cellStyle name="Afrundet valuta_Slideshow" xfId="6321"/>
    <cellStyle name="Akcent 1 2" xfId="6322"/>
    <cellStyle name="Akcent 1 2 10" xfId="6323"/>
    <cellStyle name="Akcent 1 2 10 2" xfId="6324"/>
    <cellStyle name="Akcent 1 2 10 3" xfId="6325"/>
    <cellStyle name="Akcent 1 2 10 4" xfId="6326"/>
    <cellStyle name="Akcent 1 2 10 5" xfId="6327"/>
    <cellStyle name="Akcent 1 2 10 6" xfId="6328"/>
    <cellStyle name="Akcent 1 2 11" xfId="6329"/>
    <cellStyle name="Akcent 1 2 11 2" xfId="6330"/>
    <cellStyle name="Akcent 1 2 11 3" xfId="6331"/>
    <cellStyle name="Akcent 1 2 11 4" xfId="6332"/>
    <cellStyle name="Akcent 1 2 11 5" xfId="6333"/>
    <cellStyle name="Akcent 1 2 11 6" xfId="6334"/>
    <cellStyle name="Akcent 1 2 12" xfId="6335"/>
    <cellStyle name="Akcent 1 2 12 2" xfId="6336"/>
    <cellStyle name="Akcent 1 2 12 3" xfId="6337"/>
    <cellStyle name="Akcent 1 2 12 4" xfId="6338"/>
    <cellStyle name="Akcent 1 2 12 5" xfId="6339"/>
    <cellStyle name="Akcent 1 2 12 6" xfId="6340"/>
    <cellStyle name="Akcent 1 2 13" xfId="6341"/>
    <cellStyle name="Akcent 1 2 13 2" xfId="6342"/>
    <cellStyle name="Akcent 1 2 13 3" xfId="6343"/>
    <cellStyle name="Akcent 1 2 13 4" xfId="6344"/>
    <cellStyle name="Akcent 1 2 13 5" xfId="6345"/>
    <cellStyle name="Akcent 1 2 13 6" xfId="6346"/>
    <cellStyle name="Akcent 1 2 14" xfId="6347"/>
    <cellStyle name="Akcent 1 2 14 2" xfId="6348"/>
    <cellStyle name="Akcent 1 2 14 3" xfId="6349"/>
    <cellStyle name="Akcent 1 2 14 4" xfId="6350"/>
    <cellStyle name="Akcent 1 2 14 5" xfId="6351"/>
    <cellStyle name="Akcent 1 2 14 6" xfId="6352"/>
    <cellStyle name="Akcent 1 2 15" xfId="6353"/>
    <cellStyle name="Akcent 1 2 15 2" xfId="6354"/>
    <cellStyle name="Akcent 1 2 15 3" xfId="6355"/>
    <cellStyle name="Akcent 1 2 15 4" xfId="6356"/>
    <cellStyle name="Akcent 1 2 15 5" xfId="6357"/>
    <cellStyle name="Akcent 1 2 15 6" xfId="6358"/>
    <cellStyle name="Akcent 1 2 16" xfId="6359"/>
    <cellStyle name="Akcent 1 2 16 2" xfId="6360"/>
    <cellStyle name="Akcent 1 2 16 3" xfId="6361"/>
    <cellStyle name="Akcent 1 2 16 4" xfId="6362"/>
    <cellStyle name="Akcent 1 2 16 5" xfId="6363"/>
    <cellStyle name="Akcent 1 2 16 6" xfId="6364"/>
    <cellStyle name="Akcent 1 2 17" xfId="6365"/>
    <cellStyle name="Akcent 1 2 17 2" xfId="6366"/>
    <cellStyle name="Akcent 1 2 17 3" xfId="6367"/>
    <cellStyle name="Akcent 1 2 17 4" xfId="6368"/>
    <cellStyle name="Akcent 1 2 17 5" xfId="6369"/>
    <cellStyle name="Akcent 1 2 17 6" xfId="6370"/>
    <cellStyle name="Akcent 1 2 18" xfId="6371"/>
    <cellStyle name="Akcent 1 2 18 2" xfId="6372"/>
    <cellStyle name="Akcent 1 2 18 3" xfId="6373"/>
    <cellStyle name="Akcent 1 2 18 4" xfId="6374"/>
    <cellStyle name="Akcent 1 2 18 5" xfId="6375"/>
    <cellStyle name="Akcent 1 2 18 6" xfId="6376"/>
    <cellStyle name="Akcent 1 2 19" xfId="6377"/>
    <cellStyle name="Akcent 1 2 19 2" xfId="6378"/>
    <cellStyle name="Akcent 1 2 19 3" xfId="6379"/>
    <cellStyle name="Akcent 1 2 19 4" xfId="6380"/>
    <cellStyle name="Akcent 1 2 19 5" xfId="6381"/>
    <cellStyle name="Akcent 1 2 19 6" xfId="6382"/>
    <cellStyle name="Akcent 1 2 2" xfId="6383"/>
    <cellStyle name="Akcent 1 2 2 2" xfId="6384"/>
    <cellStyle name="Akcent 1 2 2 3" xfId="6385"/>
    <cellStyle name="Akcent 1 2 2 4" xfId="6386"/>
    <cellStyle name="Akcent 1 2 2 5" xfId="6387"/>
    <cellStyle name="Akcent 1 2 2 6" xfId="6388"/>
    <cellStyle name="Akcent 1 2 2 7" xfId="6389"/>
    <cellStyle name="Akcent 1 2 20" xfId="6390"/>
    <cellStyle name="Akcent 1 2 20 2" xfId="6391"/>
    <cellStyle name="Akcent 1 2 20 3" xfId="6392"/>
    <cellStyle name="Akcent 1 2 20 4" xfId="6393"/>
    <cellStyle name="Akcent 1 2 20 5" xfId="6394"/>
    <cellStyle name="Akcent 1 2 20 6" xfId="6395"/>
    <cellStyle name="Akcent 1 2 21" xfId="6396"/>
    <cellStyle name="Akcent 1 2 21 2" xfId="6397"/>
    <cellStyle name="Akcent 1 2 21 3" xfId="6398"/>
    <cellStyle name="Akcent 1 2 21 4" xfId="6399"/>
    <cellStyle name="Akcent 1 2 21 5" xfId="6400"/>
    <cellStyle name="Akcent 1 2 21 6" xfId="6401"/>
    <cellStyle name="Akcent 1 2 22" xfId="6402"/>
    <cellStyle name="Akcent 1 2 22 2" xfId="6403"/>
    <cellStyle name="Akcent 1 2 22 3" xfId="6404"/>
    <cellStyle name="Akcent 1 2 22 4" xfId="6405"/>
    <cellStyle name="Akcent 1 2 22 5" xfId="6406"/>
    <cellStyle name="Akcent 1 2 22 6" xfId="6407"/>
    <cellStyle name="Akcent 1 2 23" xfId="6408"/>
    <cellStyle name="Akcent 1 2 23 2" xfId="6409"/>
    <cellStyle name="Akcent 1 2 23 3" xfId="6410"/>
    <cellStyle name="Akcent 1 2 23 4" xfId="6411"/>
    <cellStyle name="Akcent 1 2 23 5" xfId="6412"/>
    <cellStyle name="Akcent 1 2 23 6" xfId="6413"/>
    <cellStyle name="Akcent 1 2 24" xfId="6414"/>
    <cellStyle name="Akcent 1 2 24 2" xfId="6415"/>
    <cellStyle name="Akcent 1 2 24 3" xfId="6416"/>
    <cellStyle name="Akcent 1 2 24 4" xfId="6417"/>
    <cellStyle name="Akcent 1 2 24 5" xfId="6418"/>
    <cellStyle name="Akcent 1 2 24 6" xfId="6419"/>
    <cellStyle name="Akcent 1 2 25" xfId="6420"/>
    <cellStyle name="Akcent 1 2 25 2" xfId="6421"/>
    <cellStyle name="Akcent 1 2 25 3" xfId="6422"/>
    <cellStyle name="Akcent 1 2 25 4" xfId="6423"/>
    <cellStyle name="Akcent 1 2 25 5" xfId="6424"/>
    <cellStyle name="Akcent 1 2 25 6" xfId="6425"/>
    <cellStyle name="Akcent 1 2 26" xfId="6426"/>
    <cellStyle name="Akcent 1 2 26 2" xfId="6427"/>
    <cellStyle name="Akcent 1 2 26 3" xfId="6428"/>
    <cellStyle name="Akcent 1 2 26 4" xfId="6429"/>
    <cellStyle name="Akcent 1 2 26 5" xfId="6430"/>
    <cellStyle name="Akcent 1 2 26 6" xfId="6431"/>
    <cellStyle name="Akcent 1 2 27" xfId="6432"/>
    <cellStyle name="Akcent 1 2 27 2" xfId="6433"/>
    <cellStyle name="Akcent 1 2 27 3" xfId="6434"/>
    <cellStyle name="Akcent 1 2 27 4" xfId="6435"/>
    <cellStyle name="Akcent 1 2 27 5" xfId="6436"/>
    <cellStyle name="Akcent 1 2 27 6" xfId="6437"/>
    <cellStyle name="Akcent 1 2 28" xfId="6438"/>
    <cellStyle name="Akcent 1 2 28 2" xfId="6439"/>
    <cellStyle name="Akcent 1 2 28 3" xfId="6440"/>
    <cellStyle name="Akcent 1 2 28 4" xfId="6441"/>
    <cellStyle name="Akcent 1 2 28 5" xfId="6442"/>
    <cellStyle name="Akcent 1 2 28 6" xfId="6443"/>
    <cellStyle name="Akcent 1 2 29" xfId="6444"/>
    <cellStyle name="Akcent 1 2 29 2" xfId="6445"/>
    <cellStyle name="Akcent 1 2 3" xfId="6446"/>
    <cellStyle name="Akcent 1 2 3 2" xfId="6447"/>
    <cellStyle name="Akcent 1 2 3 3" xfId="6448"/>
    <cellStyle name="Akcent 1 2 3 4" xfId="6449"/>
    <cellStyle name="Akcent 1 2 3 5" xfId="6450"/>
    <cellStyle name="Akcent 1 2 3 6" xfId="6451"/>
    <cellStyle name="Akcent 1 2 30" xfId="6452"/>
    <cellStyle name="Akcent 1 2 30 2" xfId="6453"/>
    <cellStyle name="Akcent 1 2 31" xfId="6454"/>
    <cellStyle name="Akcent 1 2 31 2" xfId="6455"/>
    <cellStyle name="Akcent 1 2 32" xfId="6456"/>
    <cellStyle name="Akcent 1 2 32 2" xfId="6457"/>
    <cellStyle name="Akcent 1 2 33" xfId="6458"/>
    <cellStyle name="Akcent 1 2 34" xfId="6459"/>
    <cellStyle name="Akcent 1 2 35" xfId="6460"/>
    <cellStyle name="Akcent 1 2 36" xfId="6461"/>
    <cellStyle name="Akcent 1 2 37" xfId="6462"/>
    <cellStyle name="Akcent 1 2 38" xfId="6463"/>
    <cellStyle name="Akcent 1 2 39" xfId="6464"/>
    <cellStyle name="Akcent 1 2 4" xfId="6465"/>
    <cellStyle name="Akcent 1 2 4 2" xfId="6466"/>
    <cellStyle name="Akcent 1 2 4 3" xfId="6467"/>
    <cellStyle name="Akcent 1 2 4 4" xfId="6468"/>
    <cellStyle name="Akcent 1 2 4 5" xfId="6469"/>
    <cellStyle name="Akcent 1 2 4 6" xfId="6470"/>
    <cellStyle name="Akcent 1 2 40" xfId="6471"/>
    <cellStyle name="Akcent 1 2 41" xfId="6472"/>
    <cellStyle name="Akcent 1 2 42" xfId="6473"/>
    <cellStyle name="Akcent 1 2 43" xfId="6474"/>
    <cellStyle name="Akcent 1 2 44" xfId="6475"/>
    <cellStyle name="Akcent 1 2 45" xfId="6476"/>
    <cellStyle name="Akcent 1 2 46" xfId="6477"/>
    <cellStyle name="Akcent 1 2 47" xfId="6478"/>
    <cellStyle name="Akcent 1 2 48" xfId="6479"/>
    <cellStyle name="Akcent 1 2 49" xfId="6480"/>
    <cellStyle name="Akcent 1 2 5" xfId="6481"/>
    <cellStyle name="Akcent 1 2 5 2" xfId="6482"/>
    <cellStyle name="Akcent 1 2 5 3" xfId="6483"/>
    <cellStyle name="Akcent 1 2 5 4" xfId="6484"/>
    <cellStyle name="Akcent 1 2 5 5" xfId="6485"/>
    <cellStyle name="Akcent 1 2 5 6" xfId="6486"/>
    <cellStyle name="Akcent 1 2 50" xfId="6487"/>
    <cellStyle name="Akcent 1 2 51" xfId="6488"/>
    <cellStyle name="Akcent 1 2 52" xfId="6489"/>
    <cellStyle name="Akcent 1 2 6" xfId="6490"/>
    <cellStyle name="Akcent 1 2 6 2" xfId="6491"/>
    <cellStyle name="Akcent 1 2 6 3" xfId="6492"/>
    <cellStyle name="Akcent 1 2 6 4" xfId="6493"/>
    <cellStyle name="Akcent 1 2 6 5" xfId="6494"/>
    <cellStyle name="Akcent 1 2 6 6" xfId="6495"/>
    <cellStyle name="Akcent 1 2 7" xfId="6496"/>
    <cellStyle name="Akcent 1 2 7 2" xfId="6497"/>
    <cellStyle name="Akcent 1 2 7 3" xfId="6498"/>
    <cellStyle name="Akcent 1 2 7 4" xfId="6499"/>
    <cellStyle name="Akcent 1 2 7 5" xfId="6500"/>
    <cellStyle name="Akcent 1 2 7 6" xfId="6501"/>
    <cellStyle name="Akcent 1 2 8" xfId="6502"/>
    <cellStyle name="Akcent 1 2 8 2" xfId="6503"/>
    <cellStyle name="Akcent 1 2 8 3" xfId="6504"/>
    <cellStyle name="Akcent 1 2 8 4" xfId="6505"/>
    <cellStyle name="Akcent 1 2 8 5" xfId="6506"/>
    <cellStyle name="Akcent 1 2 8 6" xfId="6507"/>
    <cellStyle name="Akcent 1 2 9" xfId="6508"/>
    <cellStyle name="Akcent 1 2 9 2" xfId="6509"/>
    <cellStyle name="Akcent 1 2 9 3" xfId="6510"/>
    <cellStyle name="Akcent 1 2 9 4" xfId="6511"/>
    <cellStyle name="Akcent 1 2 9 5" xfId="6512"/>
    <cellStyle name="Akcent 1 2 9 6" xfId="6513"/>
    <cellStyle name="Akcent 1 3" xfId="6514"/>
    <cellStyle name="Akcent 1 3 2" xfId="6515"/>
    <cellStyle name="Akcent 1 3 2 2" xfId="6516"/>
    <cellStyle name="Akcent 1 3 3" xfId="6517"/>
    <cellStyle name="Akcent 1 3 4" xfId="6518"/>
    <cellStyle name="Akcent 1 3 5" xfId="6519"/>
    <cellStyle name="Akcent 1 3 6" xfId="6520"/>
    <cellStyle name="Akcent 1 3 7" xfId="6521"/>
    <cellStyle name="Akcent 1 3 8" xfId="6522"/>
    <cellStyle name="Akcent 1 4" xfId="6523"/>
    <cellStyle name="Akcent 1 4 2" xfId="6524"/>
    <cellStyle name="Akcent 1 4 3" xfId="6525"/>
    <cellStyle name="Akcent 1 4 4" xfId="6526"/>
    <cellStyle name="Akcent 1 4 5" xfId="6527"/>
    <cellStyle name="Akcent 1 4 6" xfId="6528"/>
    <cellStyle name="Akcent 1 4 7" xfId="6529"/>
    <cellStyle name="Akcent 1 4 8" xfId="6530"/>
    <cellStyle name="Akcent 1 5" xfId="6531"/>
    <cellStyle name="Akcent 1 5 2" xfId="6532"/>
    <cellStyle name="Akcent 1 6" xfId="6533"/>
    <cellStyle name="Akcent 1 7" xfId="6534"/>
    <cellStyle name="Akcent 2 2" xfId="6535"/>
    <cellStyle name="Akcent 2 2 10" xfId="6536"/>
    <cellStyle name="Akcent 2 2 10 2" xfId="6537"/>
    <cellStyle name="Akcent 2 2 10 3" xfId="6538"/>
    <cellStyle name="Akcent 2 2 10 4" xfId="6539"/>
    <cellStyle name="Akcent 2 2 10 5" xfId="6540"/>
    <cellStyle name="Akcent 2 2 10 6" xfId="6541"/>
    <cellStyle name="Akcent 2 2 11" xfId="6542"/>
    <cellStyle name="Akcent 2 2 11 2" xfId="6543"/>
    <cellStyle name="Akcent 2 2 11 3" xfId="6544"/>
    <cellStyle name="Akcent 2 2 11 4" xfId="6545"/>
    <cellStyle name="Akcent 2 2 11 5" xfId="6546"/>
    <cellStyle name="Akcent 2 2 11 6" xfId="6547"/>
    <cellStyle name="Akcent 2 2 12" xfId="6548"/>
    <cellStyle name="Akcent 2 2 12 2" xfId="6549"/>
    <cellStyle name="Akcent 2 2 12 3" xfId="6550"/>
    <cellStyle name="Akcent 2 2 12 4" xfId="6551"/>
    <cellStyle name="Akcent 2 2 12 5" xfId="6552"/>
    <cellStyle name="Akcent 2 2 12 6" xfId="6553"/>
    <cellStyle name="Akcent 2 2 13" xfId="6554"/>
    <cellStyle name="Akcent 2 2 13 2" xfId="6555"/>
    <cellStyle name="Akcent 2 2 13 3" xfId="6556"/>
    <cellStyle name="Akcent 2 2 13 4" xfId="6557"/>
    <cellStyle name="Akcent 2 2 13 5" xfId="6558"/>
    <cellStyle name="Akcent 2 2 13 6" xfId="6559"/>
    <cellStyle name="Akcent 2 2 14" xfId="6560"/>
    <cellStyle name="Akcent 2 2 14 2" xfId="6561"/>
    <cellStyle name="Akcent 2 2 14 3" xfId="6562"/>
    <cellStyle name="Akcent 2 2 14 4" xfId="6563"/>
    <cellStyle name="Akcent 2 2 14 5" xfId="6564"/>
    <cellStyle name="Akcent 2 2 14 6" xfId="6565"/>
    <cellStyle name="Akcent 2 2 15" xfId="6566"/>
    <cellStyle name="Akcent 2 2 15 2" xfId="6567"/>
    <cellStyle name="Akcent 2 2 15 3" xfId="6568"/>
    <cellStyle name="Akcent 2 2 15 4" xfId="6569"/>
    <cellStyle name="Akcent 2 2 15 5" xfId="6570"/>
    <cellStyle name="Akcent 2 2 15 6" xfId="6571"/>
    <cellStyle name="Akcent 2 2 16" xfId="6572"/>
    <cellStyle name="Akcent 2 2 16 2" xfId="6573"/>
    <cellStyle name="Akcent 2 2 16 3" xfId="6574"/>
    <cellStyle name="Akcent 2 2 16 4" xfId="6575"/>
    <cellStyle name="Akcent 2 2 16 5" xfId="6576"/>
    <cellStyle name="Akcent 2 2 16 6" xfId="6577"/>
    <cellStyle name="Akcent 2 2 17" xfId="6578"/>
    <cellStyle name="Akcent 2 2 17 2" xfId="6579"/>
    <cellStyle name="Akcent 2 2 17 3" xfId="6580"/>
    <cellStyle name="Akcent 2 2 17 4" xfId="6581"/>
    <cellStyle name="Akcent 2 2 17 5" xfId="6582"/>
    <cellStyle name="Akcent 2 2 17 6" xfId="6583"/>
    <cellStyle name="Akcent 2 2 18" xfId="6584"/>
    <cellStyle name="Akcent 2 2 18 2" xfId="6585"/>
    <cellStyle name="Akcent 2 2 18 3" xfId="6586"/>
    <cellStyle name="Akcent 2 2 18 4" xfId="6587"/>
    <cellStyle name="Akcent 2 2 18 5" xfId="6588"/>
    <cellStyle name="Akcent 2 2 18 6" xfId="6589"/>
    <cellStyle name="Akcent 2 2 19" xfId="6590"/>
    <cellStyle name="Akcent 2 2 19 2" xfId="6591"/>
    <cellStyle name="Akcent 2 2 19 3" xfId="6592"/>
    <cellStyle name="Akcent 2 2 19 4" xfId="6593"/>
    <cellStyle name="Akcent 2 2 19 5" xfId="6594"/>
    <cellStyle name="Akcent 2 2 19 6" xfId="6595"/>
    <cellStyle name="Akcent 2 2 2" xfId="6596"/>
    <cellStyle name="Akcent 2 2 2 2" xfId="6597"/>
    <cellStyle name="Akcent 2 2 2 3" xfId="6598"/>
    <cellStyle name="Akcent 2 2 2 4" xfId="6599"/>
    <cellStyle name="Akcent 2 2 2 5" xfId="6600"/>
    <cellStyle name="Akcent 2 2 2 6" xfId="6601"/>
    <cellStyle name="Akcent 2 2 2 7" xfId="6602"/>
    <cellStyle name="Akcent 2 2 20" xfId="6603"/>
    <cellStyle name="Akcent 2 2 20 2" xfId="6604"/>
    <cellStyle name="Akcent 2 2 20 3" xfId="6605"/>
    <cellStyle name="Akcent 2 2 20 4" xfId="6606"/>
    <cellStyle name="Akcent 2 2 20 5" xfId="6607"/>
    <cellStyle name="Akcent 2 2 20 6" xfId="6608"/>
    <cellStyle name="Akcent 2 2 21" xfId="6609"/>
    <cellStyle name="Akcent 2 2 21 2" xfId="6610"/>
    <cellStyle name="Akcent 2 2 21 3" xfId="6611"/>
    <cellStyle name="Akcent 2 2 21 4" xfId="6612"/>
    <cellStyle name="Akcent 2 2 21 5" xfId="6613"/>
    <cellStyle name="Akcent 2 2 21 6" xfId="6614"/>
    <cellStyle name="Akcent 2 2 22" xfId="6615"/>
    <cellStyle name="Akcent 2 2 22 2" xfId="6616"/>
    <cellStyle name="Akcent 2 2 22 3" xfId="6617"/>
    <cellStyle name="Akcent 2 2 22 4" xfId="6618"/>
    <cellStyle name="Akcent 2 2 22 5" xfId="6619"/>
    <cellStyle name="Akcent 2 2 22 6" xfId="6620"/>
    <cellStyle name="Akcent 2 2 23" xfId="6621"/>
    <cellStyle name="Akcent 2 2 23 2" xfId="6622"/>
    <cellStyle name="Akcent 2 2 23 3" xfId="6623"/>
    <cellStyle name="Akcent 2 2 23 4" xfId="6624"/>
    <cellStyle name="Akcent 2 2 23 5" xfId="6625"/>
    <cellStyle name="Akcent 2 2 23 6" xfId="6626"/>
    <cellStyle name="Akcent 2 2 24" xfId="6627"/>
    <cellStyle name="Akcent 2 2 24 2" xfId="6628"/>
    <cellStyle name="Akcent 2 2 24 3" xfId="6629"/>
    <cellStyle name="Akcent 2 2 24 4" xfId="6630"/>
    <cellStyle name="Akcent 2 2 24 5" xfId="6631"/>
    <cellStyle name="Akcent 2 2 24 6" xfId="6632"/>
    <cellStyle name="Akcent 2 2 25" xfId="6633"/>
    <cellStyle name="Akcent 2 2 25 2" xfId="6634"/>
    <cellStyle name="Akcent 2 2 25 3" xfId="6635"/>
    <cellStyle name="Akcent 2 2 25 4" xfId="6636"/>
    <cellStyle name="Akcent 2 2 25 5" xfId="6637"/>
    <cellStyle name="Akcent 2 2 25 6" xfId="6638"/>
    <cellStyle name="Akcent 2 2 26" xfId="6639"/>
    <cellStyle name="Akcent 2 2 26 2" xfId="6640"/>
    <cellStyle name="Akcent 2 2 26 3" xfId="6641"/>
    <cellStyle name="Akcent 2 2 26 4" xfId="6642"/>
    <cellStyle name="Akcent 2 2 26 5" xfId="6643"/>
    <cellStyle name="Akcent 2 2 26 6" xfId="6644"/>
    <cellStyle name="Akcent 2 2 27" xfId="6645"/>
    <cellStyle name="Akcent 2 2 27 2" xfId="6646"/>
    <cellStyle name="Akcent 2 2 27 3" xfId="6647"/>
    <cellStyle name="Akcent 2 2 27 4" xfId="6648"/>
    <cellStyle name="Akcent 2 2 27 5" xfId="6649"/>
    <cellStyle name="Akcent 2 2 27 6" xfId="6650"/>
    <cellStyle name="Akcent 2 2 28" xfId="6651"/>
    <cellStyle name="Akcent 2 2 28 2" xfId="6652"/>
    <cellStyle name="Akcent 2 2 28 3" xfId="6653"/>
    <cellStyle name="Akcent 2 2 28 4" xfId="6654"/>
    <cellStyle name="Akcent 2 2 28 5" xfId="6655"/>
    <cellStyle name="Akcent 2 2 28 6" xfId="6656"/>
    <cellStyle name="Akcent 2 2 29" xfId="6657"/>
    <cellStyle name="Akcent 2 2 29 2" xfId="6658"/>
    <cellStyle name="Akcent 2 2 3" xfId="6659"/>
    <cellStyle name="Akcent 2 2 3 2" xfId="6660"/>
    <cellStyle name="Akcent 2 2 3 3" xfId="6661"/>
    <cellStyle name="Akcent 2 2 3 4" xfId="6662"/>
    <cellStyle name="Akcent 2 2 3 5" xfId="6663"/>
    <cellStyle name="Akcent 2 2 3 6" xfId="6664"/>
    <cellStyle name="Akcent 2 2 30" xfId="6665"/>
    <cellStyle name="Akcent 2 2 30 2" xfId="6666"/>
    <cellStyle name="Akcent 2 2 31" xfId="6667"/>
    <cellStyle name="Akcent 2 2 31 2" xfId="6668"/>
    <cellStyle name="Akcent 2 2 32" xfId="6669"/>
    <cellStyle name="Akcent 2 2 32 2" xfId="6670"/>
    <cellStyle name="Akcent 2 2 33" xfId="6671"/>
    <cellStyle name="Akcent 2 2 34" xfId="6672"/>
    <cellStyle name="Akcent 2 2 35" xfId="6673"/>
    <cellStyle name="Akcent 2 2 36" xfId="6674"/>
    <cellStyle name="Akcent 2 2 37" xfId="6675"/>
    <cellStyle name="Akcent 2 2 38" xfId="6676"/>
    <cellStyle name="Akcent 2 2 39" xfId="6677"/>
    <cellStyle name="Akcent 2 2 4" xfId="6678"/>
    <cellStyle name="Akcent 2 2 4 2" xfId="6679"/>
    <cellStyle name="Akcent 2 2 4 3" xfId="6680"/>
    <cellStyle name="Akcent 2 2 4 4" xfId="6681"/>
    <cellStyle name="Akcent 2 2 4 5" xfId="6682"/>
    <cellStyle name="Akcent 2 2 4 6" xfId="6683"/>
    <cellStyle name="Akcent 2 2 40" xfId="6684"/>
    <cellStyle name="Akcent 2 2 41" xfId="6685"/>
    <cellStyle name="Akcent 2 2 42" xfId="6686"/>
    <cellStyle name="Akcent 2 2 43" xfId="6687"/>
    <cellStyle name="Akcent 2 2 44" xfId="6688"/>
    <cellStyle name="Akcent 2 2 45" xfId="6689"/>
    <cellStyle name="Akcent 2 2 46" xfId="6690"/>
    <cellStyle name="Akcent 2 2 47" xfId="6691"/>
    <cellStyle name="Akcent 2 2 48" xfId="6692"/>
    <cellStyle name="Akcent 2 2 49" xfId="6693"/>
    <cellStyle name="Akcent 2 2 5" xfId="6694"/>
    <cellStyle name="Akcent 2 2 5 2" xfId="6695"/>
    <cellStyle name="Akcent 2 2 5 3" xfId="6696"/>
    <cellStyle name="Akcent 2 2 5 4" xfId="6697"/>
    <cellStyle name="Akcent 2 2 5 5" xfId="6698"/>
    <cellStyle name="Akcent 2 2 5 6" xfId="6699"/>
    <cellStyle name="Akcent 2 2 50" xfId="6700"/>
    <cellStyle name="Akcent 2 2 51" xfId="6701"/>
    <cellStyle name="Akcent 2 2 52" xfId="6702"/>
    <cellStyle name="Akcent 2 2 6" xfId="6703"/>
    <cellStyle name="Akcent 2 2 6 2" xfId="6704"/>
    <cellStyle name="Akcent 2 2 6 3" xfId="6705"/>
    <cellStyle name="Akcent 2 2 6 4" xfId="6706"/>
    <cellStyle name="Akcent 2 2 6 5" xfId="6707"/>
    <cellStyle name="Akcent 2 2 6 6" xfId="6708"/>
    <cellStyle name="Akcent 2 2 7" xfId="6709"/>
    <cellStyle name="Akcent 2 2 7 2" xfId="6710"/>
    <cellStyle name="Akcent 2 2 7 3" xfId="6711"/>
    <cellStyle name="Akcent 2 2 7 4" xfId="6712"/>
    <cellStyle name="Akcent 2 2 7 5" xfId="6713"/>
    <cellStyle name="Akcent 2 2 7 6" xfId="6714"/>
    <cellStyle name="Akcent 2 2 8" xfId="6715"/>
    <cellStyle name="Akcent 2 2 8 2" xfId="6716"/>
    <cellStyle name="Akcent 2 2 8 3" xfId="6717"/>
    <cellStyle name="Akcent 2 2 8 4" xfId="6718"/>
    <cellStyle name="Akcent 2 2 8 5" xfId="6719"/>
    <cellStyle name="Akcent 2 2 8 6" xfId="6720"/>
    <cellStyle name="Akcent 2 2 9" xfId="6721"/>
    <cellStyle name="Akcent 2 2 9 2" xfId="6722"/>
    <cellStyle name="Akcent 2 2 9 3" xfId="6723"/>
    <cellStyle name="Akcent 2 2 9 4" xfId="6724"/>
    <cellStyle name="Akcent 2 2 9 5" xfId="6725"/>
    <cellStyle name="Akcent 2 2 9 6" xfId="6726"/>
    <cellStyle name="Akcent 2 3" xfId="6727"/>
    <cellStyle name="Akcent 2 3 2" xfId="6728"/>
    <cellStyle name="Akcent 2 3 2 2" xfId="6729"/>
    <cellStyle name="Akcent 2 3 3" xfId="6730"/>
    <cellStyle name="Akcent 2 3 4" xfId="6731"/>
    <cellStyle name="Akcent 2 3 5" xfId="6732"/>
    <cellStyle name="Akcent 2 3 6" xfId="6733"/>
    <cellStyle name="Akcent 2 3 7" xfId="6734"/>
    <cellStyle name="Akcent 2 3 8" xfId="6735"/>
    <cellStyle name="Akcent 2 4" xfId="6736"/>
    <cellStyle name="Akcent 2 4 2" xfId="6737"/>
    <cellStyle name="Akcent 2 4 3" xfId="6738"/>
    <cellStyle name="Akcent 2 4 4" xfId="6739"/>
    <cellStyle name="Akcent 2 4 5" xfId="6740"/>
    <cellStyle name="Akcent 2 4 6" xfId="6741"/>
    <cellStyle name="Akcent 2 4 7" xfId="6742"/>
    <cellStyle name="Akcent 2 4 8" xfId="6743"/>
    <cellStyle name="Akcent 2 5" xfId="6744"/>
    <cellStyle name="Akcent 2 5 2" xfId="6745"/>
    <cellStyle name="Akcent 2 6" xfId="6746"/>
    <cellStyle name="Akcent 2 7" xfId="6747"/>
    <cellStyle name="Akcent 3 2" xfId="6748"/>
    <cellStyle name="Akcent 3 2 10" xfId="6749"/>
    <cellStyle name="Akcent 3 2 10 2" xfId="6750"/>
    <cellStyle name="Akcent 3 2 10 3" xfId="6751"/>
    <cellStyle name="Akcent 3 2 10 4" xfId="6752"/>
    <cellStyle name="Akcent 3 2 10 5" xfId="6753"/>
    <cellStyle name="Akcent 3 2 10 6" xfId="6754"/>
    <cellStyle name="Akcent 3 2 11" xfId="6755"/>
    <cellStyle name="Akcent 3 2 11 2" xfId="6756"/>
    <cellStyle name="Akcent 3 2 11 3" xfId="6757"/>
    <cellStyle name="Akcent 3 2 11 4" xfId="6758"/>
    <cellStyle name="Akcent 3 2 11 5" xfId="6759"/>
    <cellStyle name="Akcent 3 2 11 6" xfId="6760"/>
    <cellStyle name="Akcent 3 2 12" xfId="6761"/>
    <cellStyle name="Akcent 3 2 12 2" xfId="6762"/>
    <cellStyle name="Akcent 3 2 12 3" xfId="6763"/>
    <cellStyle name="Akcent 3 2 12 4" xfId="6764"/>
    <cellStyle name="Akcent 3 2 12 5" xfId="6765"/>
    <cellStyle name="Akcent 3 2 12 6" xfId="6766"/>
    <cellStyle name="Akcent 3 2 13" xfId="6767"/>
    <cellStyle name="Akcent 3 2 13 2" xfId="6768"/>
    <cellStyle name="Akcent 3 2 13 3" xfId="6769"/>
    <cellStyle name="Akcent 3 2 13 4" xfId="6770"/>
    <cellStyle name="Akcent 3 2 13 5" xfId="6771"/>
    <cellStyle name="Akcent 3 2 13 6" xfId="6772"/>
    <cellStyle name="Akcent 3 2 14" xfId="6773"/>
    <cellStyle name="Akcent 3 2 14 2" xfId="6774"/>
    <cellStyle name="Akcent 3 2 14 3" xfId="6775"/>
    <cellStyle name="Akcent 3 2 14 4" xfId="6776"/>
    <cellStyle name="Akcent 3 2 14 5" xfId="6777"/>
    <cellStyle name="Akcent 3 2 14 6" xfId="6778"/>
    <cellStyle name="Akcent 3 2 15" xfId="6779"/>
    <cellStyle name="Akcent 3 2 15 2" xfId="6780"/>
    <cellStyle name="Akcent 3 2 15 3" xfId="6781"/>
    <cellStyle name="Akcent 3 2 15 4" xfId="6782"/>
    <cellStyle name="Akcent 3 2 15 5" xfId="6783"/>
    <cellStyle name="Akcent 3 2 15 6" xfId="6784"/>
    <cellStyle name="Akcent 3 2 16" xfId="6785"/>
    <cellStyle name="Akcent 3 2 16 2" xfId="6786"/>
    <cellStyle name="Akcent 3 2 16 3" xfId="6787"/>
    <cellStyle name="Akcent 3 2 16 4" xfId="6788"/>
    <cellStyle name="Akcent 3 2 16 5" xfId="6789"/>
    <cellStyle name="Akcent 3 2 16 6" xfId="6790"/>
    <cellStyle name="Akcent 3 2 17" xfId="6791"/>
    <cellStyle name="Akcent 3 2 17 2" xfId="6792"/>
    <cellStyle name="Akcent 3 2 17 3" xfId="6793"/>
    <cellStyle name="Akcent 3 2 17 4" xfId="6794"/>
    <cellStyle name="Akcent 3 2 17 5" xfId="6795"/>
    <cellStyle name="Akcent 3 2 17 6" xfId="6796"/>
    <cellStyle name="Akcent 3 2 18" xfId="6797"/>
    <cellStyle name="Akcent 3 2 18 2" xfId="6798"/>
    <cellStyle name="Akcent 3 2 18 3" xfId="6799"/>
    <cellStyle name="Akcent 3 2 18 4" xfId="6800"/>
    <cellStyle name="Akcent 3 2 18 5" xfId="6801"/>
    <cellStyle name="Akcent 3 2 18 6" xfId="6802"/>
    <cellStyle name="Akcent 3 2 19" xfId="6803"/>
    <cellStyle name="Akcent 3 2 19 2" xfId="6804"/>
    <cellStyle name="Akcent 3 2 19 3" xfId="6805"/>
    <cellStyle name="Akcent 3 2 19 4" xfId="6806"/>
    <cellStyle name="Akcent 3 2 19 5" xfId="6807"/>
    <cellStyle name="Akcent 3 2 19 6" xfId="6808"/>
    <cellStyle name="Akcent 3 2 2" xfId="6809"/>
    <cellStyle name="Akcent 3 2 2 2" xfId="6810"/>
    <cellStyle name="Akcent 3 2 2 3" xfId="6811"/>
    <cellStyle name="Akcent 3 2 2 4" xfId="6812"/>
    <cellStyle name="Akcent 3 2 2 5" xfId="6813"/>
    <cellStyle name="Akcent 3 2 2 6" xfId="6814"/>
    <cellStyle name="Akcent 3 2 2 7" xfId="6815"/>
    <cellStyle name="Akcent 3 2 20" xfId="6816"/>
    <cellStyle name="Akcent 3 2 20 2" xfId="6817"/>
    <cellStyle name="Akcent 3 2 20 3" xfId="6818"/>
    <cellStyle name="Akcent 3 2 20 4" xfId="6819"/>
    <cellStyle name="Akcent 3 2 20 5" xfId="6820"/>
    <cellStyle name="Akcent 3 2 20 6" xfId="6821"/>
    <cellStyle name="Akcent 3 2 21" xfId="6822"/>
    <cellStyle name="Akcent 3 2 21 2" xfId="6823"/>
    <cellStyle name="Akcent 3 2 21 3" xfId="6824"/>
    <cellStyle name="Akcent 3 2 21 4" xfId="6825"/>
    <cellStyle name="Akcent 3 2 21 5" xfId="6826"/>
    <cellStyle name="Akcent 3 2 21 6" xfId="6827"/>
    <cellStyle name="Akcent 3 2 22" xfId="6828"/>
    <cellStyle name="Akcent 3 2 22 2" xfId="6829"/>
    <cellStyle name="Akcent 3 2 22 3" xfId="6830"/>
    <cellStyle name="Akcent 3 2 22 4" xfId="6831"/>
    <cellStyle name="Akcent 3 2 22 5" xfId="6832"/>
    <cellStyle name="Akcent 3 2 22 6" xfId="6833"/>
    <cellStyle name="Akcent 3 2 23" xfId="6834"/>
    <cellStyle name="Akcent 3 2 23 2" xfId="6835"/>
    <cellStyle name="Akcent 3 2 23 3" xfId="6836"/>
    <cellStyle name="Akcent 3 2 23 4" xfId="6837"/>
    <cellStyle name="Akcent 3 2 23 5" xfId="6838"/>
    <cellStyle name="Akcent 3 2 23 6" xfId="6839"/>
    <cellStyle name="Akcent 3 2 24" xfId="6840"/>
    <cellStyle name="Akcent 3 2 24 2" xfId="6841"/>
    <cellStyle name="Akcent 3 2 24 3" xfId="6842"/>
    <cellStyle name="Akcent 3 2 24 4" xfId="6843"/>
    <cellStyle name="Akcent 3 2 24 5" xfId="6844"/>
    <cellStyle name="Akcent 3 2 24 6" xfId="6845"/>
    <cellStyle name="Akcent 3 2 25" xfId="6846"/>
    <cellStyle name="Akcent 3 2 25 2" xfId="6847"/>
    <cellStyle name="Akcent 3 2 25 3" xfId="6848"/>
    <cellStyle name="Akcent 3 2 25 4" xfId="6849"/>
    <cellStyle name="Akcent 3 2 25 5" xfId="6850"/>
    <cellStyle name="Akcent 3 2 25 6" xfId="6851"/>
    <cellStyle name="Akcent 3 2 26" xfId="6852"/>
    <cellStyle name="Akcent 3 2 26 2" xfId="6853"/>
    <cellStyle name="Akcent 3 2 26 3" xfId="6854"/>
    <cellStyle name="Akcent 3 2 26 4" xfId="6855"/>
    <cellStyle name="Akcent 3 2 26 5" xfId="6856"/>
    <cellStyle name="Akcent 3 2 26 6" xfId="6857"/>
    <cellStyle name="Akcent 3 2 27" xfId="6858"/>
    <cellStyle name="Akcent 3 2 27 2" xfId="6859"/>
    <cellStyle name="Akcent 3 2 27 3" xfId="6860"/>
    <cellStyle name="Akcent 3 2 27 4" xfId="6861"/>
    <cellStyle name="Akcent 3 2 27 5" xfId="6862"/>
    <cellStyle name="Akcent 3 2 27 6" xfId="6863"/>
    <cellStyle name="Akcent 3 2 28" xfId="6864"/>
    <cellStyle name="Akcent 3 2 28 2" xfId="6865"/>
    <cellStyle name="Akcent 3 2 28 3" xfId="6866"/>
    <cellStyle name="Akcent 3 2 28 4" xfId="6867"/>
    <cellStyle name="Akcent 3 2 28 5" xfId="6868"/>
    <cellStyle name="Akcent 3 2 28 6" xfId="6869"/>
    <cellStyle name="Akcent 3 2 29" xfId="6870"/>
    <cellStyle name="Akcent 3 2 29 2" xfId="6871"/>
    <cellStyle name="Akcent 3 2 3" xfId="6872"/>
    <cellStyle name="Akcent 3 2 3 2" xfId="6873"/>
    <cellStyle name="Akcent 3 2 3 3" xfId="6874"/>
    <cellStyle name="Akcent 3 2 3 4" xfId="6875"/>
    <cellStyle name="Akcent 3 2 3 5" xfId="6876"/>
    <cellStyle name="Akcent 3 2 3 6" xfId="6877"/>
    <cellStyle name="Akcent 3 2 30" xfId="6878"/>
    <cellStyle name="Akcent 3 2 30 2" xfId="6879"/>
    <cellStyle name="Akcent 3 2 31" xfId="6880"/>
    <cellStyle name="Akcent 3 2 31 2" xfId="6881"/>
    <cellStyle name="Akcent 3 2 32" xfId="6882"/>
    <cellStyle name="Akcent 3 2 32 2" xfId="6883"/>
    <cellStyle name="Akcent 3 2 33" xfId="6884"/>
    <cellStyle name="Akcent 3 2 34" xfId="6885"/>
    <cellStyle name="Akcent 3 2 35" xfId="6886"/>
    <cellStyle name="Akcent 3 2 36" xfId="6887"/>
    <cellStyle name="Akcent 3 2 37" xfId="6888"/>
    <cellStyle name="Akcent 3 2 38" xfId="6889"/>
    <cellStyle name="Akcent 3 2 39" xfId="6890"/>
    <cellStyle name="Akcent 3 2 4" xfId="6891"/>
    <cellStyle name="Akcent 3 2 4 2" xfId="6892"/>
    <cellStyle name="Akcent 3 2 4 3" xfId="6893"/>
    <cellStyle name="Akcent 3 2 4 4" xfId="6894"/>
    <cellStyle name="Akcent 3 2 4 5" xfId="6895"/>
    <cellStyle name="Akcent 3 2 4 6" xfId="6896"/>
    <cellStyle name="Akcent 3 2 40" xfId="6897"/>
    <cellStyle name="Akcent 3 2 41" xfId="6898"/>
    <cellStyle name="Akcent 3 2 42" xfId="6899"/>
    <cellStyle name="Akcent 3 2 43" xfId="6900"/>
    <cellStyle name="Akcent 3 2 44" xfId="6901"/>
    <cellStyle name="Akcent 3 2 45" xfId="6902"/>
    <cellStyle name="Akcent 3 2 46" xfId="6903"/>
    <cellStyle name="Akcent 3 2 47" xfId="6904"/>
    <cellStyle name="Akcent 3 2 48" xfId="6905"/>
    <cellStyle name="Akcent 3 2 49" xfId="6906"/>
    <cellStyle name="Akcent 3 2 5" xfId="6907"/>
    <cellStyle name="Akcent 3 2 5 2" xfId="6908"/>
    <cellStyle name="Akcent 3 2 5 3" xfId="6909"/>
    <cellStyle name="Akcent 3 2 5 4" xfId="6910"/>
    <cellStyle name="Akcent 3 2 5 5" xfId="6911"/>
    <cellStyle name="Akcent 3 2 5 6" xfId="6912"/>
    <cellStyle name="Akcent 3 2 50" xfId="6913"/>
    <cellStyle name="Akcent 3 2 51" xfId="6914"/>
    <cellStyle name="Akcent 3 2 52" xfId="6915"/>
    <cellStyle name="Akcent 3 2 6" xfId="6916"/>
    <cellStyle name="Akcent 3 2 6 2" xfId="6917"/>
    <cellStyle name="Akcent 3 2 6 3" xfId="6918"/>
    <cellStyle name="Akcent 3 2 6 4" xfId="6919"/>
    <cellStyle name="Akcent 3 2 6 5" xfId="6920"/>
    <cellStyle name="Akcent 3 2 6 6" xfId="6921"/>
    <cellStyle name="Akcent 3 2 7" xfId="6922"/>
    <cellStyle name="Akcent 3 2 7 2" xfId="6923"/>
    <cellStyle name="Akcent 3 2 7 3" xfId="6924"/>
    <cellStyle name="Akcent 3 2 7 4" xfId="6925"/>
    <cellStyle name="Akcent 3 2 7 5" xfId="6926"/>
    <cellStyle name="Akcent 3 2 7 6" xfId="6927"/>
    <cellStyle name="Akcent 3 2 8" xfId="6928"/>
    <cellStyle name="Akcent 3 2 8 2" xfId="6929"/>
    <cellStyle name="Akcent 3 2 8 3" xfId="6930"/>
    <cellStyle name="Akcent 3 2 8 4" xfId="6931"/>
    <cellStyle name="Akcent 3 2 8 5" xfId="6932"/>
    <cellStyle name="Akcent 3 2 8 6" xfId="6933"/>
    <cellStyle name="Akcent 3 2 9" xfId="6934"/>
    <cellStyle name="Akcent 3 2 9 2" xfId="6935"/>
    <cellStyle name="Akcent 3 2 9 3" xfId="6936"/>
    <cellStyle name="Akcent 3 2 9 4" xfId="6937"/>
    <cellStyle name="Akcent 3 2 9 5" xfId="6938"/>
    <cellStyle name="Akcent 3 2 9 6" xfId="6939"/>
    <cellStyle name="Akcent 3 3" xfId="6940"/>
    <cellStyle name="Akcent 3 3 2" xfId="6941"/>
    <cellStyle name="Akcent 3 3 2 2" xfId="6942"/>
    <cellStyle name="Akcent 3 3 3" xfId="6943"/>
    <cellStyle name="Akcent 3 3 4" xfId="6944"/>
    <cellStyle name="Akcent 3 3 5" xfId="6945"/>
    <cellStyle name="Akcent 3 3 6" xfId="6946"/>
    <cellStyle name="Akcent 3 3 7" xfId="6947"/>
    <cellStyle name="Akcent 3 3 8" xfId="6948"/>
    <cellStyle name="Akcent 3 4" xfId="6949"/>
    <cellStyle name="Akcent 3 4 2" xfId="6950"/>
    <cellStyle name="Akcent 3 4 3" xfId="6951"/>
    <cellStyle name="Akcent 3 4 4" xfId="6952"/>
    <cellStyle name="Akcent 3 4 5" xfId="6953"/>
    <cellStyle name="Akcent 3 4 6" xfId="6954"/>
    <cellStyle name="Akcent 3 4 7" xfId="6955"/>
    <cellStyle name="Akcent 3 4 8" xfId="6956"/>
    <cellStyle name="Akcent 3 5" xfId="6957"/>
    <cellStyle name="Akcent 3 5 2" xfId="6958"/>
    <cellStyle name="Akcent 3 6" xfId="6959"/>
    <cellStyle name="Akcent 3 7" xfId="6960"/>
    <cellStyle name="Akcent 4 2" xfId="6961"/>
    <cellStyle name="Akcent 4 2 10" xfId="6962"/>
    <cellStyle name="Akcent 4 2 10 2" xfId="6963"/>
    <cellStyle name="Akcent 4 2 10 3" xfId="6964"/>
    <cellStyle name="Akcent 4 2 10 4" xfId="6965"/>
    <cellStyle name="Akcent 4 2 10 5" xfId="6966"/>
    <cellStyle name="Akcent 4 2 10 6" xfId="6967"/>
    <cellStyle name="Akcent 4 2 11" xfId="6968"/>
    <cellStyle name="Akcent 4 2 11 2" xfId="6969"/>
    <cellStyle name="Akcent 4 2 11 3" xfId="6970"/>
    <cellStyle name="Akcent 4 2 11 4" xfId="6971"/>
    <cellStyle name="Akcent 4 2 11 5" xfId="6972"/>
    <cellStyle name="Akcent 4 2 11 6" xfId="6973"/>
    <cellStyle name="Akcent 4 2 12" xfId="6974"/>
    <cellStyle name="Akcent 4 2 12 2" xfId="6975"/>
    <cellStyle name="Akcent 4 2 12 3" xfId="6976"/>
    <cellStyle name="Akcent 4 2 12 4" xfId="6977"/>
    <cellStyle name="Akcent 4 2 12 5" xfId="6978"/>
    <cellStyle name="Akcent 4 2 12 6" xfId="6979"/>
    <cellStyle name="Akcent 4 2 13" xfId="6980"/>
    <cellStyle name="Akcent 4 2 13 2" xfId="6981"/>
    <cellStyle name="Akcent 4 2 13 3" xfId="6982"/>
    <cellStyle name="Akcent 4 2 13 4" xfId="6983"/>
    <cellStyle name="Akcent 4 2 13 5" xfId="6984"/>
    <cellStyle name="Akcent 4 2 13 6" xfId="6985"/>
    <cellStyle name="Akcent 4 2 14" xfId="6986"/>
    <cellStyle name="Akcent 4 2 14 2" xfId="6987"/>
    <cellStyle name="Akcent 4 2 14 3" xfId="6988"/>
    <cellStyle name="Akcent 4 2 14 4" xfId="6989"/>
    <cellStyle name="Akcent 4 2 14 5" xfId="6990"/>
    <cellStyle name="Akcent 4 2 14 6" xfId="6991"/>
    <cellStyle name="Akcent 4 2 15" xfId="6992"/>
    <cellStyle name="Akcent 4 2 15 2" xfId="6993"/>
    <cellStyle name="Akcent 4 2 15 3" xfId="6994"/>
    <cellStyle name="Akcent 4 2 15 4" xfId="6995"/>
    <cellStyle name="Akcent 4 2 15 5" xfId="6996"/>
    <cellStyle name="Akcent 4 2 15 6" xfId="6997"/>
    <cellStyle name="Akcent 4 2 16" xfId="6998"/>
    <cellStyle name="Akcent 4 2 16 2" xfId="6999"/>
    <cellStyle name="Akcent 4 2 16 3" xfId="7000"/>
    <cellStyle name="Akcent 4 2 16 4" xfId="7001"/>
    <cellStyle name="Akcent 4 2 16 5" xfId="7002"/>
    <cellStyle name="Akcent 4 2 16 6" xfId="7003"/>
    <cellStyle name="Akcent 4 2 17" xfId="7004"/>
    <cellStyle name="Akcent 4 2 17 2" xfId="7005"/>
    <cellStyle name="Akcent 4 2 17 3" xfId="7006"/>
    <cellStyle name="Akcent 4 2 17 4" xfId="7007"/>
    <cellStyle name="Akcent 4 2 17 5" xfId="7008"/>
    <cellStyle name="Akcent 4 2 17 6" xfId="7009"/>
    <cellStyle name="Akcent 4 2 18" xfId="7010"/>
    <cellStyle name="Akcent 4 2 18 2" xfId="7011"/>
    <cellStyle name="Akcent 4 2 18 3" xfId="7012"/>
    <cellStyle name="Akcent 4 2 18 4" xfId="7013"/>
    <cellStyle name="Akcent 4 2 18 5" xfId="7014"/>
    <cellStyle name="Akcent 4 2 18 6" xfId="7015"/>
    <cellStyle name="Akcent 4 2 19" xfId="7016"/>
    <cellStyle name="Akcent 4 2 19 2" xfId="7017"/>
    <cellStyle name="Akcent 4 2 19 3" xfId="7018"/>
    <cellStyle name="Akcent 4 2 19 4" xfId="7019"/>
    <cellStyle name="Akcent 4 2 19 5" xfId="7020"/>
    <cellStyle name="Akcent 4 2 19 6" xfId="7021"/>
    <cellStyle name="Akcent 4 2 2" xfId="7022"/>
    <cellStyle name="Akcent 4 2 2 2" xfId="7023"/>
    <cellStyle name="Akcent 4 2 2 3" xfId="7024"/>
    <cellStyle name="Akcent 4 2 2 4" xfId="7025"/>
    <cellStyle name="Akcent 4 2 2 5" xfId="7026"/>
    <cellStyle name="Akcent 4 2 2 6" xfId="7027"/>
    <cellStyle name="Akcent 4 2 2 7" xfId="7028"/>
    <cellStyle name="Akcent 4 2 20" xfId="7029"/>
    <cellStyle name="Akcent 4 2 20 2" xfId="7030"/>
    <cellStyle name="Akcent 4 2 20 3" xfId="7031"/>
    <cellStyle name="Akcent 4 2 20 4" xfId="7032"/>
    <cellStyle name="Akcent 4 2 20 5" xfId="7033"/>
    <cellStyle name="Akcent 4 2 20 6" xfId="7034"/>
    <cellStyle name="Akcent 4 2 21" xfId="7035"/>
    <cellStyle name="Akcent 4 2 21 2" xfId="7036"/>
    <cellStyle name="Akcent 4 2 21 3" xfId="7037"/>
    <cellStyle name="Akcent 4 2 21 4" xfId="7038"/>
    <cellStyle name="Akcent 4 2 21 5" xfId="7039"/>
    <cellStyle name="Akcent 4 2 21 6" xfId="7040"/>
    <cellStyle name="Akcent 4 2 22" xfId="7041"/>
    <cellStyle name="Akcent 4 2 22 2" xfId="7042"/>
    <cellStyle name="Akcent 4 2 22 3" xfId="7043"/>
    <cellStyle name="Akcent 4 2 22 4" xfId="7044"/>
    <cellStyle name="Akcent 4 2 22 5" xfId="7045"/>
    <cellStyle name="Akcent 4 2 22 6" xfId="7046"/>
    <cellStyle name="Akcent 4 2 23" xfId="7047"/>
    <cellStyle name="Akcent 4 2 23 2" xfId="7048"/>
    <cellStyle name="Akcent 4 2 23 3" xfId="7049"/>
    <cellStyle name="Akcent 4 2 23 4" xfId="7050"/>
    <cellStyle name="Akcent 4 2 23 5" xfId="7051"/>
    <cellStyle name="Akcent 4 2 23 6" xfId="7052"/>
    <cellStyle name="Akcent 4 2 24" xfId="7053"/>
    <cellStyle name="Akcent 4 2 24 2" xfId="7054"/>
    <cellStyle name="Akcent 4 2 24 3" xfId="7055"/>
    <cellStyle name="Akcent 4 2 24 4" xfId="7056"/>
    <cellStyle name="Akcent 4 2 24 5" xfId="7057"/>
    <cellStyle name="Akcent 4 2 24 6" xfId="7058"/>
    <cellStyle name="Akcent 4 2 25" xfId="7059"/>
    <cellStyle name="Akcent 4 2 25 2" xfId="7060"/>
    <cellStyle name="Akcent 4 2 25 3" xfId="7061"/>
    <cellStyle name="Akcent 4 2 25 4" xfId="7062"/>
    <cellStyle name="Akcent 4 2 25 5" xfId="7063"/>
    <cellStyle name="Akcent 4 2 25 6" xfId="7064"/>
    <cellStyle name="Akcent 4 2 26" xfId="7065"/>
    <cellStyle name="Akcent 4 2 26 2" xfId="7066"/>
    <cellStyle name="Akcent 4 2 26 3" xfId="7067"/>
    <cellStyle name="Akcent 4 2 26 4" xfId="7068"/>
    <cellStyle name="Akcent 4 2 26 5" xfId="7069"/>
    <cellStyle name="Akcent 4 2 26 6" xfId="7070"/>
    <cellStyle name="Akcent 4 2 27" xfId="7071"/>
    <cellStyle name="Akcent 4 2 27 2" xfId="7072"/>
    <cellStyle name="Akcent 4 2 27 3" xfId="7073"/>
    <cellStyle name="Akcent 4 2 27 4" xfId="7074"/>
    <cellStyle name="Akcent 4 2 27 5" xfId="7075"/>
    <cellStyle name="Akcent 4 2 27 6" xfId="7076"/>
    <cellStyle name="Akcent 4 2 28" xfId="7077"/>
    <cellStyle name="Akcent 4 2 28 2" xfId="7078"/>
    <cellStyle name="Akcent 4 2 28 3" xfId="7079"/>
    <cellStyle name="Akcent 4 2 28 4" xfId="7080"/>
    <cellStyle name="Akcent 4 2 28 5" xfId="7081"/>
    <cellStyle name="Akcent 4 2 28 6" xfId="7082"/>
    <cellStyle name="Akcent 4 2 29" xfId="7083"/>
    <cellStyle name="Akcent 4 2 29 2" xfId="7084"/>
    <cellStyle name="Akcent 4 2 3" xfId="7085"/>
    <cellStyle name="Akcent 4 2 3 2" xfId="7086"/>
    <cellStyle name="Akcent 4 2 3 3" xfId="7087"/>
    <cellStyle name="Akcent 4 2 3 4" xfId="7088"/>
    <cellStyle name="Akcent 4 2 3 5" xfId="7089"/>
    <cellStyle name="Akcent 4 2 3 6" xfId="7090"/>
    <cellStyle name="Akcent 4 2 30" xfId="7091"/>
    <cellStyle name="Akcent 4 2 30 2" xfId="7092"/>
    <cellStyle name="Akcent 4 2 31" xfId="7093"/>
    <cellStyle name="Akcent 4 2 31 2" xfId="7094"/>
    <cellStyle name="Akcent 4 2 32" xfId="7095"/>
    <cellStyle name="Akcent 4 2 32 2" xfId="7096"/>
    <cellStyle name="Akcent 4 2 33" xfId="7097"/>
    <cellStyle name="Akcent 4 2 34" xfId="7098"/>
    <cellStyle name="Akcent 4 2 35" xfId="7099"/>
    <cellStyle name="Akcent 4 2 36" xfId="7100"/>
    <cellStyle name="Akcent 4 2 37" xfId="7101"/>
    <cellStyle name="Akcent 4 2 38" xfId="7102"/>
    <cellStyle name="Akcent 4 2 39" xfId="7103"/>
    <cellStyle name="Akcent 4 2 4" xfId="7104"/>
    <cellStyle name="Akcent 4 2 4 2" xfId="7105"/>
    <cellStyle name="Akcent 4 2 4 3" xfId="7106"/>
    <cellStyle name="Akcent 4 2 4 4" xfId="7107"/>
    <cellStyle name="Akcent 4 2 4 5" xfId="7108"/>
    <cellStyle name="Akcent 4 2 4 6" xfId="7109"/>
    <cellStyle name="Akcent 4 2 40" xfId="7110"/>
    <cellStyle name="Akcent 4 2 41" xfId="7111"/>
    <cellStyle name="Akcent 4 2 42" xfId="7112"/>
    <cellStyle name="Akcent 4 2 43" xfId="7113"/>
    <cellStyle name="Akcent 4 2 44" xfId="7114"/>
    <cellStyle name="Akcent 4 2 45" xfId="7115"/>
    <cellStyle name="Akcent 4 2 46" xfId="7116"/>
    <cellStyle name="Akcent 4 2 47" xfId="7117"/>
    <cellStyle name="Akcent 4 2 48" xfId="7118"/>
    <cellStyle name="Akcent 4 2 49" xfId="7119"/>
    <cellStyle name="Akcent 4 2 5" xfId="7120"/>
    <cellStyle name="Akcent 4 2 5 2" xfId="7121"/>
    <cellStyle name="Akcent 4 2 5 3" xfId="7122"/>
    <cellStyle name="Akcent 4 2 5 4" xfId="7123"/>
    <cellStyle name="Akcent 4 2 5 5" xfId="7124"/>
    <cellStyle name="Akcent 4 2 5 6" xfId="7125"/>
    <cellStyle name="Akcent 4 2 50" xfId="7126"/>
    <cellStyle name="Akcent 4 2 51" xfId="7127"/>
    <cellStyle name="Akcent 4 2 52" xfId="7128"/>
    <cellStyle name="Akcent 4 2 6" xfId="7129"/>
    <cellStyle name="Akcent 4 2 6 2" xfId="7130"/>
    <cellStyle name="Akcent 4 2 6 3" xfId="7131"/>
    <cellStyle name="Akcent 4 2 6 4" xfId="7132"/>
    <cellStyle name="Akcent 4 2 6 5" xfId="7133"/>
    <cellStyle name="Akcent 4 2 6 6" xfId="7134"/>
    <cellStyle name="Akcent 4 2 7" xfId="7135"/>
    <cellStyle name="Akcent 4 2 7 2" xfId="7136"/>
    <cellStyle name="Akcent 4 2 7 3" xfId="7137"/>
    <cellStyle name="Akcent 4 2 7 4" xfId="7138"/>
    <cellStyle name="Akcent 4 2 7 5" xfId="7139"/>
    <cellStyle name="Akcent 4 2 7 6" xfId="7140"/>
    <cellStyle name="Akcent 4 2 8" xfId="7141"/>
    <cellStyle name="Akcent 4 2 8 2" xfId="7142"/>
    <cellStyle name="Akcent 4 2 8 3" xfId="7143"/>
    <cellStyle name="Akcent 4 2 8 4" xfId="7144"/>
    <cellStyle name="Akcent 4 2 8 5" xfId="7145"/>
    <cellStyle name="Akcent 4 2 8 6" xfId="7146"/>
    <cellStyle name="Akcent 4 2 9" xfId="7147"/>
    <cellStyle name="Akcent 4 2 9 2" xfId="7148"/>
    <cellStyle name="Akcent 4 2 9 3" xfId="7149"/>
    <cellStyle name="Akcent 4 2 9 4" xfId="7150"/>
    <cellStyle name="Akcent 4 2 9 5" xfId="7151"/>
    <cellStyle name="Akcent 4 2 9 6" xfId="7152"/>
    <cellStyle name="Akcent 4 3" xfId="7153"/>
    <cellStyle name="Akcent 4 3 2" xfId="7154"/>
    <cellStyle name="Akcent 4 3 2 2" xfId="7155"/>
    <cellStyle name="Akcent 4 3 3" xfId="7156"/>
    <cellStyle name="Akcent 4 3 4" xfId="7157"/>
    <cellStyle name="Akcent 4 3 5" xfId="7158"/>
    <cellStyle name="Akcent 4 3 6" xfId="7159"/>
    <cellStyle name="Akcent 4 3 7" xfId="7160"/>
    <cellStyle name="Akcent 4 3 8" xfId="7161"/>
    <cellStyle name="Akcent 4 4" xfId="7162"/>
    <cellStyle name="Akcent 4 4 2" xfId="7163"/>
    <cellStyle name="Akcent 4 4 3" xfId="7164"/>
    <cellStyle name="Akcent 4 4 4" xfId="7165"/>
    <cellStyle name="Akcent 4 4 5" xfId="7166"/>
    <cellStyle name="Akcent 4 4 6" xfId="7167"/>
    <cellStyle name="Akcent 4 4 7" xfId="7168"/>
    <cellStyle name="Akcent 4 4 8" xfId="7169"/>
    <cellStyle name="Akcent 4 5" xfId="7170"/>
    <cellStyle name="Akcent 4 5 2" xfId="7171"/>
    <cellStyle name="Akcent 4 6" xfId="7172"/>
    <cellStyle name="Akcent 4 7" xfId="7173"/>
    <cellStyle name="Akcent 5 2" xfId="7174"/>
    <cellStyle name="Akcent 5 2 10" xfId="7175"/>
    <cellStyle name="Akcent 5 2 10 2" xfId="7176"/>
    <cellStyle name="Akcent 5 2 10 3" xfId="7177"/>
    <cellStyle name="Akcent 5 2 10 4" xfId="7178"/>
    <cellStyle name="Akcent 5 2 10 5" xfId="7179"/>
    <cellStyle name="Akcent 5 2 10 6" xfId="7180"/>
    <cellStyle name="Akcent 5 2 11" xfId="7181"/>
    <cellStyle name="Akcent 5 2 11 2" xfId="7182"/>
    <cellStyle name="Akcent 5 2 11 3" xfId="7183"/>
    <cellStyle name="Akcent 5 2 11 4" xfId="7184"/>
    <cellStyle name="Akcent 5 2 11 5" xfId="7185"/>
    <cellStyle name="Akcent 5 2 11 6" xfId="7186"/>
    <cellStyle name="Akcent 5 2 12" xfId="7187"/>
    <cellStyle name="Akcent 5 2 12 2" xfId="7188"/>
    <cellStyle name="Akcent 5 2 12 3" xfId="7189"/>
    <cellStyle name="Akcent 5 2 12 4" xfId="7190"/>
    <cellStyle name="Akcent 5 2 12 5" xfId="7191"/>
    <cellStyle name="Akcent 5 2 12 6" xfId="7192"/>
    <cellStyle name="Akcent 5 2 13" xfId="7193"/>
    <cellStyle name="Akcent 5 2 13 2" xfId="7194"/>
    <cellStyle name="Akcent 5 2 13 3" xfId="7195"/>
    <cellStyle name="Akcent 5 2 13 4" xfId="7196"/>
    <cellStyle name="Akcent 5 2 13 5" xfId="7197"/>
    <cellStyle name="Akcent 5 2 13 6" xfId="7198"/>
    <cellStyle name="Akcent 5 2 14" xfId="7199"/>
    <cellStyle name="Akcent 5 2 14 2" xfId="7200"/>
    <cellStyle name="Akcent 5 2 14 3" xfId="7201"/>
    <cellStyle name="Akcent 5 2 14 4" xfId="7202"/>
    <cellStyle name="Akcent 5 2 14 5" xfId="7203"/>
    <cellStyle name="Akcent 5 2 14 6" xfId="7204"/>
    <cellStyle name="Akcent 5 2 15" xfId="7205"/>
    <cellStyle name="Akcent 5 2 15 2" xfId="7206"/>
    <cellStyle name="Akcent 5 2 15 3" xfId="7207"/>
    <cellStyle name="Akcent 5 2 15 4" xfId="7208"/>
    <cellStyle name="Akcent 5 2 15 5" xfId="7209"/>
    <cellStyle name="Akcent 5 2 15 6" xfId="7210"/>
    <cellStyle name="Akcent 5 2 16" xfId="7211"/>
    <cellStyle name="Akcent 5 2 16 2" xfId="7212"/>
    <cellStyle name="Akcent 5 2 16 3" xfId="7213"/>
    <cellStyle name="Akcent 5 2 16 4" xfId="7214"/>
    <cellStyle name="Akcent 5 2 16 5" xfId="7215"/>
    <cellStyle name="Akcent 5 2 16 6" xfId="7216"/>
    <cellStyle name="Akcent 5 2 17" xfId="7217"/>
    <cellStyle name="Akcent 5 2 17 2" xfId="7218"/>
    <cellStyle name="Akcent 5 2 17 3" xfId="7219"/>
    <cellStyle name="Akcent 5 2 17 4" xfId="7220"/>
    <cellStyle name="Akcent 5 2 17 5" xfId="7221"/>
    <cellStyle name="Akcent 5 2 17 6" xfId="7222"/>
    <cellStyle name="Akcent 5 2 18" xfId="7223"/>
    <cellStyle name="Akcent 5 2 18 2" xfId="7224"/>
    <cellStyle name="Akcent 5 2 18 3" xfId="7225"/>
    <cellStyle name="Akcent 5 2 18 4" xfId="7226"/>
    <cellStyle name="Akcent 5 2 18 5" xfId="7227"/>
    <cellStyle name="Akcent 5 2 18 6" xfId="7228"/>
    <cellStyle name="Akcent 5 2 19" xfId="7229"/>
    <cellStyle name="Akcent 5 2 19 2" xfId="7230"/>
    <cellStyle name="Akcent 5 2 19 3" xfId="7231"/>
    <cellStyle name="Akcent 5 2 19 4" xfId="7232"/>
    <cellStyle name="Akcent 5 2 19 5" xfId="7233"/>
    <cellStyle name="Akcent 5 2 19 6" xfId="7234"/>
    <cellStyle name="Akcent 5 2 2" xfId="7235"/>
    <cellStyle name="Akcent 5 2 2 2" xfId="7236"/>
    <cellStyle name="Akcent 5 2 2 3" xfId="7237"/>
    <cellStyle name="Akcent 5 2 2 4" xfId="7238"/>
    <cellStyle name="Akcent 5 2 2 5" xfId="7239"/>
    <cellStyle name="Akcent 5 2 2 6" xfId="7240"/>
    <cellStyle name="Akcent 5 2 2 7" xfId="7241"/>
    <cellStyle name="Akcent 5 2 20" xfId="7242"/>
    <cellStyle name="Akcent 5 2 20 2" xfId="7243"/>
    <cellStyle name="Akcent 5 2 20 3" xfId="7244"/>
    <cellStyle name="Akcent 5 2 20 4" xfId="7245"/>
    <cellStyle name="Akcent 5 2 20 5" xfId="7246"/>
    <cellStyle name="Akcent 5 2 20 6" xfId="7247"/>
    <cellStyle name="Akcent 5 2 21" xfId="7248"/>
    <cellStyle name="Akcent 5 2 21 2" xfId="7249"/>
    <cellStyle name="Akcent 5 2 21 3" xfId="7250"/>
    <cellStyle name="Akcent 5 2 21 4" xfId="7251"/>
    <cellStyle name="Akcent 5 2 21 5" xfId="7252"/>
    <cellStyle name="Akcent 5 2 21 6" xfId="7253"/>
    <cellStyle name="Akcent 5 2 22" xfId="7254"/>
    <cellStyle name="Akcent 5 2 22 2" xfId="7255"/>
    <cellStyle name="Akcent 5 2 22 3" xfId="7256"/>
    <cellStyle name="Akcent 5 2 22 4" xfId="7257"/>
    <cellStyle name="Akcent 5 2 22 5" xfId="7258"/>
    <cellStyle name="Akcent 5 2 22 6" xfId="7259"/>
    <cellStyle name="Akcent 5 2 23" xfId="7260"/>
    <cellStyle name="Akcent 5 2 23 2" xfId="7261"/>
    <cellStyle name="Akcent 5 2 23 3" xfId="7262"/>
    <cellStyle name="Akcent 5 2 23 4" xfId="7263"/>
    <cellStyle name="Akcent 5 2 23 5" xfId="7264"/>
    <cellStyle name="Akcent 5 2 23 6" xfId="7265"/>
    <cellStyle name="Akcent 5 2 24" xfId="7266"/>
    <cellStyle name="Akcent 5 2 24 2" xfId="7267"/>
    <cellStyle name="Akcent 5 2 24 3" xfId="7268"/>
    <cellStyle name="Akcent 5 2 24 4" xfId="7269"/>
    <cellStyle name="Akcent 5 2 24 5" xfId="7270"/>
    <cellStyle name="Akcent 5 2 24 6" xfId="7271"/>
    <cellStyle name="Akcent 5 2 25" xfId="7272"/>
    <cellStyle name="Akcent 5 2 25 2" xfId="7273"/>
    <cellStyle name="Akcent 5 2 25 3" xfId="7274"/>
    <cellStyle name="Akcent 5 2 25 4" xfId="7275"/>
    <cellStyle name="Akcent 5 2 25 5" xfId="7276"/>
    <cellStyle name="Akcent 5 2 25 6" xfId="7277"/>
    <cellStyle name="Akcent 5 2 26" xfId="7278"/>
    <cellStyle name="Akcent 5 2 26 2" xfId="7279"/>
    <cellStyle name="Akcent 5 2 26 3" xfId="7280"/>
    <cellStyle name="Akcent 5 2 26 4" xfId="7281"/>
    <cellStyle name="Akcent 5 2 26 5" xfId="7282"/>
    <cellStyle name="Akcent 5 2 26 6" xfId="7283"/>
    <cellStyle name="Akcent 5 2 27" xfId="7284"/>
    <cellStyle name="Akcent 5 2 27 2" xfId="7285"/>
    <cellStyle name="Akcent 5 2 27 3" xfId="7286"/>
    <cellStyle name="Akcent 5 2 27 4" xfId="7287"/>
    <cellStyle name="Akcent 5 2 27 5" xfId="7288"/>
    <cellStyle name="Akcent 5 2 27 6" xfId="7289"/>
    <cellStyle name="Akcent 5 2 28" xfId="7290"/>
    <cellStyle name="Akcent 5 2 28 2" xfId="7291"/>
    <cellStyle name="Akcent 5 2 28 3" xfId="7292"/>
    <cellStyle name="Akcent 5 2 28 4" xfId="7293"/>
    <cellStyle name="Akcent 5 2 28 5" xfId="7294"/>
    <cellStyle name="Akcent 5 2 28 6" xfId="7295"/>
    <cellStyle name="Akcent 5 2 29" xfId="7296"/>
    <cellStyle name="Akcent 5 2 29 2" xfId="7297"/>
    <cellStyle name="Akcent 5 2 3" xfId="7298"/>
    <cellStyle name="Akcent 5 2 3 2" xfId="7299"/>
    <cellStyle name="Akcent 5 2 3 3" xfId="7300"/>
    <cellStyle name="Akcent 5 2 3 4" xfId="7301"/>
    <cellStyle name="Akcent 5 2 3 5" xfId="7302"/>
    <cellStyle name="Akcent 5 2 3 6" xfId="7303"/>
    <cellStyle name="Akcent 5 2 30" xfId="7304"/>
    <cellStyle name="Akcent 5 2 30 2" xfId="7305"/>
    <cellStyle name="Akcent 5 2 31" xfId="7306"/>
    <cellStyle name="Akcent 5 2 31 2" xfId="7307"/>
    <cellStyle name="Akcent 5 2 32" xfId="7308"/>
    <cellStyle name="Akcent 5 2 32 2" xfId="7309"/>
    <cellStyle name="Akcent 5 2 33" xfId="7310"/>
    <cellStyle name="Akcent 5 2 34" xfId="7311"/>
    <cellStyle name="Akcent 5 2 35" xfId="7312"/>
    <cellStyle name="Akcent 5 2 36" xfId="7313"/>
    <cellStyle name="Akcent 5 2 37" xfId="7314"/>
    <cellStyle name="Akcent 5 2 38" xfId="7315"/>
    <cellStyle name="Akcent 5 2 39" xfId="7316"/>
    <cellStyle name="Akcent 5 2 4" xfId="7317"/>
    <cellStyle name="Akcent 5 2 4 2" xfId="7318"/>
    <cellStyle name="Akcent 5 2 4 3" xfId="7319"/>
    <cellStyle name="Akcent 5 2 4 4" xfId="7320"/>
    <cellStyle name="Akcent 5 2 4 5" xfId="7321"/>
    <cellStyle name="Akcent 5 2 4 6" xfId="7322"/>
    <cellStyle name="Akcent 5 2 40" xfId="7323"/>
    <cellStyle name="Akcent 5 2 41" xfId="7324"/>
    <cellStyle name="Akcent 5 2 42" xfId="7325"/>
    <cellStyle name="Akcent 5 2 43" xfId="7326"/>
    <cellStyle name="Akcent 5 2 44" xfId="7327"/>
    <cellStyle name="Akcent 5 2 45" xfId="7328"/>
    <cellStyle name="Akcent 5 2 46" xfId="7329"/>
    <cellStyle name="Akcent 5 2 47" xfId="7330"/>
    <cellStyle name="Akcent 5 2 48" xfId="7331"/>
    <cellStyle name="Akcent 5 2 49" xfId="7332"/>
    <cellStyle name="Akcent 5 2 5" xfId="7333"/>
    <cellStyle name="Akcent 5 2 5 2" xfId="7334"/>
    <cellStyle name="Akcent 5 2 5 3" xfId="7335"/>
    <cellStyle name="Akcent 5 2 5 4" xfId="7336"/>
    <cellStyle name="Akcent 5 2 5 5" xfId="7337"/>
    <cellStyle name="Akcent 5 2 5 6" xfId="7338"/>
    <cellStyle name="Akcent 5 2 50" xfId="7339"/>
    <cellStyle name="Akcent 5 2 51" xfId="7340"/>
    <cellStyle name="Akcent 5 2 52" xfId="7341"/>
    <cellStyle name="Akcent 5 2 6" xfId="7342"/>
    <cellStyle name="Akcent 5 2 6 2" xfId="7343"/>
    <cellStyle name="Akcent 5 2 6 3" xfId="7344"/>
    <cellStyle name="Akcent 5 2 6 4" xfId="7345"/>
    <cellStyle name="Akcent 5 2 6 5" xfId="7346"/>
    <cellStyle name="Akcent 5 2 6 6" xfId="7347"/>
    <cellStyle name="Akcent 5 2 7" xfId="7348"/>
    <cellStyle name="Akcent 5 2 7 2" xfId="7349"/>
    <cellStyle name="Akcent 5 2 7 3" xfId="7350"/>
    <cellStyle name="Akcent 5 2 7 4" xfId="7351"/>
    <cellStyle name="Akcent 5 2 7 5" xfId="7352"/>
    <cellStyle name="Akcent 5 2 7 6" xfId="7353"/>
    <cellStyle name="Akcent 5 2 8" xfId="7354"/>
    <cellStyle name="Akcent 5 2 8 2" xfId="7355"/>
    <cellStyle name="Akcent 5 2 8 3" xfId="7356"/>
    <cellStyle name="Akcent 5 2 8 4" xfId="7357"/>
    <cellStyle name="Akcent 5 2 8 5" xfId="7358"/>
    <cellStyle name="Akcent 5 2 8 6" xfId="7359"/>
    <cellStyle name="Akcent 5 2 9" xfId="7360"/>
    <cellStyle name="Akcent 5 2 9 2" xfId="7361"/>
    <cellStyle name="Akcent 5 2 9 3" xfId="7362"/>
    <cellStyle name="Akcent 5 2 9 4" xfId="7363"/>
    <cellStyle name="Akcent 5 2 9 5" xfId="7364"/>
    <cellStyle name="Akcent 5 2 9 6" xfId="7365"/>
    <cellStyle name="Akcent 5 3" xfId="7366"/>
    <cellStyle name="Akcent 5 3 2" xfId="7367"/>
    <cellStyle name="Akcent 5 3 2 2" xfId="7368"/>
    <cellStyle name="Akcent 5 3 3" xfId="7369"/>
    <cellStyle name="Akcent 5 3 4" xfId="7370"/>
    <cellStyle name="Akcent 5 3 5" xfId="7371"/>
    <cellStyle name="Akcent 5 3 6" xfId="7372"/>
    <cellStyle name="Akcent 5 3 7" xfId="7373"/>
    <cellStyle name="Akcent 5 3 8" xfId="7374"/>
    <cellStyle name="Akcent 5 4" xfId="7375"/>
    <cellStyle name="Akcent 5 4 2" xfId="7376"/>
    <cellStyle name="Akcent 5 4 3" xfId="7377"/>
    <cellStyle name="Akcent 5 4 4" xfId="7378"/>
    <cellStyle name="Akcent 5 4 5" xfId="7379"/>
    <cellStyle name="Akcent 5 4 6" xfId="7380"/>
    <cellStyle name="Akcent 5 4 7" xfId="7381"/>
    <cellStyle name="Akcent 5 4 8" xfId="7382"/>
    <cellStyle name="Akcent 5 5" xfId="7383"/>
    <cellStyle name="Akcent 5 5 2" xfId="7384"/>
    <cellStyle name="Akcent 5 6" xfId="7385"/>
    <cellStyle name="Akcent 5 7" xfId="7386"/>
    <cellStyle name="Akcent 6 2" xfId="7387"/>
    <cellStyle name="Akcent 6 2 10" xfId="7388"/>
    <cellStyle name="Akcent 6 2 10 2" xfId="7389"/>
    <cellStyle name="Akcent 6 2 10 3" xfId="7390"/>
    <cellStyle name="Akcent 6 2 10 4" xfId="7391"/>
    <cellStyle name="Akcent 6 2 10 5" xfId="7392"/>
    <cellStyle name="Akcent 6 2 10 6" xfId="7393"/>
    <cellStyle name="Akcent 6 2 11" xfId="7394"/>
    <cellStyle name="Akcent 6 2 11 2" xfId="7395"/>
    <cellStyle name="Akcent 6 2 11 3" xfId="7396"/>
    <cellStyle name="Akcent 6 2 11 4" xfId="7397"/>
    <cellStyle name="Akcent 6 2 11 5" xfId="7398"/>
    <cellStyle name="Akcent 6 2 11 6" xfId="7399"/>
    <cellStyle name="Akcent 6 2 12" xfId="7400"/>
    <cellStyle name="Akcent 6 2 12 2" xfId="7401"/>
    <cellStyle name="Akcent 6 2 12 3" xfId="7402"/>
    <cellStyle name="Akcent 6 2 12 4" xfId="7403"/>
    <cellStyle name="Akcent 6 2 12 5" xfId="7404"/>
    <cellStyle name="Akcent 6 2 12 6" xfId="7405"/>
    <cellStyle name="Akcent 6 2 13" xfId="7406"/>
    <cellStyle name="Akcent 6 2 13 2" xfId="7407"/>
    <cellStyle name="Akcent 6 2 13 3" xfId="7408"/>
    <cellStyle name="Akcent 6 2 13 4" xfId="7409"/>
    <cellStyle name="Akcent 6 2 13 5" xfId="7410"/>
    <cellStyle name="Akcent 6 2 13 6" xfId="7411"/>
    <cellStyle name="Akcent 6 2 14" xfId="7412"/>
    <cellStyle name="Akcent 6 2 14 2" xfId="7413"/>
    <cellStyle name="Akcent 6 2 14 3" xfId="7414"/>
    <cellStyle name="Akcent 6 2 14 4" xfId="7415"/>
    <cellStyle name="Akcent 6 2 14 5" xfId="7416"/>
    <cellStyle name="Akcent 6 2 14 6" xfId="7417"/>
    <cellStyle name="Akcent 6 2 15" xfId="7418"/>
    <cellStyle name="Akcent 6 2 15 2" xfId="7419"/>
    <cellStyle name="Akcent 6 2 15 3" xfId="7420"/>
    <cellStyle name="Akcent 6 2 15 4" xfId="7421"/>
    <cellStyle name="Akcent 6 2 15 5" xfId="7422"/>
    <cellStyle name="Akcent 6 2 15 6" xfId="7423"/>
    <cellStyle name="Akcent 6 2 16" xfId="7424"/>
    <cellStyle name="Akcent 6 2 16 2" xfId="7425"/>
    <cellStyle name="Akcent 6 2 16 3" xfId="7426"/>
    <cellStyle name="Akcent 6 2 16 4" xfId="7427"/>
    <cellStyle name="Akcent 6 2 16 5" xfId="7428"/>
    <cellStyle name="Akcent 6 2 16 6" xfId="7429"/>
    <cellStyle name="Akcent 6 2 17" xfId="7430"/>
    <cellStyle name="Akcent 6 2 17 2" xfId="7431"/>
    <cellStyle name="Akcent 6 2 17 3" xfId="7432"/>
    <cellStyle name="Akcent 6 2 17 4" xfId="7433"/>
    <cellStyle name="Akcent 6 2 17 5" xfId="7434"/>
    <cellStyle name="Akcent 6 2 17 6" xfId="7435"/>
    <cellStyle name="Akcent 6 2 18" xfId="7436"/>
    <cellStyle name="Akcent 6 2 18 2" xfId="7437"/>
    <cellStyle name="Akcent 6 2 18 3" xfId="7438"/>
    <cellStyle name="Akcent 6 2 18 4" xfId="7439"/>
    <cellStyle name="Akcent 6 2 18 5" xfId="7440"/>
    <cellStyle name="Akcent 6 2 18 6" xfId="7441"/>
    <cellStyle name="Akcent 6 2 19" xfId="7442"/>
    <cellStyle name="Akcent 6 2 19 2" xfId="7443"/>
    <cellStyle name="Akcent 6 2 19 3" xfId="7444"/>
    <cellStyle name="Akcent 6 2 19 4" xfId="7445"/>
    <cellStyle name="Akcent 6 2 19 5" xfId="7446"/>
    <cellStyle name="Akcent 6 2 19 6" xfId="7447"/>
    <cellStyle name="Akcent 6 2 2" xfId="7448"/>
    <cellStyle name="Akcent 6 2 2 2" xfId="7449"/>
    <cellStyle name="Akcent 6 2 2 3" xfId="7450"/>
    <cellStyle name="Akcent 6 2 2 4" xfId="7451"/>
    <cellStyle name="Akcent 6 2 2 5" xfId="7452"/>
    <cellStyle name="Akcent 6 2 2 6" xfId="7453"/>
    <cellStyle name="Akcent 6 2 2 7" xfId="7454"/>
    <cellStyle name="Akcent 6 2 20" xfId="7455"/>
    <cellStyle name="Akcent 6 2 20 2" xfId="7456"/>
    <cellStyle name="Akcent 6 2 20 3" xfId="7457"/>
    <cellStyle name="Akcent 6 2 20 4" xfId="7458"/>
    <cellStyle name="Akcent 6 2 20 5" xfId="7459"/>
    <cellStyle name="Akcent 6 2 20 6" xfId="7460"/>
    <cellStyle name="Akcent 6 2 21" xfId="7461"/>
    <cellStyle name="Akcent 6 2 21 2" xfId="7462"/>
    <cellStyle name="Akcent 6 2 21 3" xfId="7463"/>
    <cellStyle name="Akcent 6 2 21 4" xfId="7464"/>
    <cellStyle name="Akcent 6 2 21 5" xfId="7465"/>
    <cellStyle name="Akcent 6 2 21 6" xfId="7466"/>
    <cellStyle name="Akcent 6 2 22" xfId="7467"/>
    <cellStyle name="Akcent 6 2 22 2" xfId="7468"/>
    <cellStyle name="Akcent 6 2 22 3" xfId="7469"/>
    <cellStyle name="Akcent 6 2 22 4" xfId="7470"/>
    <cellStyle name="Akcent 6 2 22 5" xfId="7471"/>
    <cellStyle name="Akcent 6 2 22 6" xfId="7472"/>
    <cellStyle name="Akcent 6 2 23" xfId="7473"/>
    <cellStyle name="Akcent 6 2 23 2" xfId="7474"/>
    <cellStyle name="Akcent 6 2 23 3" xfId="7475"/>
    <cellStyle name="Akcent 6 2 23 4" xfId="7476"/>
    <cellStyle name="Akcent 6 2 23 5" xfId="7477"/>
    <cellStyle name="Akcent 6 2 23 6" xfId="7478"/>
    <cellStyle name="Akcent 6 2 24" xfId="7479"/>
    <cellStyle name="Akcent 6 2 24 2" xfId="7480"/>
    <cellStyle name="Akcent 6 2 24 3" xfId="7481"/>
    <cellStyle name="Akcent 6 2 24 4" xfId="7482"/>
    <cellStyle name="Akcent 6 2 24 5" xfId="7483"/>
    <cellStyle name="Akcent 6 2 24 6" xfId="7484"/>
    <cellStyle name="Akcent 6 2 25" xfId="7485"/>
    <cellStyle name="Akcent 6 2 25 2" xfId="7486"/>
    <cellStyle name="Akcent 6 2 25 3" xfId="7487"/>
    <cellStyle name="Akcent 6 2 25 4" xfId="7488"/>
    <cellStyle name="Akcent 6 2 25 5" xfId="7489"/>
    <cellStyle name="Akcent 6 2 25 6" xfId="7490"/>
    <cellStyle name="Akcent 6 2 26" xfId="7491"/>
    <cellStyle name="Akcent 6 2 26 2" xfId="7492"/>
    <cellStyle name="Akcent 6 2 26 3" xfId="7493"/>
    <cellStyle name="Akcent 6 2 26 4" xfId="7494"/>
    <cellStyle name="Akcent 6 2 26 5" xfId="7495"/>
    <cellStyle name="Akcent 6 2 26 6" xfId="7496"/>
    <cellStyle name="Akcent 6 2 27" xfId="7497"/>
    <cellStyle name="Akcent 6 2 27 2" xfId="7498"/>
    <cellStyle name="Akcent 6 2 27 3" xfId="7499"/>
    <cellStyle name="Akcent 6 2 27 4" xfId="7500"/>
    <cellStyle name="Akcent 6 2 27 5" xfId="7501"/>
    <cellStyle name="Akcent 6 2 27 6" xfId="7502"/>
    <cellStyle name="Akcent 6 2 28" xfId="7503"/>
    <cellStyle name="Akcent 6 2 28 2" xfId="7504"/>
    <cellStyle name="Akcent 6 2 28 3" xfId="7505"/>
    <cellStyle name="Akcent 6 2 28 4" xfId="7506"/>
    <cellStyle name="Akcent 6 2 28 5" xfId="7507"/>
    <cellStyle name="Akcent 6 2 28 6" xfId="7508"/>
    <cellStyle name="Akcent 6 2 29" xfId="7509"/>
    <cellStyle name="Akcent 6 2 29 2" xfId="7510"/>
    <cellStyle name="Akcent 6 2 3" xfId="7511"/>
    <cellStyle name="Akcent 6 2 3 2" xfId="7512"/>
    <cellStyle name="Akcent 6 2 3 3" xfId="7513"/>
    <cellStyle name="Akcent 6 2 3 4" xfId="7514"/>
    <cellStyle name="Akcent 6 2 3 5" xfId="7515"/>
    <cellStyle name="Akcent 6 2 3 6" xfId="7516"/>
    <cellStyle name="Akcent 6 2 30" xfId="7517"/>
    <cellStyle name="Akcent 6 2 30 2" xfId="7518"/>
    <cellStyle name="Akcent 6 2 31" xfId="7519"/>
    <cellStyle name="Akcent 6 2 31 2" xfId="7520"/>
    <cellStyle name="Akcent 6 2 32" xfId="7521"/>
    <cellStyle name="Akcent 6 2 32 2" xfId="7522"/>
    <cellStyle name="Akcent 6 2 33" xfId="7523"/>
    <cellStyle name="Akcent 6 2 34" xfId="7524"/>
    <cellStyle name="Akcent 6 2 35" xfId="7525"/>
    <cellStyle name="Akcent 6 2 36" xfId="7526"/>
    <cellStyle name="Akcent 6 2 37" xfId="7527"/>
    <cellStyle name="Akcent 6 2 38" xfId="7528"/>
    <cellStyle name="Akcent 6 2 39" xfId="7529"/>
    <cellStyle name="Akcent 6 2 4" xfId="7530"/>
    <cellStyle name="Akcent 6 2 4 2" xfId="7531"/>
    <cellStyle name="Akcent 6 2 4 3" xfId="7532"/>
    <cellStyle name="Akcent 6 2 4 4" xfId="7533"/>
    <cellStyle name="Akcent 6 2 4 5" xfId="7534"/>
    <cellStyle name="Akcent 6 2 4 6" xfId="7535"/>
    <cellStyle name="Akcent 6 2 40" xfId="7536"/>
    <cellStyle name="Akcent 6 2 41" xfId="7537"/>
    <cellStyle name="Akcent 6 2 42" xfId="7538"/>
    <cellStyle name="Akcent 6 2 43" xfId="7539"/>
    <cellStyle name="Akcent 6 2 44" xfId="7540"/>
    <cellStyle name="Akcent 6 2 45" xfId="7541"/>
    <cellStyle name="Akcent 6 2 46" xfId="7542"/>
    <cellStyle name="Akcent 6 2 47" xfId="7543"/>
    <cellStyle name="Akcent 6 2 48" xfId="7544"/>
    <cellStyle name="Akcent 6 2 49" xfId="7545"/>
    <cellStyle name="Akcent 6 2 5" xfId="7546"/>
    <cellStyle name="Akcent 6 2 5 2" xfId="7547"/>
    <cellStyle name="Akcent 6 2 5 3" xfId="7548"/>
    <cellStyle name="Akcent 6 2 5 4" xfId="7549"/>
    <cellStyle name="Akcent 6 2 5 5" xfId="7550"/>
    <cellStyle name="Akcent 6 2 5 6" xfId="7551"/>
    <cellStyle name="Akcent 6 2 50" xfId="7552"/>
    <cellStyle name="Akcent 6 2 51" xfId="7553"/>
    <cellStyle name="Akcent 6 2 52" xfId="7554"/>
    <cellStyle name="Akcent 6 2 6" xfId="7555"/>
    <cellStyle name="Akcent 6 2 6 2" xfId="7556"/>
    <cellStyle name="Akcent 6 2 6 3" xfId="7557"/>
    <cellStyle name="Akcent 6 2 6 4" xfId="7558"/>
    <cellStyle name="Akcent 6 2 6 5" xfId="7559"/>
    <cellStyle name="Akcent 6 2 6 6" xfId="7560"/>
    <cellStyle name="Akcent 6 2 7" xfId="7561"/>
    <cellStyle name="Akcent 6 2 7 2" xfId="7562"/>
    <cellStyle name="Akcent 6 2 7 3" xfId="7563"/>
    <cellStyle name="Akcent 6 2 7 4" xfId="7564"/>
    <cellStyle name="Akcent 6 2 7 5" xfId="7565"/>
    <cellStyle name="Akcent 6 2 7 6" xfId="7566"/>
    <cellStyle name="Akcent 6 2 8" xfId="7567"/>
    <cellStyle name="Akcent 6 2 8 2" xfId="7568"/>
    <cellStyle name="Akcent 6 2 8 3" xfId="7569"/>
    <cellStyle name="Akcent 6 2 8 4" xfId="7570"/>
    <cellStyle name="Akcent 6 2 8 5" xfId="7571"/>
    <cellStyle name="Akcent 6 2 8 6" xfId="7572"/>
    <cellStyle name="Akcent 6 2 9" xfId="7573"/>
    <cellStyle name="Akcent 6 2 9 2" xfId="7574"/>
    <cellStyle name="Akcent 6 2 9 3" xfId="7575"/>
    <cellStyle name="Akcent 6 2 9 4" xfId="7576"/>
    <cellStyle name="Akcent 6 2 9 5" xfId="7577"/>
    <cellStyle name="Akcent 6 2 9 6" xfId="7578"/>
    <cellStyle name="Akcent 6 3" xfId="7579"/>
    <cellStyle name="Akcent 6 3 2" xfId="7580"/>
    <cellStyle name="Akcent 6 3 2 2" xfId="7581"/>
    <cellStyle name="Akcent 6 3 3" xfId="7582"/>
    <cellStyle name="Akcent 6 3 4" xfId="7583"/>
    <cellStyle name="Akcent 6 3 5" xfId="7584"/>
    <cellStyle name="Akcent 6 3 6" xfId="7585"/>
    <cellStyle name="Akcent 6 3 7" xfId="7586"/>
    <cellStyle name="Akcent 6 3 8" xfId="7587"/>
    <cellStyle name="Akcent 6 4" xfId="7588"/>
    <cellStyle name="Akcent 6 4 2" xfId="7589"/>
    <cellStyle name="Akcent 6 4 3" xfId="7590"/>
    <cellStyle name="Akcent 6 4 4" xfId="7591"/>
    <cellStyle name="Akcent 6 4 5" xfId="7592"/>
    <cellStyle name="Akcent 6 4 6" xfId="7593"/>
    <cellStyle name="Akcent 6 4 7" xfId="7594"/>
    <cellStyle name="Akcent 6 4 8" xfId="7595"/>
    <cellStyle name="Akcent 6 5" xfId="7596"/>
    <cellStyle name="Akcent 6 5 2" xfId="7597"/>
    <cellStyle name="Akcent 6 6" xfId="7598"/>
    <cellStyle name="Akcent 6 7" xfId="7599"/>
    <cellStyle name="Calc Currency (0)" xfId="7600"/>
    <cellStyle name="Comma 2" xfId="7601"/>
    <cellStyle name="Dane wejściowe 2" xfId="7602"/>
    <cellStyle name="Dane wejściowe 2 10" xfId="7603"/>
    <cellStyle name="Dane wejściowe 2 10 10" xfId="7604"/>
    <cellStyle name="Dane wejściowe 2 10 10 2" xfId="7605"/>
    <cellStyle name="Dane wejściowe 2 10 10 3" xfId="7606"/>
    <cellStyle name="Dane wejściowe 2 10 11" xfId="7607"/>
    <cellStyle name="Dane wejściowe 2 10 11 2" xfId="7608"/>
    <cellStyle name="Dane wejściowe 2 10 11 3" xfId="7609"/>
    <cellStyle name="Dane wejściowe 2 10 12" xfId="7610"/>
    <cellStyle name="Dane wejściowe 2 10 12 2" xfId="7611"/>
    <cellStyle name="Dane wejściowe 2 10 12 3" xfId="7612"/>
    <cellStyle name="Dane wejściowe 2 10 13" xfId="7613"/>
    <cellStyle name="Dane wejściowe 2 10 13 2" xfId="7614"/>
    <cellStyle name="Dane wejściowe 2 10 13 3" xfId="7615"/>
    <cellStyle name="Dane wejściowe 2 10 14" xfId="7616"/>
    <cellStyle name="Dane wejściowe 2 10 14 2" xfId="7617"/>
    <cellStyle name="Dane wejściowe 2 10 14 3" xfId="7618"/>
    <cellStyle name="Dane wejściowe 2 10 15" xfId="7619"/>
    <cellStyle name="Dane wejściowe 2 10 15 2" xfId="7620"/>
    <cellStyle name="Dane wejściowe 2 10 15 3" xfId="7621"/>
    <cellStyle name="Dane wejściowe 2 10 16" xfId="7622"/>
    <cellStyle name="Dane wejściowe 2 10 16 2" xfId="7623"/>
    <cellStyle name="Dane wejściowe 2 10 16 3" xfId="7624"/>
    <cellStyle name="Dane wejściowe 2 10 17" xfId="7625"/>
    <cellStyle name="Dane wejściowe 2 10 17 2" xfId="7626"/>
    <cellStyle name="Dane wejściowe 2 10 17 3" xfId="7627"/>
    <cellStyle name="Dane wejściowe 2 10 18" xfId="7628"/>
    <cellStyle name="Dane wejściowe 2 10 18 2" xfId="7629"/>
    <cellStyle name="Dane wejściowe 2 10 18 3" xfId="7630"/>
    <cellStyle name="Dane wejściowe 2 10 19" xfId="7631"/>
    <cellStyle name="Dane wejściowe 2 10 19 2" xfId="7632"/>
    <cellStyle name="Dane wejściowe 2 10 19 3" xfId="7633"/>
    <cellStyle name="Dane wejściowe 2 10 2" xfId="7634"/>
    <cellStyle name="Dane wejściowe 2 10 2 2" xfId="7635"/>
    <cellStyle name="Dane wejściowe 2 10 2 3" xfId="7636"/>
    <cellStyle name="Dane wejściowe 2 10 20" xfId="7637"/>
    <cellStyle name="Dane wejściowe 2 10 20 2" xfId="7638"/>
    <cellStyle name="Dane wejściowe 2 10 20 3" xfId="7639"/>
    <cellStyle name="Dane wejściowe 2 10 21" xfId="7640"/>
    <cellStyle name="Dane wejściowe 2 10 21 2" xfId="7641"/>
    <cellStyle name="Dane wejściowe 2 10 21 3" xfId="7642"/>
    <cellStyle name="Dane wejściowe 2 10 22" xfId="7643"/>
    <cellStyle name="Dane wejściowe 2 10 22 2" xfId="7644"/>
    <cellStyle name="Dane wejściowe 2 10 22 3" xfId="7645"/>
    <cellStyle name="Dane wejściowe 2 10 23" xfId="7646"/>
    <cellStyle name="Dane wejściowe 2 10 23 2" xfId="7647"/>
    <cellStyle name="Dane wejściowe 2 10 23 3" xfId="7648"/>
    <cellStyle name="Dane wejściowe 2 10 24" xfId="7649"/>
    <cellStyle name="Dane wejściowe 2 10 24 2" xfId="7650"/>
    <cellStyle name="Dane wejściowe 2 10 24 3" xfId="7651"/>
    <cellStyle name="Dane wejściowe 2 10 25" xfId="7652"/>
    <cellStyle name="Dane wejściowe 2 10 25 2" xfId="7653"/>
    <cellStyle name="Dane wejściowe 2 10 25 3" xfId="7654"/>
    <cellStyle name="Dane wejściowe 2 10 26" xfId="7655"/>
    <cellStyle name="Dane wejściowe 2 10 26 2" xfId="7656"/>
    <cellStyle name="Dane wejściowe 2 10 26 3" xfId="7657"/>
    <cellStyle name="Dane wejściowe 2 10 27" xfId="7658"/>
    <cellStyle name="Dane wejściowe 2 10 27 2" xfId="7659"/>
    <cellStyle name="Dane wejściowe 2 10 27 3" xfId="7660"/>
    <cellStyle name="Dane wejściowe 2 10 28" xfId="7661"/>
    <cellStyle name="Dane wejściowe 2 10 28 2" xfId="7662"/>
    <cellStyle name="Dane wejściowe 2 10 28 3" xfId="7663"/>
    <cellStyle name="Dane wejściowe 2 10 29" xfId="7664"/>
    <cellStyle name="Dane wejściowe 2 10 29 2" xfId="7665"/>
    <cellStyle name="Dane wejściowe 2 10 29 3" xfId="7666"/>
    <cellStyle name="Dane wejściowe 2 10 3" xfId="7667"/>
    <cellStyle name="Dane wejściowe 2 10 3 2" xfId="7668"/>
    <cellStyle name="Dane wejściowe 2 10 3 3" xfId="7669"/>
    <cellStyle name="Dane wejściowe 2 10 30" xfId="7670"/>
    <cellStyle name="Dane wejściowe 2 10 30 2" xfId="7671"/>
    <cellStyle name="Dane wejściowe 2 10 30 3" xfId="7672"/>
    <cellStyle name="Dane wejściowe 2 10 31" xfId="7673"/>
    <cellStyle name="Dane wejściowe 2 10 31 2" xfId="7674"/>
    <cellStyle name="Dane wejściowe 2 10 31 3" xfId="7675"/>
    <cellStyle name="Dane wejściowe 2 10 32" xfId="7676"/>
    <cellStyle name="Dane wejściowe 2 10 32 2" xfId="7677"/>
    <cellStyle name="Dane wejściowe 2 10 32 3" xfId="7678"/>
    <cellStyle name="Dane wejściowe 2 10 33" xfId="7679"/>
    <cellStyle name="Dane wejściowe 2 10 33 2" xfId="7680"/>
    <cellStyle name="Dane wejściowe 2 10 33 3" xfId="7681"/>
    <cellStyle name="Dane wejściowe 2 10 34" xfId="7682"/>
    <cellStyle name="Dane wejściowe 2 10 34 2" xfId="7683"/>
    <cellStyle name="Dane wejściowe 2 10 34 3" xfId="7684"/>
    <cellStyle name="Dane wejściowe 2 10 35" xfId="7685"/>
    <cellStyle name="Dane wejściowe 2 10 35 2" xfId="7686"/>
    <cellStyle name="Dane wejściowe 2 10 35 3" xfId="7687"/>
    <cellStyle name="Dane wejściowe 2 10 36" xfId="7688"/>
    <cellStyle name="Dane wejściowe 2 10 36 2" xfId="7689"/>
    <cellStyle name="Dane wejściowe 2 10 36 3" xfId="7690"/>
    <cellStyle name="Dane wejściowe 2 10 37" xfId="7691"/>
    <cellStyle name="Dane wejściowe 2 10 37 2" xfId="7692"/>
    <cellStyle name="Dane wejściowe 2 10 37 3" xfId="7693"/>
    <cellStyle name="Dane wejściowe 2 10 38" xfId="7694"/>
    <cellStyle name="Dane wejściowe 2 10 38 2" xfId="7695"/>
    <cellStyle name="Dane wejściowe 2 10 38 3" xfId="7696"/>
    <cellStyle name="Dane wejściowe 2 10 39" xfId="7697"/>
    <cellStyle name="Dane wejściowe 2 10 39 2" xfId="7698"/>
    <cellStyle name="Dane wejściowe 2 10 39 3" xfId="7699"/>
    <cellStyle name="Dane wejściowe 2 10 4" xfId="7700"/>
    <cellStyle name="Dane wejściowe 2 10 4 2" xfId="7701"/>
    <cellStyle name="Dane wejściowe 2 10 4 3" xfId="7702"/>
    <cellStyle name="Dane wejściowe 2 10 40" xfId="7703"/>
    <cellStyle name="Dane wejściowe 2 10 40 2" xfId="7704"/>
    <cellStyle name="Dane wejściowe 2 10 40 3" xfId="7705"/>
    <cellStyle name="Dane wejściowe 2 10 41" xfId="7706"/>
    <cellStyle name="Dane wejściowe 2 10 41 2" xfId="7707"/>
    <cellStyle name="Dane wejściowe 2 10 41 3" xfId="7708"/>
    <cellStyle name="Dane wejściowe 2 10 42" xfId="7709"/>
    <cellStyle name="Dane wejściowe 2 10 42 2" xfId="7710"/>
    <cellStyle name="Dane wejściowe 2 10 42 3" xfId="7711"/>
    <cellStyle name="Dane wejściowe 2 10 43" xfId="7712"/>
    <cellStyle name="Dane wejściowe 2 10 43 2" xfId="7713"/>
    <cellStyle name="Dane wejściowe 2 10 43 3" xfId="7714"/>
    <cellStyle name="Dane wejściowe 2 10 44" xfId="7715"/>
    <cellStyle name="Dane wejściowe 2 10 44 2" xfId="7716"/>
    <cellStyle name="Dane wejściowe 2 10 44 3" xfId="7717"/>
    <cellStyle name="Dane wejściowe 2 10 45" xfId="7718"/>
    <cellStyle name="Dane wejściowe 2 10 45 2" xfId="7719"/>
    <cellStyle name="Dane wejściowe 2 10 45 3" xfId="7720"/>
    <cellStyle name="Dane wejściowe 2 10 46" xfId="7721"/>
    <cellStyle name="Dane wejściowe 2 10 46 2" xfId="7722"/>
    <cellStyle name="Dane wejściowe 2 10 46 3" xfId="7723"/>
    <cellStyle name="Dane wejściowe 2 10 47" xfId="7724"/>
    <cellStyle name="Dane wejściowe 2 10 47 2" xfId="7725"/>
    <cellStyle name="Dane wejściowe 2 10 47 3" xfId="7726"/>
    <cellStyle name="Dane wejściowe 2 10 48" xfId="7727"/>
    <cellStyle name="Dane wejściowe 2 10 48 2" xfId="7728"/>
    <cellStyle name="Dane wejściowe 2 10 48 3" xfId="7729"/>
    <cellStyle name="Dane wejściowe 2 10 49" xfId="7730"/>
    <cellStyle name="Dane wejściowe 2 10 49 2" xfId="7731"/>
    <cellStyle name="Dane wejściowe 2 10 49 3" xfId="7732"/>
    <cellStyle name="Dane wejściowe 2 10 5" xfId="7733"/>
    <cellStyle name="Dane wejściowe 2 10 5 2" xfId="7734"/>
    <cellStyle name="Dane wejściowe 2 10 5 3" xfId="7735"/>
    <cellStyle name="Dane wejściowe 2 10 50" xfId="7736"/>
    <cellStyle name="Dane wejściowe 2 10 50 2" xfId="7737"/>
    <cellStyle name="Dane wejściowe 2 10 50 3" xfId="7738"/>
    <cellStyle name="Dane wejściowe 2 10 51" xfId="7739"/>
    <cellStyle name="Dane wejściowe 2 10 51 2" xfId="7740"/>
    <cellStyle name="Dane wejściowe 2 10 51 3" xfId="7741"/>
    <cellStyle name="Dane wejściowe 2 10 52" xfId="7742"/>
    <cellStyle name="Dane wejściowe 2 10 52 2" xfId="7743"/>
    <cellStyle name="Dane wejściowe 2 10 52 3" xfId="7744"/>
    <cellStyle name="Dane wejściowe 2 10 53" xfId="7745"/>
    <cellStyle name="Dane wejściowe 2 10 53 2" xfId="7746"/>
    <cellStyle name="Dane wejściowe 2 10 53 3" xfId="7747"/>
    <cellStyle name="Dane wejściowe 2 10 54" xfId="7748"/>
    <cellStyle name="Dane wejściowe 2 10 54 2" xfId="7749"/>
    <cellStyle name="Dane wejściowe 2 10 54 3" xfId="7750"/>
    <cellStyle name="Dane wejściowe 2 10 55" xfId="7751"/>
    <cellStyle name="Dane wejściowe 2 10 55 2" xfId="7752"/>
    <cellStyle name="Dane wejściowe 2 10 55 3" xfId="7753"/>
    <cellStyle name="Dane wejściowe 2 10 56" xfId="7754"/>
    <cellStyle name="Dane wejściowe 2 10 56 2" xfId="7755"/>
    <cellStyle name="Dane wejściowe 2 10 56 3" xfId="7756"/>
    <cellStyle name="Dane wejściowe 2 10 57" xfId="7757"/>
    <cellStyle name="Dane wejściowe 2 10 58" xfId="7758"/>
    <cellStyle name="Dane wejściowe 2 10 6" xfId="7759"/>
    <cellStyle name="Dane wejściowe 2 10 6 2" xfId="7760"/>
    <cellStyle name="Dane wejściowe 2 10 6 3" xfId="7761"/>
    <cellStyle name="Dane wejściowe 2 10 7" xfId="7762"/>
    <cellStyle name="Dane wejściowe 2 10 7 2" xfId="7763"/>
    <cellStyle name="Dane wejściowe 2 10 7 3" xfId="7764"/>
    <cellStyle name="Dane wejściowe 2 10 8" xfId="7765"/>
    <cellStyle name="Dane wejściowe 2 10 8 2" xfId="7766"/>
    <cellStyle name="Dane wejściowe 2 10 8 3" xfId="7767"/>
    <cellStyle name="Dane wejściowe 2 10 9" xfId="7768"/>
    <cellStyle name="Dane wejściowe 2 10 9 2" xfId="7769"/>
    <cellStyle name="Dane wejściowe 2 10 9 3" xfId="7770"/>
    <cellStyle name="Dane wejściowe 2 11" xfId="7771"/>
    <cellStyle name="Dane wejściowe 2 11 10" xfId="7772"/>
    <cellStyle name="Dane wejściowe 2 11 10 2" xfId="7773"/>
    <cellStyle name="Dane wejściowe 2 11 10 3" xfId="7774"/>
    <cellStyle name="Dane wejściowe 2 11 11" xfId="7775"/>
    <cellStyle name="Dane wejściowe 2 11 11 2" xfId="7776"/>
    <cellStyle name="Dane wejściowe 2 11 11 3" xfId="7777"/>
    <cellStyle name="Dane wejściowe 2 11 12" xfId="7778"/>
    <cellStyle name="Dane wejściowe 2 11 12 2" xfId="7779"/>
    <cellStyle name="Dane wejściowe 2 11 12 3" xfId="7780"/>
    <cellStyle name="Dane wejściowe 2 11 13" xfId="7781"/>
    <cellStyle name="Dane wejściowe 2 11 13 2" xfId="7782"/>
    <cellStyle name="Dane wejściowe 2 11 13 3" xfId="7783"/>
    <cellStyle name="Dane wejściowe 2 11 14" xfId="7784"/>
    <cellStyle name="Dane wejściowe 2 11 14 2" xfId="7785"/>
    <cellStyle name="Dane wejściowe 2 11 14 3" xfId="7786"/>
    <cellStyle name="Dane wejściowe 2 11 15" xfId="7787"/>
    <cellStyle name="Dane wejściowe 2 11 15 2" xfId="7788"/>
    <cellStyle name="Dane wejściowe 2 11 15 3" xfId="7789"/>
    <cellStyle name="Dane wejściowe 2 11 16" xfId="7790"/>
    <cellStyle name="Dane wejściowe 2 11 16 2" xfId="7791"/>
    <cellStyle name="Dane wejściowe 2 11 16 3" xfId="7792"/>
    <cellStyle name="Dane wejściowe 2 11 17" xfId="7793"/>
    <cellStyle name="Dane wejściowe 2 11 17 2" xfId="7794"/>
    <cellStyle name="Dane wejściowe 2 11 17 3" xfId="7795"/>
    <cellStyle name="Dane wejściowe 2 11 18" xfId="7796"/>
    <cellStyle name="Dane wejściowe 2 11 18 2" xfId="7797"/>
    <cellStyle name="Dane wejściowe 2 11 18 3" xfId="7798"/>
    <cellStyle name="Dane wejściowe 2 11 19" xfId="7799"/>
    <cellStyle name="Dane wejściowe 2 11 19 2" xfId="7800"/>
    <cellStyle name="Dane wejściowe 2 11 19 3" xfId="7801"/>
    <cellStyle name="Dane wejściowe 2 11 2" xfId="7802"/>
    <cellStyle name="Dane wejściowe 2 11 2 2" xfId="7803"/>
    <cellStyle name="Dane wejściowe 2 11 2 3" xfId="7804"/>
    <cellStyle name="Dane wejściowe 2 11 20" xfId="7805"/>
    <cellStyle name="Dane wejściowe 2 11 20 2" xfId="7806"/>
    <cellStyle name="Dane wejściowe 2 11 20 3" xfId="7807"/>
    <cellStyle name="Dane wejściowe 2 11 21" xfId="7808"/>
    <cellStyle name="Dane wejściowe 2 11 21 2" xfId="7809"/>
    <cellStyle name="Dane wejściowe 2 11 21 3" xfId="7810"/>
    <cellStyle name="Dane wejściowe 2 11 22" xfId="7811"/>
    <cellStyle name="Dane wejściowe 2 11 22 2" xfId="7812"/>
    <cellStyle name="Dane wejściowe 2 11 22 3" xfId="7813"/>
    <cellStyle name="Dane wejściowe 2 11 23" xfId="7814"/>
    <cellStyle name="Dane wejściowe 2 11 23 2" xfId="7815"/>
    <cellStyle name="Dane wejściowe 2 11 23 3" xfId="7816"/>
    <cellStyle name="Dane wejściowe 2 11 24" xfId="7817"/>
    <cellStyle name="Dane wejściowe 2 11 24 2" xfId="7818"/>
    <cellStyle name="Dane wejściowe 2 11 24 3" xfId="7819"/>
    <cellStyle name="Dane wejściowe 2 11 25" xfId="7820"/>
    <cellStyle name="Dane wejściowe 2 11 25 2" xfId="7821"/>
    <cellStyle name="Dane wejściowe 2 11 25 3" xfId="7822"/>
    <cellStyle name="Dane wejściowe 2 11 26" xfId="7823"/>
    <cellStyle name="Dane wejściowe 2 11 26 2" xfId="7824"/>
    <cellStyle name="Dane wejściowe 2 11 26 3" xfId="7825"/>
    <cellStyle name="Dane wejściowe 2 11 27" xfId="7826"/>
    <cellStyle name="Dane wejściowe 2 11 27 2" xfId="7827"/>
    <cellStyle name="Dane wejściowe 2 11 27 3" xfId="7828"/>
    <cellStyle name="Dane wejściowe 2 11 28" xfId="7829"/>
    <cellStyle name="Dane wejściowe 2 11 28 2" xfId="7830"/>
    <cellStyle name="Dane wejściowe 2 11 28 3" xfId="7831"/>
    <cellStyle name="Dane wejściowe 2 11 29" xfId="7832"/>
    <cellStyle name="Dane wejściowe 2 11 29 2" xfId="7833"/>
    <cellStyle name="Dane wejściowe 2 11 29 3" xfId="7834"/>
    <cellStyle name="Dane wejściowe 2 11 3" xfId="7835"/>
    <cellStyle name="Dane wejściowe 2 11 3 2" xfId="7836"/>
    <cellStyle name="Dane wejściowe 2 11 3 3" xfId="7837"/>
    <cellStyle name="Dane wejściowe 2 11 30" xfId="7838"/>
    <cellStyle name="Dane wejściowe 2 11 30 2" xfId="7839"/>
    <cellStyle name="Dane wejściowe 2 11 30 3" xfId="7840"/>
    <cellStyle name="Dane wejściowe 2 11 31" xfId="7841"/>
    <cellStyle name="Dane wejściowe 2 11 31 2" xfId="7842"/>
    <cellStyle name="Dane wejściowe 2 11 31 3" xfId="7843"/>
    <cellStyle name="Dane wejściowe 2 11 32" xfId="7844"/>
    <cellStyle name="Dane wejściowe 2 11 32 2" xfId="7845"/>
    <cellStyle name="Dane wejściowe 2 11 32 3" xfId="7846"/>
    <cellStyle name="Dane wejściowe 2 11 33" xfId="7847"/>
    <cellStyle name="Dane wejściowe 2 11 33 2" xfId="7848"/>
    <cellStyle name="Dane wejściowe 2 11 33 3" xfId="7849"/>
    <cellStyle name="Dane wejściowe 2 11 34" xfId="7850"/>
    <cellStyle name="Dane wejściowe 2 11 34 2" xfId="7851"/>
    <cellStyle name="Dane wejściowe 2 11 34 3" xfId="7852"/>
    <cellStyle name="Dane wejściowe 2 11 35" xfId="7853"/>
    <cellStyle name="Dane wejściowe 2 11 35 2" xfId="7854"/>
    <cellStyle name="Dane wejściowe 2 11 35 3" xfId="7855"/>
    <cellStyle name="Dane wejściowe 2 11 36" xfId="7856"/>
    <cellStyle name="Dane wejściowe 2 11 36 2" xfId="7857"/>
    <cellStyle name="Dane wejściowe 2 11 36 3" xfId="7858"/>
    <cellStyle name="Dane wejściowe 2 11 37" xfId="7859"/>
    <cellStyle name="Dane wejściowe 2 11 37 2" xfId="7860"/>
    <cellStyle name="Dane wejściowe 2 11 37 3" xfId="7861"/>
    <cellStyle name="Dane wejściowe 2 11 38" xfId="7862"/>
    <cellStyle name="Dane wejściowe 2 11 38 2" xfId="7863"/>
    <cellStyle name="Dane wejściowe 2 11 38 3" xfId="7864"/>
    <cellStyle name="Dane wejściowe 2 11 39" xfId="7865"/>
    <cellStyle name="Dane wejściowe 2 11 39 2" xfId="7866"/>
    <cellStyle name="Dane wejściowe 2 11 39 3" xfId="7867"/>
    <cellStyle name="Dane wejściowe 2 11 4" xfId="7868"/>
    <cellStyle name="Dane wejściowe 2 11 4 2" xfId="7869"/>
    <cellStyle name="Dane wejściowe 2 11 4 3" xfId="7870"/>
    <cellStyle name="Dane wejściowe 2 11 40" xfId="7871"/>
    <cellStyle name="Dane wejściowe 2 11 40 2" xfId="7872"/>
    <cellStyle name="Dane wejściowe 2 11 40 3" xfId="7873"/>
    <cellStyle name="Dane wejściowe 2 11 41" xfId="7874"/>
    <cellStyle name="Dane wejściowe 2 11 41 2" xfId="7875"/>
    <cellStyle name="Dane wejściowe 2 11 41 3" xfId="7876"/>
    <cellStyle name="Dane wejściowe 2 11 42" xfId="7877"/>
    <cellStyle name="Dane wejściowe 2 11 42 2" xfId="7878"/>
    <cellStyle name="Dane wejściowe 2 11 42 3" xfId="7879"/>
    <cellStyle name="Dane wejściowe 2 11 43" xfId="7880"/>
    <cellStyle name="Dane wejściowe 2 11 43 2" xfId="7881"/>
    <cellStyle name="Dane wejściowe 2 11 43 3" xfId="7882"/>
    <cellStyle name="Dane wejściowe 2 11 44" xfId="7883"/>
    <cellStyle name="Dane wejściowe 2 11 44 2" xfId="7884"/>
    <cellStyle name="Dane wejściowe 2 11 44 3" xfId="7885"/>
    <cellStyle name="Dane wejściowe 2 11 45" xfId="7886"/>
    <cellStyle name="Dane wejściowe 2 11 45 2" xfId="7887"/>
    <cellStyle name="Dane wejściowe 2 11 45 3" xfId="7888"/>
    <cellStyle name="Dane wejściowe 2 11 46" xfId="7889"/>
    <cellStyle name="Dane wejściowe 2 11 46 2" xfId="7890"/>
    <cellStyle name="Dane wejściowe 2 11 46 3" xfId="7891"/>
    <cellStyle name="Dane wejściowe 2 11 47" xfId="7892"/>
    <cellStyle name="Dane wejściowe 2 11 47 2" xfId="7893"/>
    <cellStyle name="Dane wejściowe 2 11 47 3" xfId="7894"/>
    <cellStyle name="Dane wejściowe 2 11 48" xfId="7895"/>
    <cellStyle name="Dane wejściowe 2 11 48 2" xfId="7896"/>
    <cellStyle name="Dane wejściowe 2 11 48 3" xfId="7897"/>
    <cellStyle name="Dane wejściowe 2 11 49" xfId="7898"/>
    <cellStyle name="Dane wejściowe 2 11 49 2" xfId="7899"/>
    <cellStyle name="Dane wejściowe 2 11 49 3" xfId="7900"/>
    <cellStyle name="Dane wejściowe 2 11 5" xfId="7901"/>
    <cellStyle name="Dane wejściowe 2 11 5 2" xfId="7902"/>
    <cellStyle name="Dane wejściowe 2 11 5 3" xfId="7903"/>
    <cellStyle name="Dane wejściowe 2 11 50" xfId="7904"/>
    <cellStyle name="Dane wejściowe 2 11 50 2" xfId="7905"/>
    <cellStyle name="Dane wejściowe 2 11 50 3" xfId="7906"/>
    <cellStyle name="Dane wejściowe 2 11 51" xfId="7907"/>
    <cellStyle name="Dane wejściowe 2 11 51 2" xfId="7908"/>
    <cellStyle name="Dane wejściowe 2 11 51 3" xfId="7909"/>
    <cellStyle name="Dane wejściowe 2 11 52" xfId="7910"/>
    <cellStyle name="Dane wejściowe 2 11 52 2" xfId="7911"/>
    <cellStyle name="Dane wejściowe 2 11 52 3" xfId="7912"/>
    <cellStyle name="Dane wejściowe 2 11 53" xfId="7913"/>
    <cellStyle name="Dane wejściowe 2 11 53 2" xfId="7914"/>
    <cellStyle name="Dane wejściowe 2 11 53 3" xfId="7915"/>
    <cellStyle name="Dane wejściowe 2 11 54" xfId="7916"/>
    <cellStyle name="Dane wejściowe 2 11 54 2" xfId="7917"/>
    <cellStyle name="Dane wejściowe 2 11 54 3" xfId="7918"/>
    <cellStyle name="Dane wejściowe 2 11 55" xfId="7919"/>
    <cellStyle name="Dane wejściowe 2 11 55 2" xfId="7920"/>
    <cellStyle name="Dane wejściowe 2 11 55 3" xfId="7921"/>
    <cellStyle name="Dane wejściowe 2 11 56" xfId="7922"/>
    <cellStyle name="Dane wejściowe 2 11 56 2" xfId="7923"/>
    <cellStyle name="Dane wejściowe 2 11 56 3" xfId="7924"/>
    <cellStyle name="Dane wejściowe 2 11 57" xfId="7925"/>
    <cellStyle name="Dane wejściowe 2 11 58" xfId="7926"/>
    <cellStyle name="Dane wejściowe 2 11 6" xfId="7927"/>
    <cellStyle name="Dane wejściowe 2 11 6 2" xfId="7928"/>
    <cellStyle name="Dane wejściowe 2 11 6 3" xfId="7929"/>
    <cellStyle name="Dane wejściowe 2 11 7" xfId="7930"/>
    <cellStyle name="Dane wejściowe 2 11 7 2" xfId="7931"/>
    <cellStyle name="Dane wejściowe 2 11 7 3" xfId="7932"/>
    <cellStyle name="Dane wejściowe 2 11 8" xfId="7933"/>
    <cellStyle name="Dane wejściowe 2 11 8 2" xfId="7934"/>
    <cellStyle name="Dane wejściowe 2 11 8 3" xfId="7935"/>
    <cellStyle name="Dane wejściowe 2 11 9" xfId="7936"/>
    <cellStyle name="Dane wejściowe 2 11 9 2" xfId="7937"/>
    <cellStyle name="Dane wejściowe 2 11 9 3" xfId="7938"/>
    <cellStyle name="Dane wejściowe 2 12" xfId="7939"/>
    <cellStyle name="Dane wejściowe 2 12 10" xfId="7940"/>
    <cellStyle name="Dane wejściowe 2 12 10 2" xfId="7941"/>
    <cellStyle name="Dane wejściowe 2 12 10 3" xfId="7942"/>
    <cellStyle name="Dane wejściowe 2 12 11" xfId="7943"/>
    <cellStyle name="Dane wejściowe 2 12 11 2" xfId="7944"/>
    <cellStyle name="Dane wejściowe 2 12 11 3" xfId="7945"/>
    <cellStyle name="Dane wejściowe 2 12 12" xfId="7946"/>
    <cellStyle name="Dane wejściowe 2 12 12 2" xfId="7947"/>
    <cellStyle name="Dane wejściowe 2 12 12 3" xfId="7948"/>
    <cellStyle name="Dane wejściowe 2 12 13" xfId="7949"/>
    <cellStyle name="Dane wejściowe 2 12 13 2" xfId="7950"/>
    <cellStyle name="Dane wejściowe 2 12 13 3" xfId="7951"/>
    <cellStyle name="Dane wejściowe 2 12 14" xfId="7952"/>
    <cellStyle name="Dane wejściowe 2 12 14 2" xfId="7953"/>
    <cellStyle name="Dane wejściowe 2 12 14 3" xfId="7954"/>
    <cellStyle name="Dane wejściowe 2 12 15" xfId="7955"/>
    <cellStyle name="Dane wejściowe 2 12 15 2" xfId="7956"/>
    <cellStyle name="Dane wejściowe 2 12 15 3" xfId="7957"/>
    <cellStyle name="Dane wejściowe 2 12 16" xfId="7958"/>
    <cellStyle name="Dane wejściowe 2 12 16 2" xfId="7959"/>
    <cellStyle name="Dane wejściowe 2 12 16 3" xfId="7960"/>
    <cellStyle name="Dane wejściowe 2 12 17" xfId="7961"/>
    <cellStyle name="Dane wejściowe 2 12 17 2" xfId="7962"/>
    <cellStyle name="Dane wejściowe 2 12 17 3" xfId="7963"/>
    <cellStyle name="Dane wejściowe 2 12 18" xfId="7964"/>
    <cellStyle name="Dane wejściowe 2 12 18 2" xfId="7965"/>
    <cellStyle name="Dane wejściowe 2 12 18 3" xfId="7966"/>
    <cellStyle name="Dane wejściowe 2 12 19" xfId="7967"/>
    <cellStyle name="Dane wejściowe 2 12 19 2" xfId="7968"/>
    <cellStyle name="Dane wejściowe 2 12 19 3" xfId="7969"/>
    <cellStyle name="Dane wejściowe 2 12 2" xfId="7970"/>
    <cellStyle name="Dane wejściowe 2 12 2 2" xfId="7971"/>
    <cellStyle name="Dane wejściowe 2 12 2 3" xfId="7972"/>
    <cellStyle name="Dane wejściowe 2 12 20" xfId="7973"/>
    <cellStyle name="Dane wejściowe 2 12 20 2" xfId="7974"/>
    <cellStyle name="Dane wejściowe 2 12 20 3" xfId="7975"/>
    <cellStyle name="Dane wejściowe 2 12 21" xfId="7976"/>
    <cellStyle name="Dane wejściowe 2 12 21 2" xfId="7977"/>
    <cellStyle name="Dane wejściowe 2 12 21 3" xfId="7978"/>
    <cellStyle name="Dane wejściowe 2 12 22" xfId="7979"/>
    <cellStyle name="Dane wejściowe 2 12 22 2" xfId="7980"/>
    <cellStyle name="Dane wejściowe 2 12 22 3" xfId="7981"/>
    <cellStyle name="Dane wejściowe 2 12 23" xfId="7982"/>
    <cellStyle name="Dane wejściowe 2 12 23 2" xfId="7983"/>
    <cellStyle name="Dane wejściowe 2 12 23 3" xfId="7984"/>
    <cellStyle name="Dane wejściowe 2 12 24" xfId="7985"/>
    <cellStyle name="Dane wejściowe 2 12 24 2" xfId="7986"/>
    <cellStyle name="Dane wejściowe 2 12 24 3" xfId="7987"/>
    <cellStyle name="Dane wejściowe 2 12 25" xfId="7988"/>
    <cellStyle name="Dane wejściowe 2 12 25 2" xfId="7989"/>
    <cellStyle name="Dane wejściowe 2 12 25 3" xfId="7990"/>
    <cellStyle name="Dane wejściowe 2 12 26" xfId="7991"/>
    <cellStyle name="Dane wejściowe 2 12 26 2" xfId="7992"/>
    <cellStyle name="Dane wejściowe 2 12 26 3" xfId="7993"/>
    <cellStyle name="Dane wejściowe 2 12 27" xfId="7994"/>
    <cellStyle name="Dane wejściowe 2 12 27 2" xfId="7995"/>
    <cellStyle name="Dane wejściowe 2 12 27 3" xfId="7996"/>
    <cellStyle name="Dane wejściowe 2 12 28" xfId="7997"/>
    <cellStyle name="Dane wejściowe 2 12 28 2" xfId="7998"/>
    <cellStyle name="Dane wejściowe 2 12 28 3" xfId="7999"/>
    <cellStyle name="Dane wejściowe 2 12 29" xfId="8000"/>
    <cellStyle name="Dane wejściowe 2 12 29 2" xfId="8001"/>
    <cellStyle name="Dane wejściowe 2 12 29 3" xfId="8002"/>
    <cellStyle name="Dane wejściowe 2 12 3" xfId="8003"/>
    <cellStyle name="Dane wejściowe 2 12 3 2" xfId="8004"/>
    <cellStyle name="Dane wejściowe 2 12 3 3" xfId="8005"/>
    <cellStyle name="Dane wejściowe 2 12 30" xfId="8006"/>
    <cellStyle name="Dane wejściowe 2 12 30 2" xfId="8007"/>
    <cellStyle name="Dane wejściowe 2 12 30 3" xfId="8008"/>
    <cellStyle name="Dane wejściowe 2 12 31" xfId="8009"/>
    <cellStyle name="Dane wejściowe 2 12 31 2" xfId="8010"/>
    <cellStyle name="Dane wejściowe 2 12 31 3" xfId="8011"/>
    <cellStyle name="Dane wejściowe 2 12 32" xfId="8012"/>
    <cellStyle name="Dane wejściowe 2 12 32 2" xfId="8013"/>
    <cellStyle name="Dane wejściowe 2 12 32 3" xfId="8014"/>
    <cellStyle name="Dane wejściowe 2 12 33" xfId="8015"/>
    <cellStyle name="Dane wejściowe 2 12 33 2" xfId="8016"/>
    <cellStyle name="Dane wejściowe 2 12 33 3" xfId="8017"/>
    <cellStyle name="Dane wejściowe 2 12 34" xfId="8018"/>
    <cellStyle name="Dane wejściowe 2 12 34 2" xfId="8019"/>
    <cellStyle name="Dane wejściowe 2 12 34 3" xfId="8020"/>
    <cellStyle name="Dane wejściowe 2 12 35" xfId="8021"/>
    <cellStyle name="Dane wejściowe 2 12 35 2" xfId="8022"/>
    <cellStyle name="Dane wejściowe 2 12 35 3" xfId="8023"/>
    <cellStyle name="Dane wejściowe 2 12 36" xfId="8024"/>
    <cellStyle name="Dane wejściowe 2 12 36 2" xfId="8025"/>
    <cellStyle name="Dane wejściowe 2 12 36 3" xfId="8026"/>
    <cellStyle name="Dane wejściowe 2 12 37" xfId="8027"/>
    <cellStyle name="Dane wejściowe 2 12 37 2" xfId="8028"/>
    <cellStyle name="Dane wejściowe 2 12 37 3" xfId="8029"/>
    <cellStyle name="Dane wejściowe 2 12 38" xfId="8030"/>
    <cellStyle name="Dane wejściowe 2 12 38 2" xfId="8031"/>
    <cellStyle name="Dane wejściowe 2 12 38 3" xfId="8032"/>
    <cellStyle name="Dane wejściowe 2 12 39" xfId="8033"/>
    <cellStyle name="Dane wejściowe 2 12 39 2" xfId="8034"/>
    <cellStyle name="Dane wejściowe 2 12 39 3" xfId="8035"/>
    <cellStyle name="Dane wejściowe 2 12 4" xfId="8036"/>
    <cellStyle name="Dane wejściowe 2 12 4 2" xfId="8037"/>
    <cellStyle name="Dane wejściowe 2 12 4 3" xfId="8038"/>
    <cellStyle name="Dane wejściowe 2 12 40" xfId="8039"/>
    <cellStyle name="Dane wejściowe 2 12 40 2" xfId="8040"/>
    <cellStyle name="Dane wejściowe 2 12 40 3" xfId="8041"/>
    <cellStyle name="Dane wejściowe 2 12 41" xfId="8042"/>
    <cellStyle name="Dane wejściowe 2 12 41 2" xfId="8043"/>
    <cellStyle name="Dane wejściowe 2 12 41 3" xfId="8044"/>
    <cellStyle name="Dane wejściowe 2 12 42" xfId="8045"/>
    <cellStyle name="Dane wejściowe 2 12 42 2" xfId="8046"/>
    <cellStyle name="Dane wejściowe 2 12 42 3" xfId="8047"/>
    <cellStyle name="Dane wejściowe 2 12 43" xfId="8048"/>
    <cellStyle name="Dane wejściowe 2 12 43 2" xfId="8049"/>
    <cellStyle name="Dane wejściowe 2 12 43 3" xfId="8050"/>
    <cellStyle name="Dane wejściowe 2 12 44" xfId="8051"/>
    <cellStyle name="Dane wejściowe 2 12 44 2" xfId="8052"/>
    <cellStyle name="Dane wejściowe 2 12 44 3" xfId="8053"/>
    <cellStyle name="Dane wejściowe 2 12 45" xfId="8054"/>
    <cellStyle name="Dane wejściowe 2 12 45 2" xfId="8055"/>
    <cellStyle name="Dane wejściowe 2 12 45 3" xfId="8056"/>
    <cellStyle name="Dane wejściowe 2 12 46" xfId="8057"/>
    <cellStyle name="Dane wejściowe 2 12 46 2" xfId="8058"/>
    <cellStyle name="Dane wejściowe 2 12 46 3" xfId="8059"/>
    <cellStyle name="Dane wejściowe 2 12 47" xfId="8060"/>
    <cellStyle name="Dane wejściowe 2 12 47 2" xfId="8061"/>
    <cellStyle name="Dane wejściowe 2 12 47 3" xfId="8062"/>
    <cellStyle name="Dane wejściowe 2 12 48" xfId="8063"/>
    <cellStyle name="Dane wejściowe 2 12 48 2" xfId="8064"/>
    <cellStyle name="Dane wejściowe 2 12 48 3" xfId="8065"/>
    <cellStyle name="Dane wejściowe 2 12 49" xfId="8066"/>
    <cellStyle name="Dane wejściowe 2 12 49 2" xfId="8067"/>
    <cellStyle name="Dane wejściowe 2 12 49 3" xfId="8068"/>
    <cellStyle name="Dane wejściowe 2 12 5" xfId="8069"/>
    <cellStyle name="Dane wejściowe 2 12 5 2" xfId="8070"/>
    <cellStyle name="Dane wejściowe 2 12 5 3" xfId="8071"/>
    <cellStyle name="Dane wejściowe 2 12 50" xfId="8072"/>
    <cellStyle name="Dane wejściowe 2 12 50 2" xfId="8073"/>
    <cellStyle name="Dane wejściowe 2 12 50 3" xfId="8074"/>
    <cellStyle name="Dane wejściowe 2 12 51" xfId="8075"/>
    <cellStyle name="Dane wejściowe 2 12 51 2" xfId="8076"/>
    <cellStyle name="Dane wejściowe 2 12 51 3" xfId="8077"/>
    <cellStyle name="Dane wejściowe 2 12 52" xfId="8078"/>
    <cellStyle name="Dane wejściowe 2 12 52 2" xfId="8079"/>
    <cellStyle name="Dane wejściowe 2 12 52 3" xfId="8080"/>
    <cellStyle name="Dane wejściowe 2 12 53" xfId="8081"/>
    <cellStyle name="Dane wejściowe 2 12 53 2" xfId="8082"/>
    <cellStyle name="Dane wejściowe 2 12 53 3" xfId="8083"/>
    <cellStyle name="Dane wejściowe 2 12 54" xfId="8084"/>
    <cellStyle name="Dane wejściowe 2 12 54 2" xfId="8085"/>
    <cellStyle name="Dane wejściowe 2 12 54 3" xfId="8086"/>
    <cellStyle name="Dane wejściowe 2 12 55" xfId="8087"/>
    <cellStyle name="Dane wejściowe 2 12 55 2" xfId="8088"/>
    <cellStyle name="Dane wejściowe 2 12 55 3" xfId="8089"/>
    <cellStyle name="Dane wejściowe 2 12 56" xfId="8090"/>
    <cellStyle name="Dane wejściowe 2 12 56 2" xfId="8091"/>
    <cellStyle name="Dane wejściowe 2 12 56 3" xfId="8092"/>
    <cellStyle name="Dane wejściowe 2 12 57" xfId="8093"/>
    <cellStyle name="Dane wejściowe 2 12 58" xfId="8094"/>
    <cellStyle name="Dane wejściowe 2 12 6" xfId="8095"/>
    <cellStyle name="Dane wejściowe 2 12 6 2" xfId="8096"/>
    <cellStyle name="Dane wejściowe 2 12 6 3" xfId="8097"/>
    <cellStyle name="Dane wejściowe 2 12 7" xfId="8098"/>
    <cellStyle name="Dane wejściowe 2 12 7 2" xfId="8099"/>
    <cellStyle name="Dane wejściowe 2 12 7 3" xfId="8100"/>
    <cellStyle name="Dane wejściowe 2 12 8" xfId="8101"/>
    <cellStyle name="Dane wejściowe 2 12 8 2" xfId="8102"/>
    <cellStyle name="Dane wejściowe 2 12 8 3" xfId="8103"/>
    <cellStyle name="Dane wejściowe 2 12 9" xfId="8104"/>
    <cellStyle name="Dane wejściowe 2 12 9 2" xfId="8105"/>
    <cellStyle name="Dane wejściowe 2 12 9 3" xfId="8106"/>
    <cellStyle name="Dane wejściowe 2 13" xfId="8107"/>
    <cellStyle name="Dane wejściowe 2 13 10" xfId="8108"/>
    <cellStyle name="Dane wejściowe 2 13 10 2" xfId="8109"/>
    <cellStyle name="Dane wejściowe 2 13 10 3" xfId="8110"/>
    <cellStyle name="Dane wejściowe 2 13 11" xfId="8111"/>
    <cellStyle name="Dane wejściowe 2 13 11 2" xfId="8112"/>
    <cellStyle name="Dane wejściowe 2 13 11 3" xfId="8113"/>
    <cellStyle name="Dane wejściowe 2 13 12" xfId="8114"/>
    <cellStyle name="Dane wejściowe 2 13 12 2" xfId="8115"/>
    <cellStyle name="Dane wejściowe 2 13 12 3" xfId="8116"/>
    <cellStyle name="Dane wejściowe 2 13 13" xfId="8117"/>
    <cellStyle name="Dane wejściowe 2 13 13 2" xfId="8118"/>
    <cellStyle name="Dane wejściowe 2 13 13 3" xfId="8119"/>
    <cellStyle name="Dane wejściowe 2 13 14" xfId="8120"/>
    <cellStyle name="Dane wejściowe 2 13 14 2" xfId="8121"/>
    <cellStyle name="Dane wejściowe 2 13 14 3" xfId="8122"/>
    <cellStyle name="Dane wejściowe 2 13 15" xfId="8123"/>
    <cellStyle name="Dane wejściowe 2 13 15 2" xfId="8124"/>
    <cellStyle name="Dane wejściowe 2 13 15 3" xfId="8125"/>
    <cellStyle name="Dane wejściowe 2 13 16" xfId="8126"/>
    <cellStyle name="Dane wejściowe 2 13 16 2" xfId="8127"/>
    <cellStyle name="Dane wejściowe 2 13 16 3" xfId="8128"/>
    <cellStyle name="Dane wejściowe 2 13 17" xfId="8129"/>
    <cellStyle name="Dane wejściowe 2 13 17 2" xfId="8130"/>
    <cellStyle name="Dane wejściowe 2 13 17 3" xfId="8131"/>
    <cellStyle name="Dane wejściowe 2 13 18" xfId="8132"/>
    <cellStyle name="Dane wejściowe 2 13 18 2" xfId="8133"/>
    <cellStyle name="Dane wejściowe 2 13 18 3" xfId="8134"/>
    <cellStyle name="Dane wejściowe 2 13 19" xfId="8135"/>
    <cellStyle name="Dane wejściowe 2 13 19 2" xfId="8136"/>
    <cellStyle name="Dane wejściowe 2 13 19 3" xfId="8137"/>
    <cellStyle name="Dane wejściowe 2 13 19 4" xfId="8138"/>
    <cellStyle name="Dane wejściowe 2 13 2" xfId="8139"/>
    <cellStyle name="Dane wejściowe 2 13 2 2" xfId="8140"/>
    <cellStyle name="Dane wejściowe 2 13 2 3" xfId="8141"/>
    <cellStyle name="Dane wejściowe 2 13 2 4" xfId="8142"/>
    <cellStyle name="Dane wejściowe 2 13 20" xfId="8143"/>
    <cellStyle name="Dane wejściowe 2 13 20 2" xfId="8144"/>
    <cellStyle name="Dane wejściowe 2 13 20 3" xfId="8145"/>
    <cellStyle name="Dane wejściowe 2 13 20 4" xfId="8146"/>
    <cellStyle name="Dane wejściowe 2 13 21" xfId="8147"/>
    <cellStyle name="Dane wejściowe 2 13 21 2" xfId="8148"/>
    <cellStyle name="Dane wejściowe 2 13 21 3" xfId="8149"/>
    <cellStyle name="Dane wejściowe 2 13 22" xfId="8150"/>
    <cellStyle name="Dane wejściowe 2 13 22 2" xfId="8151"/>
    <cellStyle name="Dane wejściowe 2 13 22 3" xfId="8152"/>
    <cellStyle name="Dane wejściowe 2 13 23" xfId="8153"/>
    <cellStyle name="Dane wejściowe 2 13 23 2" xfId="8154"/>
    <cellStyle name="Dane wejściowe 2 13 23 3" xfId="8155"/>
    <cellStyle name="Dane wejściowe 2 13 24" xfId="8156"/>
    <cellStyle name="Dane wejściowe 2 13 24 2" xfId="8157"/>
    <cellStyle name="Dane wejściowe 2 13 24 3" xfId="8158"/>
    <cellStyle name="Dane wejściowe 2 13 25" xfId="8159"/>
    <cellStyle name="Dane wejściowe 2 13 25 2" xfId="8160"/>
    <cellStyle name="Dane wejściowe 2 13 25 3" xfId="8161"/>
    <cellStyle name="Dane wejściowe 2 13 26" xfId="8162"/>
    <cellStyle name="Dane wejściowe 2 13 26 2" xfId="8163"/>
    <cellStyle name="Dane wejściowe 2 13 26 3" xfId="8164"/>
    <cellStyle name="Dane wejściowe 2 13 27" xfId="8165"/>
    <cellStyle name="Dane wejściowe 2 13 27 2" xfId="8166"/>
    <cellStyle name="Dane wejściowe 2 13 27 3" xfId="8167"/>
    <cellStyle name="Dane wejściowe 2 13 28" xfId="8168"/>
    <cellStyle name="Dane wejściowe 2 13 28 2" xfId="8169"/>
    <cellStyle name="Dane wejściowe 2 13 28 3" xfId="8170"/>
    <cellStyle name="Dane wejściowe 2 13 29" xfId="8171"/>
    <cellStyle name="Dane wejściowe 2 13 29 2" xfId="8172"/>
    <cellStyle name="Dane wejściowe 2 13 29 3" xfId="8173"/>
    <cellStyle name="Dane wejściowe 2 13 3" xfId="8174"/>
    <cellStyle name="Dane wejściowe 2 13 3 2" xfId="8175"/>
    <cellStyle name="Dane wejściowe 2 13 3 3" xfId="8176"/>
    <cellStyle name="Dane wejściowe 2 13 3 4" xfId="8177"/>
    <cellStyle name="Dane wejściowe 2 13 30" xfId="8178"/>
    <cellStyle name="Dane wejściowe 2 13 30 2" xfId="8179"/>
    <cellStyle name="Dane wejściowe 2 13 30 3" xfId="8180"/>
    <cellStyle name="Dane wejściowe 2 13 31" xfId="8181"/>
    <cellStyle name="Dane wejściowe 2 13 31 2" xfId="8182"/>
    <cellStyle name="Dane wejściowe 2 13 31 3" xfId="8183"/>
    <cellStyle name="Dane wejściowe 2 13 32" xfId="8184"/>
    <cellStyle name="Dane wejściowe 2 13 32 2" xfId="8185"/>
    <cellStyle name="Dane wejściowe 2 13 32 3" xfId="8186"/>
    <cellStyle name="Dane wejściowe 2 13 33" xfId="8187"/>
    <cellStyle name="Dane wejściowe 2 13 33 2" xfId="8188"/>
    <cellStyle name="Dane wejściowe 2 13 33 3" xfId="8189"/>
    <cellStyle name="Dane wejściowe 2 13 34" xfId="8190"/>
    <cellStyle name="Dane wejściowe 2 13 34 2" xfId="8191"/>
    <cellStyle name="Dane wejściowe 2 13 34 3" xfId="8192"/>
    <cellStyle name="Dane wejściowe 2 13 35" xfId="8193"/>
    <cellStyle name="Dane wejściowe 2 13 35 2" xfId="8194"/>
    <cellStyle name="Dane wejściowe 2 13 35 3" xfId="8195"/>
    <cellStyle name="Dane wejściowe 2 13 36" xfId="8196"/>
    <cellStyle name="Dane wejściowe 2 13 36 2" xfId="8197"/>
    <cellStyle name="Dane wejściowe 2 13 36 3" xfId="8198"/>
    <cellStyle name="Dane wejściowe 2 13 37" xfId="8199"/>
    <cellStyle name="Dane wejściowe 2 13 37 2" xfId="8200"/>
    <cellStyle name="Dane wejściowe 2 13 37 3" xfId="8201"/>
    <cellStyle name="Dane wejściowe 2 13 38" xfId="8202"/>
    <cellStyle name="Dane wejściowe 2 13 38 2" xfId="8203"/>
    <cellStyle name="Dane wejściowe 2 13 38 3" xfId="8204"/>
    <cellStyle name="Dane wejściowe 2 13 39" xfId="8205"/>
    <cellStyle name="Dane wejściowe 2 13 39 2" xfId="8206"/>
    <cellStyle name="Dane wejściowe 2 13 39 3" xfId="8207"/>
    <cellStyle name="Dane wejściowe 2 13 4" xfId="8208"/>
    <cellStyle name="Dane wejściowe 2 13 4 2" xfId="8209"/>
    <cellStyle name="Dane wejściowe 2 13 4 3" xfId="8210"/>
    <cellStyle name="Dane wejściowe 2 13 4 4" xfId="8211"/>
    <cellStyle name="Dane wejściowe 2 13 40" xfId="8212"/>
    <cellStyle name="Dane wejściowe 2 13 40 2" xfId="8213"/>
    <cellStyle name="Dane wejściowe 2 13 40 3" xfId="8214"/>
    <cellStyle name="Dane wejściowe 2 13 41" xfId="8215"/>
    <cellStyle name="Dane wejściowe 2 13 41 2" xfId="8216"/>
    <cellStyle name="Dane wejściowe 2 13 41 3" xfId="8217"/>
    <cellStyle name="Dane wejściowe 2 13 42" xfId="8218"/>
    <cellStyle name="Dane wejściowe 2 13 42 2" xfId="8219"/>
    <cellStyle name="Dane wejściowe 2 13 42 3" xfId="8220"/>
    <cellStyle name="Dane wejściowe 2 13 43" xfId="8221"/>
    <cellStyle name="Dane wejściowe 2 13 43 2" xfId="8222"/>
    <cellStyle name="Dane wejściowe 2 13 43 3" xfId="8223"/>
    <cellStyle name="Dane wejściowe 2 13 44" xfId="8224"/>
    <cellStyle name="Dane wejściowe 2 13 44 2" xfId="8225"/>
    <cellStyle name="Dane wejściowe 2 13 44 3" xfId="8226"/>
    <cellStyle name="Dane wejściowe 2 13 45" xfId="8227"/>
    <cellStyle name="Dane wejściowe 2 13 45 2" xfId="8228"/>
    <cellStyle name="Dane wejściowe 2 13 45 3" xfId="8229"/>
    <cellStyle name="Dane wejściowe 2 13 46" xfId="8230"/>
    <cellStyle name="Dane wejściowe 2 13 46 2" xfId="8231"/>
    <cellStyle name="Dane wejściowe 2 13 46 3" xfId="8232"/>
    <cellStyle name="Dane wejściowe 2 13 47" xfId="8233"/>
    <cellStyle name="Dane wejściowe 2 13 47 2" xfId="8234"/>
    <cellStyle name="Dane wejściowe 2 13 47 3" xfId="8235"/>
    <cellStyle name="Dane wejściowe 2 13 48" xfId="8236"/>
    <cellStyle name="Dane wejściowe 2 13 48 2" xfId="8237"/>
    <cellStyle name="Dane wejściowe 2 13 48 3" xfId="8238"/>
    <cellStyle name="Dane wejściowe 2 13 49" xfId="8239"/>
    <cellStyle name="Dane wejściowe 2 13 49 2" xfId="8240"/>
    <cellStyle name="Dane wejściowe 2 13 49 3" xfId="8241"/>
    <cellStyle name="Dane wejściowe 2 13 5" xfId="8242"/>
    <cellStyle name="Dane wejściowe 2 13 5 2" xfId="8243"/>
    <cellStyle name="Dane wejściowe 2 13 5 3" xfId="8244"/>
    <cellStyle name="Dane wejściowe 2 13 5 4" xfId="8245"/>
    <cellStyle name="Dane wejściowe 2 13 50" xfId="8246"/>
    <cellStyle name="Dane wejściowe 2 13 50 2" xfId="8247"/>
    <cellStyle name="Dane wejściowe 2 13 50 3" xfId="8248"/>
    <cellStyle name="Dane wejściowe 2 13 51" xfId="8249"/>
    <cellStyle name="Dane wejściowe 2 13 51 2" xfId="8250"/>
    <cellStyle name="Dane wejściowe 2 13 51 3" xfId="8251"/>
    <cellStyle name="Dane wejściowe 2 13 52" xfId="8252"/>
    <cellStyle name="Dane wejściowe 2 13 52 2" xfId="8253"/>
    <cellStyle name="Dane wejściowe 2 13 52 3" xfId="8254"/>
    <cellStyle name="Dane wejściowe 2 13 53" xfId="8255"/>
    <cellStyle name="Dane wejściowe 2 13 53 2" xfId="8256"/>
    <cellStyle name="Dane wejściowe 2 13 53 3" xfId="8257"/>
    <cellStyle name="Dane wejściowe 2 13 54" xfId="8258"/>
    <cellStyle name="Dane wejściowe 2 13 54 2" xfId="8259"/>
    <cellStyle name="Dane wejściowe 2 13 54 3" xfId="8260"/>
    <cellStyle name="Dane wejściowe 2 13 55" xfId="8261"/>
    <cellStyle name="Dane wejściowe 2 13 55 2" xfId="8262"/>
    <cellStyle name="Dane wejściowe 2 13 55 3" xfId="8263"/>
    <cellStyle name="Dane wejściowe 2 13 56" xfId="8264"/>
    <cellStyle name="Dane wejściowe 2 13 56 2" xfId="8265"/>
    <cellStyle name="Dane wejściowe 2 13 56 3" xfId="8266"/>
    <cellStyle name="Dane wejściowe 2 13 57" xfId="8267"/>
    <cellStyle name="Dane wejściowe 2 13 58" xfId="8268"/>
    <cellStyle name="Dane wejściowe 2 13 6" xfId="8269"/>
    <cellStyle name="Dane wejściowe 2 13 6 2" xfId="8270"/>
    <cellStyle name="Dane wejściowe 2 13 6 3" xfId="8271"/>
    <cellStyle name="Dane wejściowe 2 13 6 4" xfId="8272"/>
    <cellStyle name="Dane wejściowe 2 13 7" xfId="8273"/>
    <cellStyle name="Dane wejściowe 2 13 7 2" xfId="8274"/>
    <cellStyle name="Dane wejściowe 2 13 7 3" xfId="8275"/>
    <cellStyle name="Dane wejściowe 2 13 7 4" xfId="8276"/>
    <cellStyle name="Dane wejściowe 2 13 8" xfId="8277"/>
    <cellStyle name="Dane wejściowe 2 13 8 2" xfId="8278"/>
    <cellStyle name="Dane wejściowe 2 13 8 3" xfId="8279"/>
    <cellStyle name="Dane wejściowe 2 13 8 4" xfId="8280"/>
    <cellStyle name="Dane wejściowe 2 13 9" xfId="8281"/>
    <cellStyle name="Dane wejściowe 2 13 9 2" xfId="8282"/>
    <cellStyle name="Dane wejściowe 2 13 9 3" xfId="8283"/>
    <cellStyle name="Dane wejściowe 2 13 9 4" xfId="8284"/>
    <cellStyle name="Dane wejściowe 2 14" xfId="8285"/>
    <cellStyle name="Dane wejściowe 2 14 10" xfId="8286"/>
    <cellStyle name="Dane wejściowe 2 14 10 2" xfId="8287"/>
    <cellStyle name="Dane wejściowe 2 14 10 3" xfId="8288"/>
    <cellStyle name="Dane wejściowe 2 14 10 4" xfId="8289"/>
    <cellStyle name="Dane wejściowe 2 14 11" xfId="8290"/>
    <cellStyle name="Dane wejściowe 2 14 11 2" xfId="8291"/>
    <cellStyle name="Dane wejściowe 2 14 11 3" xfId="8292"/>
    <cellStyle name="Dane wejściowe 2 14 11 4" xfId="8293"/>
    <cellStyle name="Dane wejściowe 2 14 12" xfId="8294"/>
    <cellStyle name="Dane wejściowe 2 14 12 2" xfId="8295"/>
    <cellStyle name="Dane wejściowe 2 14 12 3" xfId="8296"/>
    <cellStyle name="Dane wejściowe 2 14 12 4" xfId="8297"/>
    <cellStyle name="Dane wejściowe 2 14 13" xfId="8298"/>
    <cellStyle name="Dane wejściowe 2 14 13 2" xfId="8299"/>
    <cellStyle name="Dane wejściowe 2 14 13 3" xfId="8300"/>
    <cellStyle name="Dane wejściowe 2 14 13 4" xfId="8301"/>
    <cellStyle name="Dane wejściowe 2 14 14" xfId="8302"/>
    <cellStyle name="Dane wejściowe 2 14 14 2" xfId="8303"/>
    <cellStyle name="Dane wejściowe 2 14 14 3" xfId="8304"/>
    <cellStyle name="Dane wejściowe 2 14 14 4" xfId="8305"/>
    <cellStyle name="Dane wejściowe 2 14 15" xfId="8306"/>
    <cellStyle name="Dane wejściowe 2 14 15 2" xfId="8307"/>
    <cellStyle name="Dane wejściowe 2 14 15 3" xfId="8308"/>
    <cellStyle name="Dane wejściowe 2 14 15 4" xfId="8309"/>
    <cellStyle name="Dane wejściowe 2 14 16" xfId="8310"/>
    <cellStyle name="Dane wejściowe 2 14 16 2" xfId="8311"/>
    <cellStyle name="Dane wejściowe 2 14 16 3" xfId="8312"/>
    <cellStyle name="Dane wejściowe 2 14 16 4" xfId="8313"/>
    <cellStyle name="Dane wejściowe 2 14 17" xfId="8314"/>
    <cellStyle name="Dane wejściowe 2 14 17 2" xfId="8315"/>
    <cellStyle name="Dane wejściowe 2 14 17 3" xfId="8316"/>
    <cellStyle name="Dane wejściowe 2 14 17 4" xfId="8317"/>
    <cellStyle name="Dane wejściowe 2 14 18" xfId="8318"/>
    <cellStyle name="Dane wejściowe 2 14 18 2" xfId="8319"/>
    <cellStyle name="Dane wejściowe 2 14 18 3" xfId="8320"/>
    <cellStyle name="Dane wejściowe 2 14 18 4" xfId="8321"/>
    <cellStyle name="Dane wejściowe 2 14 19" xfId="8322"/>
    <cellStyle name="Dane wejściowe 2 14 19 2" xfId="8323"/>
    <cellStyle name="Dane wejściowe 2 14 19 3" xfId="8324"/>
    <cellStyle name="Dane wejściowe 2 14 19 4" xfId="8325"/>
    <cellStyle name="Dane wejściowe 2 14 2" xfId="8326"/>
    <cellStyle name="Dane wejściowe 2 14 2 2" xfId="8327"/>
    <cellStyle name="Dane wejściowe 2 14 2 3" xfId="8328"/>
    <cellStyle name="Dane wejściowe 2 14 2 4" xfId="8329"/>
    <cellStyle name="Dane wejściowe 2 14 20" xfId="8330"/>
    <cellStyle name="Dane wejściowe 2 14 20 2" xfId="8331"/>
    <cellStyle name="Dane wejściowe 2 14 20 3" xfId="8332"/>
    <cellStyle name="Dane wejściowe 2 14 20 4" xfId="8333"/>
    <cellStyle name="Dane wejściowe 2 14 21" xfId="8334"/>
    <cellStyle name="Dane wejściowe 2 14 21 2" xfId="8335"/>
    <cellStyle name="Dane wejściowe 2 14 21 3" xfId="8336"/>
    <cellStyle name="Dane wejściowe 2 14 22" xfId="8337"/>
    <cellStyle name="Dane wejściowe 2 14 22 2" xfId="8338"/>
    <cellStyle name="Dane wejściowe 2 14 22 3" xfId="8339"/>
    <cellStyle name="Dane wejściowe 2 14 23" xfId="8340"/>
    <cellStyle name="Dane wejściowe 2 14 23 2" xfId="8341"/>
    <cellStyle name="Dane wejściowe 2 14 23 3" xfId="8342"/>
    <cellStyle name="Dane wejściowe 2 14 24" xfId="8343"/>
    <cellStyle name="Dane wejściowe 2 14 24 2" xfId="8344"/>
    <cellStyle name="Dane wejściowe 2 14 24 3" xfId="8345"/>
    <cellStyle name="Dane wejściowe 2 14 25" xfId="8346"/>
    <cellStyle name="Dane wejściowe 2 14 25 2" xfId="8347"/>
    <cellStyle name="Dane wejściowe 2 14 25 3" xfId="8348"/>
    <cellStyle name="Dane wejściowe 2 14 26" xfId="8349"/>
    <cellStyle name="Dane wejściowe 2 14 26 2" xfId="8350"/>
    <cellStyle name="Dane wejściowe 2 14 26 3" xfId="8351"/>
    <cellStyle name="Dane wejściowe 2 14 27" xfId="8352"/>
    <cellStyle name="Dane wejściowe 2 14 27 2" xfId="8353"/>
    <cellStyle name="Dane wejściowe 2 14 27 3" xfId="8354"/>
    <cellStyle name="Dane wejściowe 2 14 28" xfId="8355"/>
    <cellStyle name="Dane wejściowe 2 14 28 2" xfId="8356"/>
    <cellStyle name="Dane wejściowe 2 14 28 3" xfId="8357"/>
    <cellStyle name="Dane wejściowe 2 14 29" xfId="8358"/>
    <cellStyle name="Dane wejściowe 2 14 29 2" xfId="8359"/>
    <cellStyle name="Dane wejściowe 2 14 29 3" xfId="8360"/>
    <cellStyle name="Dane wejściowe 2 14 3" xfId="8361"/>
    <cellStyle name="Dane wejściowe 2 14 3 2" xfId="8362"/>
    <cellStyle name="Dane wejściowe 2 14 3 3" xfId="8363"/>
    <cellStyle name="Dane wejściowe 2 14 3 4" xfId="8364"/>
    <cellStyle name="Dane wejściowe 2 14 30" xfId="8365"/>
    <cellStyle name="Dane wejściowe 2 14 30 2" xfId="8366"/>
    <cellStyle name="Dane wejściowe 2 14 30 3" xfId="8367"/>
    <cellStyle name="Dane wejściowe 2 14 31" xfId="8368"/>
    <cellStyle name="Dane wejściowe 2 14 31 2" xfId="8369"/>
    <cellStyle name="Dane wejściowe 2 14 31 3" xfId="8370"/>
    <cellStyle name="Dane wejściowe 2 14 32" xfId="8371"/>
    <cellStyle name="Dane wejściowe 2 14 32 2" xfId="8372"/>
    <cellStyle name="Dane wejściowe 2 14 32 3" xfId="8373"/>
    <cellStyle name="Dane wejściowe 2 14 33" xfId="8374"/>
    <cellStyle name="Dane wejściowe 2 14 33 2" xfId="8375"/>
    <cellStyle name="Dane wejściowe 2 14 33 3" xfId="8376"/>
    <cellStyle name="Dane wejściowe 2 14 34" xfId="8377"/>
    <cellStyle name="Dane wejściowe 2 14 34 2" xfId="8378"/>
    <cellStyle name="Dane wejściowe 2 14 34 3" xfId="8379"/>
    <cellStyle name="Dane wejściowe 2 14 35" xfId="8380"/>
    <cellStyle name="Dane wejściowe 2 14 35 2" xfId="8381"/>
    <cellStyle name="Dane wejściowe 2 14 35 3" xfId="8382"/>
    <cellStyle name="Dane wejściowe 2 14 36" xfId="8383"/>
    <cellStyle name="Dane wejściowe 2 14 36 2" xfId="8384"/>
    <cellStyle name="Dane wejściowe 2 14 36 3" xfId="8385"/>
    <cellStyle name="Dane wejściowe 2 14 37" xfId="8386"/>
    <cellStyle name="Dane wejściowe 2 14 37 2" xfId="8387"/>
    <cellStyle name="Dane wejściowe 2 14 37 3" xfId="8388"/>
    <cellStyle name="Dane wejściowe 2 14 38" xfId="8389"/>
    <cellStyle name="Dane wejściowe 2 14 38 2" xfId="8390"/>
    <cellStyle name="Dane wejściowe 2 14 38 3" xfId="8391"/>
    <cellStyle name="Dane wejściowe 2 14 39" xfId="8392"/>
    <cellStyle name="Dane wejściowe 2 14 39 2" xfId="8393"/>
    <cellStyle name="Dane wejściowe 2 14 39 3" xfId="8394"/>
    <cellStyle name="Dane wejściowe 2 14 4" xfId="8395"/>
    <cellStyle name="Dane wejściowe 2 14 4 2" xfId="8396"/>
    <cellStyle name="Dane wejściowe 2 14 4 3" xfId="8397"/>
    <cellStyle name="Dane wejściowe 2 14 4 4" xfId="8398"/>
    <cellStyle name="Dane wejściowe 2 14 40" xfId="8399"/>
    <cellStyle name="Dane wejściowe 2 14 40 2" xfId="8400"/>
    <cellStyle name="Dane wejściowe 2 14 40 3" xfId="8401"/>
    <cellStyle name="Dane wejściowe 2 14 41" xfId="8402"/>
    <cellStyle name="Dane wejściowe 2 14 41 2" xfId="8403"/>
    <cellStyle name="Dane wejściowe 2 14 41 3" xfId="8404"/>
    <cellStyle name="Dane wejściowe 2 14 42" xfId="8405"/>
    <cellStyle name="Dane wejściowe 2 14 42 2" xfId="8406"/>
    <cellStyle name="Dane wejściowe 2 14 42 3" xfId="8407"/>
    <cellStyle name="Dane wejściowe 2 14 43" xfId="8408"/>
    <cellStyle name="Dane wejściowe 2 14 43 2" xfId="8409"/>
    <cellStyle name="Dane wejściowe 2 14 43 3" xfId="8410"/>
    <cellStyle name="Dane wejściowe 2 14 44" xfId="8411"/>
    <cellStyle name="Dane wejściowe 2 14 44 2" xfId="8412"/>
    <cellStyle name="Dane wejściowe 2 14 44 3" xfId="8413"/>
    <cellStyle name="Dane wejściowe 2 14 45" xfId="8414"/>
    <cellStyle name="Dane wejściowe 2 14 45 2" xfId="8415"/>
    <cellStyle name="Dane wejściowe 2 14 45 3" xfId="8416"/>
    <cellStyle name="Dane wejściowe 2 14 46" xfId="8417"/>
    <cellStyle name="Dane wejściowe 2 14 46 2" xfId="8418"/>
    <cellStyle name="Dane wejściowe 2 14 46 3" xfId="8419"/>
    <cellStyle name="Dane wejściowe 2 14 47" xfId="8420"/>
    <cellStyle name="Dane wejściowe 2 14 47 2" xfId="8421"/>
    <cellStyle name="Dane wejściowe 2 14 47 3" xfId="8422"/>
    <cellStyle name="Dane wejściowe 2 14 48" xfId="8423"/>
    <cellStyle name="Dane wejściowe 2 14 48 2" xfId="8424"/>
    <cellStyle name="Dane wejściowe 2 14 48 3" xfId="8425"/>
    <cellStyle name="Dane wejściowe 2 14 49" xfId="8426"/>
    <cellStyle name="Dane wejściowe 2 14 49 2" xfId="8427"/>
    <cellStyle name="Dane wejściowe 2 14 49 3" xfId="8428"/>
    <cellStyle name="Dane wejściowe 2 14 5" xfId="8429"/>
    <cellStyle name="Dane wejściowe 2 14 5 2" xfId="8430"/>
    <cellStyle name="Dane wejściowe 2 14 5 3" xfId="8431"/>
    <cellStyle name="Dane wejściowe 2 14 5 4" xfId="8432"/>
    <cellStyle name="Dane wejściowe 2 14 50" xfId="8433"/>
    <cellStyle name="Dane wejściowe 2 14 50 2" xfId="8434"/>
    <cellStyle name="Dane wejściowe 2 14 50 3" xfId="8435"/>
    <cellStyle name="Dane wejściowe 2 14 51" xfId="8436"/>
    <cellStyle name="Dane wejściowe 2 14 51 2" xfId="8437"/>
    <cellStyle name="Dane wejściowe 2 14 51 3" xfId="8438"/>
    <cellStyle name="Dane wejściowe 2 14 52" xfId="8439"/>
    <cellStyle name="Dane wejściowe 2 14 52 2" xfId="8440"/>
    <cellStyle name="Dane wejściowe 2 14 52 3" xfId="8441"/>
    <cellStyle name="Dane wejściowe 2 14 53" xfId="8442"/>
    <cellStyle name="Dane wejściowe 2 14 53 2" xfId="8443"/>
    <cellStyle name="Dane wejściowe 2 14 53 3" xfId="8444"/>
    <cellStyle name="Dane wejściowe 2 14 54" xfId="8445"/>
    <cellStyle name="Dane wejściowe 2 14 54 2" xfId="8446"/>
    <cellStyle name="Dane wejściowe 2 14 54 3" xfId="8447"/>
    <cellStyle name="Dane wejściowe 2 14 55" xfId="8448"/>
    <cellStyle name="Dane wejściowe 2 14 55 2" xfId="8449"/>
    <cellStyle name="Dane wejściowe 2 14 55 3" xfId="8450"/>
    <cellStyle name="Dane wejściowe 2 14 56" xfId="8451"/>
    <cellStyle name="Dane wejściowe 2 14 56 2" xfId="8452"/>
    <cellStyle name="Dane wejściowe 2 14 56 3" xfId="8453"/>
    <cellStyle name="Dane wejściowe 2 14 57" xfId="8454"/>
    <cellStyle name="Dane wejściowe 2 14 58" xfId="8455"/>
    <cellStyle name="Dane wejściowe 2 14 6" xfId="8456"/>
    <cellStyle name="Dane wejściowe 2 14 6 2" xfId="8457"/>
    <cellStyle name="Dane wejściowe 2 14 6 3" xfId="8458"/>
    <cellStyle name="Dane wejściowe 2 14 6 4" xfId="8459"/>
    <cellStyle name="Dane wejściowe 2 14 7" xfId="8460"/>
    <cellStyle name="Dane wejściowe 2 14 7 2" xfId="8461"/>
    <cellStyle name="Dane wejściowe 2 14 7 3" xfId="8462"/>
    <cellStyle name="Dane wejściowe 2 14 7 4" xfId="8463"/>
    <cellStyle name="Dane wejściowe 2 14 8" xfId="8464"/>
    <cellStyle name="Dane wejściowe 2 14 8 2" xfId="8465"/>
    <cellStyle name="Dane wejściowe 2 14 8 3" xfId="8466"/>
    <cellStyle name="Dane wejściowe 2 14 8 4" xfId="8467"/>
    <cellStyle name="Dane wejściowe 2 14 9" xfId="8468"/>
    <cellStyle name="Dane wejściowe 2 14 9 2" xfId="8469"/>
    <cellStyle name="Dane wejściowe 2 14 9 3" xfId="8470"/>
    <cellStyle name="Dane wejściowe 2 14 9 4" xfId="8471"/>
    <cellStyle name="Dane wejściowe 2 15" xfId="8472"/>
    <cellStyle name="Dane wejściowe 2 15 10" xfId="8473"/>
    <cellStyle name="Dane wejściowe 2 15 10 2" xfId="8474"/>
    <cellStyle name="Dane wejściowe 2 15 10 3" xfId="8475"/>
    <cellStyle name="Dane wejściowe 2 15 10 4" xfId="8476"/>
    <cellStyle name="Dane wejściowe 2 15 11" xfId="8477"/>
    <cellStyle name="Dane wejściowe 2 15 11 2" xfId="8478"/>
    <cellStyle name="Dane wejściowe 2 15 11 3" xfId="8479"/>
    <cellStyle name="Dane wejściowe 2 15 11 4" xfId="8480"/>
    <cellStyle name="Dane wejściowe 2 15 12" xfId="8481"/>
    <cellStyle name="Dane wejściowe 2 15 12 2" xfId="8482"/>
    <cellStyle name="Dane wejściowe 2 15 12 3" xfId="8483"/>
    <cellStyle name="Dane wejściowe 2 15 12 4" xfId="8484"/>
    <cellStyle name="Dane wejściowe 2 15 13" xfId="8485"/>
    <cellStyle name="Dane wejściowe 2 15 13 2" xfId="8486"/>
    <cellStyle name="Dane wejściowe 2 15 13 3" xfId="8487"/>
    <cellStyle name="Dane wejściowe 2 15 13 4" xfId="8488"/>
    <cellStyle name="Dane wejściowe 2 15 14" xfId="8489"/>
    <cellStyle name="Dane wejściowe 2 15 14 2" xfId="8490"/>
    <cellStyle name="Dane wejściowe 2 15 14 3" xfId="8491"/>
    <cellStyle name="Dane wejściowe 2 15 14 4" xfId="8492"/>
    <cellStyle name="Dane wejściowe 2 15 15" xfId="8493"/>
    <cellStyle name="Dane wejściowe 2 15 15 2" xfId="8494"/>
    <cellStyle name="Dane wejściowe 2 15 15 3" xfId="8495"/>
    <cellStyle name="Dane wejściowe 2 15 15 4" xfId="8496"/>
    <cellStyle name="Dane wejściowe 2 15 16" xfId="8497"/>
    <cellStyle name="Dane wejściowe 2 15 16 2" xfId="8498"/>
    <cellStyle name="Dane wejściowe 2 15 16 3" xfId="8499"/>
    <cellStyle name="Dane wejściowe 2 15 16 4" xfId="8500"/>
    <cellStyle name="Dane wejściowe 2 15 17" xfId="8501"/>
    <cellStyle name="Dane wejściowe 2 15 17 2" xfId="8502"/>
    <cellStyle name="Dane wejściowe 2 15 17 3" xfId="8503"/>
    <cellStyle name="Dane wejściowe 2 15 17 4" xfId="8504"/>
    <cellStyle name="Dane wejściowe 2 15 18" xfId="8505"/>
    <cellStyle name="Dane wejściowe 2 15 18 2" xfId="8506"/>
    <cellStyle name="Dane wejściowe 2 15 18 3" xfId="8507"/>
    <cellStyle name="Dane wejściowe 2 15 18 4" xfId="8508"/>
    <cellStyle name="Dane wejściowe 2 15 19" xfId="8509"/>
    <cellStyle name="Dane wejściowe 2 15 19 2" xfId="8510"/>
    <cellStyle name="Dane wejściowe 2 15 19 3" xfId="8511"/>
    <cellStyle name="Dane wejściowe 2 15 19 4" xfId="8512"/>
    <cellStyle name="Dane wejściowe 2 15 2" xfId="8513"/>
    <cellStyle name="Dane wejściowe 2 15 2 2" xfId="8514"/>
    <cellStyle name="Dane wejściowe 2 15 2 3" xfId="8515"/>
    <cellStyle name="Dane wejściowe 2 15 2 4" xfId="8516"/>
    <cellStyle name="Dane wejściowe 2 15 20" xfId="8517"/>
    <cellStyle name="Dane wejściowe 2 15 20 2" xfId="8518"/>
    <cellStyle name="Dane wejściowe 2 15 20 3" xfId="8519"/>
    <cellStyle name="Dane wejściowe 2 15 20 4" xfId="8520"/>
    <cellStyle name="Dane wejściowe 2 15 21" xfId="8521"/>
    <cellStyle name="Dane wejściowe 2 15 21 2" xfId="8522"/>
    <cellStyle name="Dane wejściowe 2 15 21 3" xfId="8523"/>
    <cellStyle name="Dane wejściowe 2 15 22" xfId="8524"/>
    <cellStyle name="Dane wejściowe 2 15 22 2" xfId="8525"/>
    <cellStyle name="Dane wejściowe 2 15 22 3" xfId="8526"/>
    <cellStyle name="Dane wejściowe 2 15 23" xfId="8527"/>
    <cellStyle name="Dane wejściowe 2 15 23 2" xfId="8528"/>
    <cellStyle name="Dane wejściowe 2 15 23 3" xfId="8529"/>
    <cellStyle name="Dane wejściowe 2 15 24" xfId="8530"/>
    <cellStyle name="Dane wejściowe 2 15 24 2" xfId="8531"/>
    <cellStyle name="Dane wejściowe 2 15 24 3" xfId="8532"/>
    <cellStyle name="Dane wejściowe 2 15 25" xfId="8533"/>
    <cellStyle name="Dane wejściowe 2 15 25 2" xfId="8534"/>
    <cellStyle name="Dane wejściowe 2 15 25 3" xfId="8535"/>
    <cellStyle name="Dane wejściowe 2 15 26" xfId="8536"/>
    <cellStyle name="Dane wejściowe 2 15 26 2" xfId="8537"/>
    <cellStyle name="Dane wejściowe 2 15 26 3" xfId="8538"/>
    <cellStyle name="Dane wejściowe 2 15 27" xfId="8539"/>
    <cellStyle name="Dane wejściowe 2 15 27 2" xfId="8540"/>
    <cellStyle name="Dane wejściowe 2 15 27 3" xfId="8541"/>
    <cellStyle name="Dane wejściowe 2 15 28" xfId="8542"/>
    <cellStyle name="Dane wejściowe 2 15 28 2" xfId="8543"/>
    <cellStyle name="Dane wejściowe 2 15 28 3" xfId="8544"/>
    <cellStyle name="Dane wejściowe 2 15 29" xfId="8545"/>
    <cellStyle name="Dane wejściowe 2 15 29 2" xfId="8546"/>
    <cellStyle name="Dane wejściowe 2 15 29 3" xfId="8547"/>
    <cellStyle name="Dane wejściowe 2 15 3" xfId="8548"/>
    <cellStyle name="Dane wejściowe 2 15 3 2" xfId="8549"/>
    <cellStyle name="Dane wejściowe 2 15 3 3" xfId="8550"/>
    <cellStyle name="Dane wejściowe 2 15 3 4" xfId="8551"/>
    <cellStyle name="Dane wejściowe 2 15 30" xfId="8552"/>
    <cellStyle name="Dane wejściowe 2 15 30 2" xfId="8553"/>
    <cellStyle name="Dane wejściowe 2 15 30 3" xfId="8554"/>
    <cellStyle name="Dane wejściowe 2 15 31" xfId="8555"/>
    <cellStyle name="Dane wejściowe 2 15 31 2" xfId="8556"/>
    <cellStyle name="Dane wejściowe 2 15 31 3" xfId="8557"/>
    <cellStyle name="Dane wejściowe 2 15 32" xfId="8558"/>
    <cellStyle name="Dane wejściowe 2 15 32 2" xfId="8559"/>
    <cellStyle name="Dane wejściowe 2 15 32 3" xfId="8560"/>
    <cellStyle name="Dane wejściowe 2 15 33" xfId="8561"/>
    <cellStyle name="Dane wejściowe 2 15 33 2" xfId="8562"/>
    <cellStyle name="Dane wejściowe 2 15 33 3" xfId="8563"/>
    <cellStyle name="Dane wejściowe 2 15 34" xfId="8564"/>
    <cellStyle name="Dane wejściowe 2 15 34 2" xfId="8565"/>
    <cellStyle name="Dane wejściowe 2 15 34 3" xfId="8566"/>
    <cellStyle name="Dane wejściowe 2 15 35" xfId="8567"/>
    <cellStyle name="Dane wejściowe 2 15 35 2" xfId="8568"/>
    <cellStyle name="Dane wejściowe 2 15 35 3" xfId="8569"/>
    <cellStyle name="Dane wejściowe 2 15 36" xfId="8570"/>
    <cellStyle name="Dane wejściowe 2 15 36 2" xfId="8571"/>
    <cellStyle name="Dane wejściowe 2 15 36 3" xfId="8572"/>
    <cellStyle name="Dane wejściowe 2 15 37" xfId="8573"/>
    <cellStyle name="Dane wejściowe 2 15 37 2" xfId="8574"/>
    <cellStyle name="Dane wejściowe 2 15 37 3" xfId="8575"/>
    <cellStyle name="Dane wejściowe 2 15 38" xfId="8576"/>
    <cellStyle name="Dane wejściowe 2 15 38 2" xfId="8577"/>
    <cellStyle name="Dane wejściowe 2 15 38 3" xfId="8578"/>
    <cellStyle name="Dane wejściowe 2 15 39" xfId="8579"/>
    <cellStyle name="Dane wejściowe 2 15 39 2" xfId="8580"/>
    <cellStyle name="Dane wejściowe 2 15 39 3" xfId="8581"/>
    <cellStyle name="Dane wejściowe 2 15 4" xfId="8582"/>
    <cellStyle name="Dane wejściowe 2 15 4 2" xfId="8583"/>
    <cellStyle name="Dane wejściowe 2 15 4 3" xfId="8584"/>
    <cellStyle name="Dane wejściowe 2 15 4 4" xfId="8585"/>
    <cellStyle name="Dane wejściowe 2 15 40" xfId="8586"/>
    <cellStyle name="Dane wejściowe 2 15 40 2" xfId="8587"/>
    <cellStyle name="Dane wejściowe 2 15 40 3" xfId="8588"/>
    <cellStyle name="Dane wejściowe 2 15 41" xfId="8589"/>
    <cellStyle name="Dane wejściowe 2 15 41 2" xfId="8590"/>
    <cellStyle name="Dane wejściowe 2 15 41 3" xfId="8591"/>
    <cellStyle name="Dane wejściowe 2 15 42" xfId="8592"/>
    <cellStyle name="Dane wejściowe 2 15 42 2" xfId="8593"/>
    <cellStyle name="Dane wejściowe 2 15 42 3" xfId="8594"/>
    <cellStyle name="Dane wejściowe 2 15 43" xfId="8595"/>
    <cellStyle name="Dane wejściowe 2 15 43 2" xfId="8596"/>
    <cellStyle name="Dane wejściowe 2 15 43 3" xfId="8597"/>
    <cellStyle name="Dane wejściowe 2 15 44" xfId="8598"/>
    <cellStyle name="Dane wejściowe 2 15 44 2" xfId="8599"/>
    <cellStyle name="Dane wejściowe 2 15 44 3" xfId="8600"/>
    <cellStyle name="Dane wejściowe 2 15 45" xfId="8601"/>
    <cellStyle name="Dane wejściowe 2 15 45 2" xfId="8602"/>
    <cellStyle name="Dane wejściowe 2 15 45 3" xfId="8603"/>
    <cellStyle name="Dane wejściowe 2 15 46" xfId="8604"/>
    <cellStyle name="Dane wejściowe 2 15 46 2" xfId="8605"/>
    <cellStyle name="Dane wejściowe 2 15 46 3" xfId="8606"/>
    <cellStyle name="Dane wejściowe 2 15 47" xfId="8607"/>
    <cellStyle name="Dane wejściowe 2 15 47 2" xfId="8608"/>
    <cellStyle name="Dane wejściowe 2 15 47 3" xfId="8609"/>
    <cellStyle name="Dane wejściowe 2 15 48" xfId="8610"/>
    <cellStyle name="Dane wejściowe 2 15 48 2" xfId="8611"/>
    <cellStyle name="Dane wejściowe 2 15 48 3" xfId="8612"/>
    <cellStyle name="Dane wejściowe 2 15 49" xfId="8613"/>
    <cellStyle name="Dane wejściowe 2 15 49 2" xfId="8614"/>
    <cellStyle name="Dane wejściowe 2 15 49 3" xfId="8615"/>
    <cellStyle name="Dane wejściowe 2 15 5" xfId="8616"/>
    <cellStyle name="Dane wejściowe 2 15 5 2" xfId="8617"/>
    <cellStyle name="Dane wejściowe 2 15 5 3" xfId="8618"/>
    <cellStyle name="Dane wejściowe 2 15 5 4" xfId="8619"/>
    <cellStyle name="Dane wejściowe 2 15 50" xfId="8620"/>
    <cellStyle name="Dane wejściowe 2 15 50 2" xfId="8621"/>
    <cellStyle name="Dane wejściowe 2 15 50 3" xfId="8622"/>
    <cellStyle name="Dane wejściowe 2 15 51" xfId="8623"/>
    <cellStyle name="Dane wejściowe 2 15 51 2" xfId="8624"/>
    <cellStyle name="Dane wejściowe 2 15 51 3" xfId="8625"/>
    <cellStyle name="Dane wejściowe 2 15 52" xfId="8626"/>
    <cellStyle name="Dane wejściowe 2 15 52 2" xfId="8627"/>
    <cellStyle name="Dane wejściowe 2 15 52 3" xfId="8628"/>
    <cellStyle name="Dane wejściowe 2 15 53" xfId="8629"/>
    <cellStyle name="Dane wejściowe 2 15 53 2" xfId="8630"/>
    <cellStyle name="Dane wejściowe 2 15 53 3" xfId="8631"/>
    <cellStyle name="Dane wejściowe 2 15 54" xfId="8632"/>
    <cellStyle name="Dane wejściowe 2 15 54 2" xfId="8633"/>
    <cellStyle name="Dane wejściowe 2 15 54 3" xfId="8634"/>
    <cellStyle name="Dane wejściowe 2 15 55" xfId="8635"/>
    <cellStyle name="Dane wejściowe 2 15 55 2" xfId="8636"/>
    <cellStyle name="Dane wejściowe 2 15 55 3" xfId="8637"/>
    <cellStyle name="Dane wejściowe 2 15 56" xfId="8638"/>
    <cellStyle name="Dane wejściowe 2 15 56 2" xfId="8639"/>
    <cellStyle name="Dane wejściowe 2 15 56 3" xfId="8640"/>
    <cellStyle name="Dane wejściowe 2 15 57" xfId="8641"/>
    <cellStyle name="Dane wejściowe 2 15 58" xfId="8642"/>
    <cellStyle name="Dane wejściowe 2 15 6" xfId="8643"/>
    <cellStyle name="Dane wejściowe 2 15 6 2" xfId="8644"/>
    <cellStyle name="Dane wejściowe 2 15 6 3" xfId="8645"/>
    <cellStyle name="Dane wejściowe 2 15 6 4" xfId="8646"/>
    <cellStyle name="Dane wejściowe 2 15 7" xfId="8647"/>
    <cellStyle name="Dane wejściowe 2 15 7 2" xfId="8648"/>
    <cellStyle name="Dane wejściowe 2 15 7 3" xfId="8649"/>
    <cellStyle name="Dane wejściowe 2 15 7 4" xfId="8650"/>
    <cellStyle name="Dane wejściowe 2 15 8" xfId="8651"/>
    <cellStyle name="Dane wejściowe 2 15 8 2" xfId="8652"/>
    <cellStyle name="Dane wejściowe 2 15 8 3" xfId="8653"/>
    <cellStyle name="Dane wejściowe 2 15 8 4" xfId="8654"/>
    <cellStyle name="Dane wejściowe 2 15 9" xfId="8655"/>
    <cellStyle name="Dane wejściowe 2 15 9 2" xfId="8656"/>
    <cellStyle name="Dane wejściowe 2 15 9 3" xfId="8657"/>
    <cellStyle name="Dane wejściowe 2 15 9 4" xfId="8658"/>
    <cellStyle name="Dane wejściowe 2 16" xfId="8659"/>
    <cellStyle name="Dane wejściowe 2 16 10" xfId="8660"/>
    <cellStyle name="Dane wejściowe 2 16 10 2" xfId="8661"/>
    <cellStyle name="Dane wejściowe 2 16 10 3" xfId="8662"/>
    <cellStyle name="Dane wejściowe 2 16 10 4" xfId="8663"/>
    <cellStyle name="Dane wejściowe 2 16 11" xfId="8664"/>
    <cellStyle name="Dane wejściowe 2 16 11 2" xfId="8665"/>
    <cellStyle name="Dane wejściowe 2 16 11 3" xfId="8666"/>
    <cellStyle name="Dane wejściowe 2 16 11 4" xfId="8667"/>
    <cellStyle name="Dane wejściowe 2 16 12" xfId="8668"/>
    <cellStyle name="Dane wejściowe 2 16 12 2" xfId="8669"/>
    <cellStyle name="Dane wejściowe 2 16 12 3" xfId="8670"/>
    <cellStyle name="Dane wejściowe 2 16 12 4" xfId="8671"/>
    <cellStyle name="Dane wejściowe 2 16 13" xfId="8672"/>
    <cellStyle name="Dane wejściowe 2 16 13 2" xfId="8673"/>
    <cellStyle name="Dane wejściowe 2 16 13 3" xfId="8674"/>
    <cellStyle name="Dane wejściowe 2 16 13 4" xfId="8675"/>
    <cellStyle name="Dane wejściowe 2 16 14" xfId="8676"/>
    <cellStyle name="Dane wejściowe 2 16 14 2" xfId="8677"/>
    <cellStyle name="Dane wejściowe 2 16 14 3" xfId="8678"/>
    <cellStyle name="Dane wejściowe 2 16 14 4" xfId="8679"/>
    <cellStyle name="Dane wejściowe 2 16 15" xfId="8680"/>
    <cellStyle name="Dane wejściowe 2 16 15 2" xfId="8681"/>
    <cellStyle name="Dane wejściowe 2 16 15 3" xfId="8682"/>
    <cellStyle name="Dane wejściowe 2 16 15 4" xfId="8683"/>
    <cellStyle name="Dane wejściowe 2 16 16" xfId="8684"/>
    <cellStyle name="Dane wejściowe 2 16 16 2" xfId="8685"/>
    <cellStyle name="Dane wejściowe 2 16 16 3" xfId="8686"/>
    <cellStyle name="Dane wejściowe 2 16 16 4" xfId="8687"/>
    <cellStyle name="Dane wejściowe 2 16 17" xfId="8688"/>
    <cellStyle name="Dane wejściowe 2 16 17 2" xfId="8689"/>
    <cellStyle name="Dane wejściowe 2 16 17 3" xfId="8690"/>
    <cellStyle name="Dane wejściowe 2 16 17 4" xfId="8691"/>
    <cellStyle name="Dane wejściowe 2 16 18" xfId="8692"/>
    <cellStyle name="Dane wejściowe 2 16 18 2" xfId="8693"/>
    <cellStyle name="Dane wejściowe 2 16 18 3" xfId="8694"/>
    <cellStyle name="Dane wejściowe 2 16 18 4" xfId="8695"/>
    <cellStyle name="Dane wejściowe 2 16 19" xfId="8696"/>
    <cellStyle name="Dane wejściowe 2 16 19 2" xfId="8697"/>
    <cellStyle name="Dane wejściowe 2 16 19 3" xfId="8698"/>
    <cellStyle name="Dane wejściowe 2 16 19 4" xfId="8699"/>
    <cellStyle name="Dane wejściowe 2 16 2" xfId="8700"/>
    <cellStyle name="Dane wejściowe 2 16 2 2" xfId="8701"/>
    <cellStyle name="Dane wejściowe 2 16 2 3" xfId="8702"/>
    <cellStyle name="Dane wejściowe 2 16 2 4" xfId="8703"/>
    <cellStyle name="Dane wejściowe 2 16 20" xfId="8704"/>
    <cellStyle name="Dane wejściowe 2 16 20 2" xfId="8705"/>
    <cellStyle name="Dane wejściowe 2 16 20 3" xfId="8706"/>
    <cellStyle name="Dane wejściowe 2 16 20 4" xfId="8707"/>
    <cellStyle name="Dane wejściowe 2 16 21" xfId="8708"/>
    <cellStyle name="Dane wejściowe 2 16 21 2" xfId="8709"/>
    <cellStyle name="Dane wejściowe 2 16 21 3" xfId="8710"/>
    <cellStyle name="Dane wejściowe 2 16 22" xfId="8711"/>
    <cellStyle name="Dane wejściowe 2 16 22 2" xfId="8712"/>
    <cellStyle name="Dane wejściowe 2 16 22 3" xfId="8713"/>
    <cellStyle name="Dane wejściowe 2 16 23" xfId="8714"/>
    <cellStyle name="Dane wejściowe 2 16 23 2" xfId="8715"/>
    <cellStyle name="Dane wejściowe 2 16 23 3" xfId="8716"/>
    <cellStyle name="Dane wejściowe 2 16 24" xfId="8717"/>
    <cellStyle name="Dane wejściowe 2 16 24 2" xfId="8718"/>
    <cellStyle name="Dane wejściowe 2 16 24 3" xfId="8719"/>
    <cellStyle name="Dane wejściowe 2 16 25" xfId="8720"/>
    <cellStyle name="Dane wejściowe 2 16 25 2" xfId="8721"/>
    <cellStyle name="Dane wejściowe 2 16 25 3" xfId="8722"/>
    <cellStyle name="Dane wejściowe 2 16 26" xfId="8723"/>
    <cellStyle name="Dane wejściowe 2 16 26 2" xfId="8724"/>
    <cellStyle name="Dane wejściowe 2 16 26 3" xfId="8725"/>
    <cellStyle name="Dane wejściowe 2 16 27" xfId="8726"/>
    <cellStyle name="Dane wejściowe 2 16 27 2" xfId="8727"/>
    <cellStyle name="Dane wejściowe 2 16 27 3" xfId="8728"/>
    <cellStyle name="Dane wejściowe 2 16 28" xfId="8729"/>
    <cellStyle name="Dane wejściowe 2 16 28 2" xfId="8730"/>
    <cellStyle name="Dane wejściowe 2 16 28 3" xfId="8731"/>
    <cellStyle name="Dane wejściowe 2 16 29" xfId="8732"/>
    <cellStyle name="Dane wejściowe 2 16 29 2" xfId="8733"/>
    <cellStyle name="Dane wejściowe 2 16 29 3" xfId="8734"/>
    <cellStyle name="Dane wejściowe 2 16 3" xfId="8735"/>
    <cellStyle name="Dane wejściowe 2 16 3 2" xfId="8736"/>
    <cellStyle name="Dane wejściowe 2 16 3 3" xfId="8737"/>
    <cellStyle name="Dane wejściowe 2 16 3 4" xfId="8738"/>
    <cellStyle name="Dane wejściowe 2 16 30" xfId="8739"/>
    <cellStyle name="Dane wejściowe 2 16 30 2" xfId="8740"/>
    <cellStyle name="Dane wejściowe 2 16 30 3" xfId="8741"/>
    <cellStyle name="Dane wejściowe 2 16 31" xfId="8742"/>
    <cellStyle name="Dane wejściowe 2 16 31 2" xfId="8743"/>
    <cellStyle name="Dane wejściowe 2 16 31 3" xfId="8744"/>
    <cellStyle name="Dane wejściowe 2 16 32" xfId="8745"/>
    <cellStyle name="Dane wejściowe 2 16 32 2" xfId="8746"/>
    <cellStyle name="Dane wejściowe 2 16 32 3" xfId="8747"/>
    <cellStyle name="Dane wejściowe 2 16 33" xfId="8748"/>
    <cellStyle name="Dane wejściowe 2 16 33 2" xfId="8749"/>
    <cellStyle name="Dane wejściowe 2 16 33 3" xfId="8750"/>
    <cellStyle name="Dane wejściowe 2 16 34" xfId="8751"/>
    <cellStyle name="Dane wejściowe 2 16 34 2" xfId="8752"/>
    <cellStyle name="Dane wejściowe 2 16 34 3" xfId="8753"/>
    <cellStyle name="Dane wejściowe 2 16 35" xfId="8754"/>
    <cellStyle name="Dane wejściowe 2 16 35 2" xfId="8755"/>
    <cellStyle name="Dane wejściowe 2 16 35 3" xfId="8756"/>
    <cellStyle name="Dane wejściowe 2 16 36" xfId="8757"/>
    <cellStyle name="Dane wejściowe 2 16 36 2" xfId="8758"/>
    <cellStyle name="Dane wejściowe 2 16 36 3" xfId="8759"/>
    <cellStyle name="Dane wejściowe 2 16 37" xfId="8760"/>
    <cellStyle name="Dane wejściowe 2 16 37 2" xfId="8761"/>
    <cellStyle name="Dane wejściowe 2 16 37 3" xfId="8762"/>
    <cellStyle name="Dane wejściowe 2 16 38" xfId="8763"/>
    <cellStyle name="Dane wejściowe 2 16 38 2" xfId="8764"/>
    <cellStyle name="Dane wejściowe 2 16 38 3" xfId="8765"/>
    <cellStyle name="Dane wejściowe 2 16 39" xfId="8766"/>
    <cellStyle name="Dane wejściowe 2 16 39 2" xfId="8767"/>
    <cellStyle name="Dane wejściowe 2 16 39 3" xfId="8768"/>
    <cellStyle name="Dane wejściowe 2 16 4" xfId="8769"/>
    <cellStyle name="Dane wejściowe 2 16 4 2" xfId="8770"/>
    <cellStyle name="Dane wejściowe 2 16 4 3" xfId="8771"/>
    <cellStyle name="Dane wejściowe 2 16 4 4" xfId="8772"/>
    <cellStyle name="Dane wejściowe 2 16 40" xfId="8773"/>
    <cellStyle name="Dane wejściowe 2 16 40 2" xfId="8774"/>
    <cellStyle name="Dane wejściowe 2 16 40 3" xfId="8775"/>
    <cellStyle name="Dane wejściowe 2 16 41" xfId="8776"/>
    <cellStyle name="Dane wejściowe 2 16 41 2" xfId="8777"/>
    <cellStyle name="Dane wejściowe 2 16 41 3" xfId="8778"/>
    <cellStyle name="Dane wejściowe 2 16 42" xfId="8779"/>
    <cellStyle name="Dane wejściowe 2 16 42 2" xfId="8780"/>
    <cellStyle name="Dane wejściowe 2 16 42 3" xfId="8781"/>
    <cellStyle name="Dane wejściowe 2 16 43" xfId="8782"/>
    <cellStyle name="Dane wejściowe 2 16 43 2" xfId="8783"/>
    <cellStyle name="Dane wejściowe 2 16 43 3" xfId="8784"/>
    <cellStyle name="Dane wejściowe 2 16 44" xfId="8785"/>
    <cellStyle name="Dane wejściowe 2 16 44 2" xfId="8786"/>
    <cellStyle name="Dane wejściowe 2 16 44 3" xfId="8787"/>
    <cellStyle name="Dane wejściowe 2 16 45" xfId="8788"/>
    <cellStyle name="Dane wejściowe 2 16 45 2" xfId="8789"/>
    <cellStyle name="Dane wejściowe 2 16 45 3" xfId="8790"/>
    <cellStyle name="Dane wejściowe 2 16 46" xfId="8791"/>
    <cellStyle name="Dane wejściowe 2 16 46 2" xfId="8792"/>
    <cellStyle name="Dane wejściowe 2 16 46 3" xfId="8793"/>
    <cellStyle name="Dane wejściowe 2 16 47" xfId="8794"/>
    <cellStyle name="Dane wejściowe 2 16 47 2" xfId="8795"/>
    <cellStyle name="Dane wejściowe 2 16 47 3" xfId="8796"/>
    <cellStyle name="Dane wejściowe 2 16 48" xfId="8797"/>
    <cellStyle name="Dane wejściowe 2 16 48 2" xfId="8798"/>
    <cellStyle name="Dane wejściowe 2 16 48 3" xfId="8799"/>
    <cellStyle name="Dane wejściowe 2 16 49" xfId="8800"/>
    <cellStyle name="Dane wejściowe 2 16 49 2" xfId="8801"/>
    <cellStyle name="Dane wejściowe 2 16 49 3" xfId="8802"/>
    <cellStyle name="Dane wejściowe 2 16 5" xfId="8803"/>
    <cellStyle name="Dane wejściowe 2 16 5 2" xfId="8804"/>
    <cellStyle name="Dane wejściowe 2 16 5 3" xfId="8805"/>
    <cellStyle name="Dane wejściowe 2 16 5 4" xfId="8806"/>
    <cellStyle name="Dane wejściowe 2 16 50" xfId="8807"/>
    <cellStyle name="Dane wejściowe 2 16 50 2" xfId="8808"/>
    <cellStyle name="Dane wejściowe 2 16 50 3" xfId="8809"/>
    <cellStyle name="Dane wejściowe 2 16 51" xfId="8810"/>
    <cellStyle name="Dane wejściowe 2 16 51 2" xfId="8811"/>
    <cellStyle name="Dane wejściowe 2 16 51 3" xfId="8812"/>
    <cellStyle name="Dane wejściowe 2 16 52" xfId="8813"/>
    <cellStyle name="Dane wejściowe 2 16 52 2" xfId="8814"/>
    <cellStyle name="Dane wejściowe 2 16 52 3" xfId="8815"/>
    <cellStyle name="Dane wejściowe 2 16 53" xfId="8816"/>
    <cellStyle name="Dane wejściowe 2 16 53 2" xfId="8817"/>
    <cellStyle name="Dane wejściowe 2 16 53 3" xfId="8818"/>
    <cellStyle name="Dane wejściowe 2 16 54" xfId="8819"/>
    <cellStyle name="Dane wejściowe 2 16 54 2" xfId="8820"/>
    <cellStyle name="Dane wejściowe 2 16 54 3" xfId="8821"/>
    <cellStyle name="Dane wejściowe 2 16 55" xfId="8822"/>
    <cellStyle name="Dane wejściowe 2 16 55 2" xfId="8823"/>
    <cellStyle name="Dane wejściowe 2 16 55 3" xfId="8824"/>
    <cellStyle name="Dane wejściowe 2 16 56" xfId="8825"/>
    <cellStyle name="Dane wejściowe 2 16 56 2" xfId="8826"/>
    <cellStyle name="Dane wejściowe 2 16 56 3" xfId="8827"/>
    <cellStyle name="Dane wejściowe 2 16 57" xfId="8828"/>
    <cellStyle name="Dane wejściowe 2 16 58" xfId="8829"/>
    <cellStyle name="Dane wejściowe 2 16 6" xfId="8830"/>
    <cellStyle name="Dane wejściowe 2 16 6 2" xfId="8831"/>
    <cellStyle name="Dane wejściowe 2 16 6 3" xfId="8832"/>
    <cellStyle name="Dane wejściowe 2 16 6 4" xfId="8833"/>
    <cellStyle name="Dane wejściowe 2 16 7" xfId="8834"/>
    <cellStyle name="Dane wejściowe 2 16 7 2" xfId="8835"/>
    <cellStyle name="Dane wejściowe 2 16 7 3" xfId="8836"/>
    <cellStyle name="Dane wejściowe 2 16 7 4" xfId="8837"/>
    <cellStyle name="Dane wejściowe 2 16 8" xfId="8838"/>
    <cellStyle name="Dane wejściowe 2 16 8 2" xfId="8839"/>
    <cellStyle name="Dane wejściowe 2 16 8 3" xfId="8840"/>
    <cellStyle name="Dane wejściowe 2 16 8 4" xfId="8841"/>
    <cellStyle name="Dane wejściowe 2 16 9" xfId="8842"/>
    <cellStyle name="Dane wejściowe 2 16 9 2" xfId="8843"/>
    <cellStyle name="Dane wejściowe 2 16 9 3" xfId="8844"/>
    <cellStyle name="Dane wejściowe 2 16 9 4" xfId="8845"/>
    <cellStyle name="Dane wejściowe 2 17" xfId="8846"/>
    <cellStyle name="Dane wejściowe 2 17 10" xfId="8847"/>
    <cellStyle name="Dane wejściowe 2 17 10 2" xfId="8848"/>
    <cellStyle name="Dane wejściowe 2 17 10 3" xfId="8849"/>
    <cellStyle name="Dane wejściowe 2 17 10 4" xfId="8850"/>
    <cellStyle name="Dane wejściowe 2 17 11" xfId="8851"/>
    <cellStyle name="Dane wejściowe 2 17 11 2" xfId="8852"/>
    <cellStyle name="Dane wejściowe 2 17 11 3" xfId="8853"/>
    <cellStyle name="Dane wejściowe 2 17 11 4" xfId="8854"/>
    <cellStyle name="Dane wejściowe 2 17 12" xfId="8855"/>
    <cellStyle name="Dane wejściowe 2 17 12 2" xfId="8856"/>
    <cellStyle name="Dane wejściowe 2 17 12 3" xfId="8857"/>
    <cellStyle name="Dane wejściowe 2 17 12 4" xfId="8858"/>
    <cellStyle name="Dane wejściowe 2 17 13" xfId="8859"/>
    <cellStyle name="Dane wejściowe 2 17 13 2" xfId="8860"/>
    <cellStyle name="Dane wejściowe 2 17 13 3" xfId="8861"/>
    <cellStyle name="Dane wejściowe 2 17 13 4" xfId="8862"/>
    <cellStyle name="Dane wejściowe 2 17 14" xfId="8863"/>
    <cellStyle name="Dane wejściowe 2 17 14 2" xfId="8864"/>
    <cellStyle name="Dane wejściowe 2 17 14 3" xfId="8865"/>
    <cellStyle name="Dane wejściowe 2 17 14 4" xfId="8866"/>
    <cellStyle name="Dane wejściowe 2 17 15" xfId="8867"/>
    <cellStyle name="Dane wejściowe 2 17 15 2" xfId="8868"/>
    <cellStyle name="Dane wejściowe 2 17 15 3" xfId="8869"/>
    <cellStyle name="Dane wejściowe 2 17 15 4" xfId="8870"/>
    <cellStyle name="Dane wejściowe 2 17 16" xfId="8871"/>
    <cellStyle name="Dane wejściowe 2 17 16 2" xfId="8872"/>
    <cellStyle name="Dane wejściowe 2 17 16 3" xfId="8873"/>
    <cellStyle name="Dane wejściowe 2 17 16 4" xfId="8874"/>
    <cellStyle name="Dane wejściowe 2 17 17" xfId="8875"/>
    <cellStyle name="Dane wejściowe 2 17 17 2" xfId="8876"/>
    <cellStyle name="Dane wejściowe 2 17 17 3" xfId="8877"/>
    <cellStyle name="Dane wejściowe 2 17 17 4" xfId="8878"/>
    <cellStyle name="Dane wejściowe 2 17 18" xfId="8879"/>
    <cellStyle name="Dane wejściowe 2 17 18 2" xfId="8880"/>
    <cellStyle name="Dane wejściowe 2 17 18 3" xfId="8881"/>
    <cellStyle name="Dane wejściowe 2 17 18 4" xfId="8882"/>
    <cellStyle name="Dane wejściowe 2 17 19" xfId="8883"/>
    <cellStyle name="Dane wejściowe 2 17 19 2" xfId="8884"/>
    <cellStyle name="Dane wejściowe 2 17 19 3" xfId="8885"/>
    <cellStyle name="Dane wejściowe 2 17 19 4" xfId="8886"/>
    <cellStyle name="Dane wejściowe 2 17 2" xfId="8887"/>
    <cellStyle name="Dane wejściowe 2 17 2 2" xfId="8888"/>
    <cellStyle name="Dane wejściowe 2 17 2 3" xfId="8889"/>
    <cellStyle name="Dane wejściowe 2 17 2 4" xfId="8890"/>
    <cellStyle name="Dane wejściowe 2 17 20" xfId="8891"/>
    <cellStyle name="Dane wejściowe 2 17 20 2" xfId="8892"/>
    <cellStyle name="Dane wejściowe 2 17 20 3" xfId="8893"/>
    <cellStyle name="Dane wejściowe 2 17 20 4" xfId="8894"/>
    <cellStyle name="Dane wejściowe 2 17 21" xfId="8895"/>
    <cellStyle name="Dane wejściowe 2 17 21 2" xfId="8896"/>
    <cellStyle name="Dane wejściowe 2 17 21 3" xfId="8897"/>
    <cellStyle name="Dane wejściowe 2 17 22" xfId="8898"/>
    <cellStyle name="Dane wejściowe 2 17 22 2" xfId="8899"/>
    <cellStyle name="Dane wejściowe 2 17 22 3" xfId="8900"/>
    <cellStyle name="Dane wejściowe 2 17 23" xfId="8901"/>
    <cellStyle name="Dane wejściowe 2 17 23 2" xfId="8902"/>
    <cellStyle name="Dane wejściowe 2 17 23 3" xfId="8903"/>
    <cellStyle name="Dane wejściowe 2 17 24" xfId="8904"/>
    <cellStyle name="Dane wejściowe 2 17 24 2" xfId="8905"/>
    <cellStyle name="Dane wejściowe 2 17 24 3" xfId="8906"/>
    <cellStyle name="Dane wejściowe 2 17 25" xfId="8907"/>
    <cellStyle name="Dane wejściowe 2 17 25 2" xfId="8908"/>
    <cellStyle name="Dane wejściowe 2 17 25 3" xfId="8909"/>
    <cellStyle name="Dane wejściowe 2 17 26" xfId="8910"/>
    <cellStyle name="Dane wejściowe 2 17 26 2" xfId="8911"/>
    <cellStyle name="Dane wejściowe 2 17 26 3" xfId="8912"/>
    <cellStyle name="Dane wejściowe 2 17 27" xfId="8913"/>
    <cellStyle name="Dane wejściowe 2 17 27 2" xfId="8914"/>
    <cellStyle name="Dane wejściowe 2 17 27 3" xfId="8915"/>
    <cellStyle name="Dane wejściowe 2 17 28" xfId="8916"/>
    <cellStyle name="Dane wejściowe 2 17 28 2" xfId="8917"/>
    <cellStyle name="Dane wejściowe 2 17 28 3" xfId="8918"/>
    <cellStyle name="Dane wejściowe 2 17 29" xfId="8919"/>
    <cellStyle name="Dane wejściowe 2 17 29 2" xfId="8920"/>
    <cellStyle name="Dane wejściowe 2 17 29 3" xfId="8921"/>
    <cellStyle name="Dane wejściowe 2 17 3" xfId="8922"/>
    <cellStyle name="Dane wejściowe 2 17 3 2" xfId="8923"/>
    <cellStyle name="Dane wejściowe 2 17 3 3" xfId="8924"/>
    <cellStyle name="Dane wejściowe 2 17 3 4" xfId="8925"/>
    <cellStyle name="Dane wejściowe 2 17 30" xfId="8926"/>
    <cellStyle name="Dane wejściowe 2 17 30 2" xfId="8927"/>
    <cellStyle name="Dane wejściowe 2 17 30 3" xfId="8928"/>
    <cellStyle name="Dane wejściowe 2 17 31" xfId="8929"/>
    <cellStyle name="Dane wejściowe 2 17 31 2" xfId="8930"/>
    <cellStyle name="Dane wejściowe 2 17 31 3" xfId="8931"/>
    <cellStyle name="Dane wejściowe 2 17 32" xfId="8932"/>
    <cellStyle name="Dane wejściowe 2 17 32 2" xfId="8933"/>
    <cellStyle name="Dane wejściowe 2 17 32 3" xfId="8934"/>
    <cellStyle name="Dane wejściowe 2 17 33" xfId="8935"/>
    <cellStyle name="Dane wejściowe 2 17 33 2" xfId="8936"/>
    <cellStyle name="Dane wejściowe 2 17 33 3" xfId="8937"/>
    <cellStyle name="Dane wejściowe 2 17 34" xfId="8938"/>
    <cellStyle name="Dane wejściowe 2 17 34 2" xfId="8939"/>
    <cellStyle name="Dane wejściowe 2 17 34 3" xfId="8940"/>
    <cellStyle name="Dane wejściowe 2 17 35" xfId="8941"/>
    <cellStyle name="Dane wejściowe 2 17 35 2" xfId="8942"/>
    <cellStyle name="Dane wejściowe 2 17 35 3" xfId="8943"/>
    <cellStyle name="Dane wejściowe 2 17 36" xfId="8944"/>
    <cellStyle name="Dane wejściowe 2 17 36 2" xfId="8945"/>
    <cellStyle name="Dane wejściowe 2 17 36 3" xfId="8946"/>
    <cellStyle name="Dane wejściowe 2 17 37" xfId="8947"/>
    <cellStyle name="Dane wejściowe 2 17 37 2" xfId="8948"/>
    <cellStyle name="Dane wejściowe 2 17 37 3" xfId="8949"/>
    <cellStyle name="Dane wejściowe 2 17 38" xfId="8950"/>
    <cellStyle name="Dane wejściowe 2 17 38 2" xfId="8951"/>
    <cellStyle name="Dane wejściowe 2 17 38 3" xfId="8952"/>
    <cellStyle name="Dane wejściowe 2 17 39" xfId="8953"/>
    <cellStyle name="Dane wejściowe 2 17 39 2" xfId="8954"/>
    <cellStyle name="Dane wejściowe 2 17 39 3" xfId="8955"/>
    <cellStyle name="Dane wejściowe 2 17 4" xfId="8956"/>
    <cellStyle name="Dane wejściowe 2 17 4 2" xfId="8957"/>
    <cellStyle name="Dane wejściowe 2 17 4 3" xfId="8958"/>
    <cellStyle name="Dane wejściowe 2 17 4 4" xfId="8959"/>
    <cellStyle name="Dane wejściowe 2 17 40" xfId="8960"/>
    <cellStyle name="Dane wejściowe 2 17 40 2" xfId="8961"/>
    <cellStyle name="Dane wejściowe 2 17 40 3" xfId="8962"/>
    <cellStyle name="Dane wejściowe 2 17 41" xfId="8963"/>
    <cellStyle name="Dane wejściowe 2 17 41 2" xfId="8964"/>
    <cellStyle name="Dane wejściowe 2 17 41 3" xfId="8965"/>
    <cellStyle name="Dane wejściowe 2 17 42" xfId="8966"/>
    <cellStyle name="Dane wejściowe 2 17 42 2" xfId="8967"/>
    <cellStyle name="Dane wejściowe 2 17 42 3" xfId="8968"/>
    <cellStyle name="Dane wejściowe 2 17 43" xfId="8969"/>
    <cellStyle name="Dane wejściowe 2 17 43 2" xfId="8970"/>
    <cellStyle name="Dane wejściowe 2 17 43 3" xfId="8971"/>
    <cellStyle name="Dane wejściowe 2 17 44" xfId="8972"/>
    <cellStyle name="Dane wejściowe 2 17 44 2" xfId="8973"/>
    <cellStyle name="Dane wejściowe 2 17 44 3" xfId="8974"/>
    <cellStyle name="Dane wejściowe 2 17 45" xfId="8975"/>
    <cellStyle name="Dane wejściowe 2 17 45 2" xfId="8976"/>
    <cellStyle name="Dane wejściowe 2 17 45 3" xfId="8977"/>
    <cellStyle name="Dane wejściowe 2 17 46" xfId="8978"/>
    <cellStyle name="Dane wejściowe 2 17 46 2" xfId="8979"/>
    <cellStyle name="Dane wejściowe 2 17 46 3" xfId="8980"/>
    <cellStyle name="Dane wejściowe 2 17 47" xfId="8981"/>
    <cellStyle name="Dane wejściowe 2 17 47 2" xfId="8982"/>
    <cellStyle name="Dane wejściowe 2 17 47 3" xfId="8983"/>
    <cellStyle name="Dane wejściowe 2 17 48" xfId="8984"/>
    <cellStyle name="Dane wejściowe 2 17 48 2" xfId="8985"/>
    <cellStyle name="Dane wejściowe 2 17 48 3" xfId="8986"/>
    <cellStyle name="Dane wejściowe 2 17 49" xfId="8987"/>
    <cellStyle name="Dane wejściowe 2 17 49 2" xfId="8988"/>
    <cellStyle name="Dane wejściowe 2 17 49 3" xfId="8989"/>
    <cellStyle name="Dane wejściowe 2 17 5" xfId="8990"/>
    <cellStyle name="Dane wejściowe 2 17 5 2" xfId="8991"/>
    <cellStyle name="Dane wejściowe 2 17 5 3" xfId="8992"/>
    <cellStyle name="Dane wejściowe 2 17 5 4" xfId="8993"/>
    <cellStyle name="Dane wejściowe 2 17 50" xfId="8994"/>
    <cellStyle name="Dane wejściowe 2 17 50 2" xfId="8995"/>
    <cellStyle name="Dane wejściowe 2 17 50 3" xfId="8996"/>
    <cellStyle name="Dane wejściowe 2 17 51" xfId="8997"/>
    <cellStyle name="Dane wejściowe 2 17 51 2" xfId="8998"/>
    <cellStyle name="Dane wejściowe 2 17 51 3" xfId="8999"/>
    <cellStyle name="Dane wejściowe 2 17 52" xfId="9000"/>
    <cellStyle name="Dane wejściowe 2 17 52 2" xfId="9001"/>
    <cellStyle name="Dane wejściowe 2 17 52 3" xfId="9002"/>
    <cellStyle name="Dane wejściowe 2 17 53" xfId="9003"/>
    <cellStyle name="Dane wejściowe 2 17 53 2" xfId="9004"/>
    <cellStyle name="Dane wejściowe 2 17 53 3" xfId="9005"/>
    <cellStyle name="Dane wejściowe 2 17 54" xfId="9006"/>
    <cellStyle name="Dane wejściowe 2 17 54 2" xfId="9007"/>
    <cellStyle name="Dane wejściowe 2 17 54 3" xfId="9008"/>
    <cellStyle name="Dane wejściowe 2 17 55" xfId="9009"/>
    <cellStyle name="Dane wejściowe 2 17 55 2" xfId="9010"/>
    <cellStyle name="Dane wejściowe 2 17 55 3" xfId="9011"/>
    <cellStyle name="Dane wejściowe 2 17 56" xfId="9012"/>
    <cellStyle name="Dane wejściowe 2 17 56 2" xfId="9013"/>
    <cellStyle name="Dane wejściowe 2 17 56 3" xfId="9014"/>
    <cellStyle name="Dane wejściowe 2 17 57" xfId="9015"/>
    <cellStyle name="Dane wejściowe 2 17 58" xfId="9016"/>
    <cellStyle name="Dane wejściowe 2 17 6" xfId="9017"/>
    <cellStyle name="Dane wejściowe 2 17 6 2" xfId="9018"/>
    <cellStyle name="Dane wejściowe 2 17 6 3" xfId="9019"/>
    <cellStyle name="Dane wejściowe 2 17 6 4" xfId="9020"/>
    <cellStyle name="Dane wejściowe 2 17 7" xfId="9021"/>
    <cellStyle name="Dane wejściowe 2 17 7 2" xfId="9022"/>
    <cellStyle name="Dane wejściowe 2 17 7 3" xfId="9023"/>
    <cellStyle name="Dane wejściowe 2 17 7 4" xfId="9024"/>
    <cellStyle name="Dane wejściowe 2 17 8" xfId="9025"/>
    <cellStyle name="Dane wejściowe 2 17 8 2" xfId="9026"/>
    <cellStyle name="Dane wejściowe 2 17 8 3" xfId="9027"/>
    <cellStyle name="Dane wejściowe 2 17 8 4" xfId="9028"/>
    <cellStyle name="Dane wejściowe 2 17 9" xfId="9029"/>
    <cellStyle name="Dane wejściowe 2 17 9 2" xfId="9030"/>
    <cellStyle name="Dane wejściowe 2 17 9 3" xfId="9031"/>
    <cellStyle name="Dane wejściowe 2 17 9 4" xfId="9032"/>
    <cellStyle name="Dane wejściowe 2 18" xfId="9033"/>
    <cellStyle name="Dane wejściowe 2 18 10" xfId="9034"/>
    <cellStyle name="Dane wejściowe 2 18 10 2" xfId="9035"/>
    <cellStyle name="Dane wejściowe 2 18 10 3" xfId="9036"/>
    <cellStyle name="Dane wejściowe 2 18 10 4" xfId="9037"/>
    <cellStyle name="Dane wejściowe 2 18 11" xfId="9038"/>
    <cellStyle name="Dane wejściowe 2 18 11 2" xfId="9039"/>
    <cellStyle name="Dane wejściowe 2 18 11 3" xfId="9040"/>
    <cellStyle name="Dane wejściowe 2 18 11 4" xfId="9041"/>
    <cellStyle name="Dane wejściowe 2 18 12" xfId="9042"/>
    <cellStyle name="Dane wejściowe 2 18 12 2" xfId="9043"/>
    <cellStyle name="Dane wejściowe 2 18 12 3" xfId="9044"/>
    <cellStyle name="Dane wejściowe 2 18 12 4" xfId="9045"/>
    <cellStyle name="Dane wejściowe 2 18 13" xfId="9046"/>
    <cellStyle name="Dane wejściowe 2 18 13 2" xfId="9047"/>
    <cellStyle name="Dane wejściowe 2 18 13 3" xfId="9048"/>
    <cellStyle name="Dane wejściowe 2 18 13 4" xfId="9049"/>
    <cellStyle name="Dane wejściowe 2 18 14" xfId="9050"/>
    <cellStyle name="Dane wejściowe 2 18 14 2" xfId="9051"/>
    <cellStyle name="Dane wejściowe 2 18 14 3" xfId="9052"/>
    <cellStyle name="Dane wejściowe 2 18 14 4" xfId="9053"/>
    <cellStyle name="Dane wejściowe 2 18 15" xfId="9054"/>
    <cellStyle name="Dane wejściowe 2 18 15 2" xfId="9055"/>
    <cellStyle name="Dane wejściowe 2 18 15 3" xfId="9056"/>
    <cellStyle name="Dane wejściowe 2 18 15 4" xfId="9057"/>
    <cellStyle name="Dane wejściowe 2 18 16" xfId="9058"/>
    <cellStyle name="Dane wejściowe 2 18 16 2" xfId="9059"/>
    <cellStyle name="Dane wejściowe 2 18 16 3" xfId="9060"/>
    <cellStyle name="Dane wejściowe 2 18 16 4" xfId="9061"/>
    <cellStyle name="Dane wejściowe 2 18 17" xfId="9062"/>
    <cellStyle name="Dane wejściowe 2 18 17 2" xfId="9063"/>
    <cellStyle name="Dane wejściowe 2 18 17 3" xfId="9064"/>
    <cellStyle name="Dane wejściowe 2 18 17 4" xfId="9065"/>
    <cellStyle name="Dane wejściowe 2 18 18" xfId="9066"/>
    <cellStyle name="Dane wejściowe 2 18 18 2" xfId="9067"/>
    <cellStyle name="Dane wejściowe 2 18 18 3" xfId="9068"/>
    <cellStyle name="Dane wejściowe 2 18 18 4" xfId="9069"/>
    <cellStyle name="Dane wejściowe 2 18 19" xfId="9070"/>
    <cellStyle name="Dane wejściowe 2 18 19 2" xfId="9071"/>
    <cellStyle name="Dane wejściowe 2 18 19 3" xfId="9072"/>
    <cellStyle name="Dane wejściowe 2 18 19 4" xfId="9073"/>
    <cellStyle name="Dane wejściowe 2 18 2" xfId="9074"/>
    <cellStyle name="Dane wejściowe 2 18 2 2" xfId="9075"/>
    <cellStyle name="Dane wejściowe 2 18 2 3" xfId="9076"/>
    <cellStyle name="Dane wejściowe 2 18 2 4" xfId="9077"/>
    <cellStyle name="Dane wejściowe 2 18 20" xfId="9078"/>
    <cellStyle name="Dane wejściowe 2 18 20 2" xfId="9079"/>
    <cellStyle name="Dane wejściowe 2 18 20 3" xfId="9080"/>
    <cellStyle name="Dane wejściowe 2 18 20 4" xfId="9081"/>
    <cellStyle name="Dane wejściowe 2 18 21" xfId="9082"/>
    <cellStyle name="Dane wejściowe 2 18 21 2" xfId="9083"/>
    <cellStyle name="Dane wejściowe 2 18 21 3" xfId="9084"/>
    <cellStyle name="Dane wejściowe 2 18 22" xfId="9085"/>
    <cellStyle name="Dane wejściowe 2 18 22 2" xfId="9086"/>
    <cellStyle name="Dane wejściowe 2 18 22 3" xfId="9087"/>
    <cellStyle name="Dane wejściowe 2 18 23" xfId="9088"/>
    <cellStyle name="Dane wejściowe 2 18 23 2" xfId="9089"/>
    <cellStyle name="Dane wejściowe 2 18 23 3" xfId="9090"/>
    <cellStyle name="Dane wejściowe 2 18 24" xfId="9091"/>
    <cellStyle name="Dane wejściowe 2 18 24 2" xfId="9092"/>
    <cellStyle name="Dane wejściowe 2 18 24 3" xfId="9093"/>
    <cellStyle name="Dane wejściowe 2 18 25" xfId="9094"/>
    <cellStyle name="Dane wejściowe 2 18 25 2" xfId="9095"/>
    <cellStyle name="Dane wejściowe 2 18 25 3" xfId="9096"/>
    <cellStyle name="Dane wejściowe 2 18 26" xfId="9097"/>
    <cellStyle name="Dane wejściowe 2 18 26 2" xfId="9098"/>
    <cellStyle name="Dane wejściowe 2 18 26 3" xfId="9099"/>
    <cellStyle name="Dane wejściowe 2 18 27" xfId="9100"/>
    <cellStyle name="Dane wejściowe 2 18 27 2" xfId="9101"/>
    <cellStyle name="Dane wejściowe 2 18 27 3" xfId="9102"/>
    <cellStyle name="Dane wejściowe 2 18 28" xfId="9103"/>
    <cellStyle name="Dane wejściowe 2 18 28 2" xfId="9104"/>
    <cellStyle name="Dane wejściowe 2 18 28 3" xfId="9105"/>
    <cellStyle name="Dane wejściowe 2 18 29" xfId="9106"/>
    <cellStyle name="Dane wejściowe 2 18 29 2" xfId="9107"/>
    <cellStyle name="Dane wejściowe 2 18 29 3" xfId="9108"/>
    <cellStyle name="Dane wejściowe 2 18 3" xfId="9109"/>
    <cellStyle name="Dane wejściowe 2 18 3 2" xfId="9110"/>
    <cellStyle name="Dane wejściowe 2 18 3 3" xfId="9111"/>
    <cellStyle name="Dane wejściowe 2 18 3 4" xfId="9112"/>
    <cellStyle name="Dane wejściowe 2 18 30" xfId="9113"/>
    <cellStyle name="Dane wejściowe 2 18 30 2" xfId="9114"/>
    <cellStyle name="Dane wejściowe 2 18 30 3" xfId="9115"/>
    <cellStyle name="Dane wejściowe 2 18 31" xfId="9116"/>
    <cellStyle name="Dane wejściowe 2 18 31 2" xfId="9117"/>
    <cellStyle name="Dane wejściowe 2 18 31 3" xfId="9118"/>
    <cellStyle name="Dane wejściowe 2 18 32" xfId="9119"/>
    <cellStyle name="Dane wejściowe 2 18 32 2" xfId="9120"/>
    <cellStyle name="Dane wejściowe 2 18 32 3" xfId="9121"/>
    <cellStyle name="Dane wejściowe 2 18 33" xfId="9122"/>
    <cellStyle name="Dane wejściowe 2 18 33 2" xfId="9123"/>
    <cellStyle name="Dane wejściowe 2 18 33 3" xfId="9124"/>
    <cellStyle name="Dane wejściowe 2 18 34" xfId="9125"/>
    <cellStyle name="Dane wejściowe 2 18 34 2" xfId="9126"/>
    <cellStyle name="Dane wejściowe 2 18 34 3" xfId="9127"/>
    <cellStyle name="Dane wejściowe 2 18 35" xfId="9128"/>
    <cellStyle name="Dane wejściowe 2 18 35 2" xfId="9129"/>
    <cellStyle name="Dane wejściowe 2 18 35 3" xfId="9130"/>
    <cellStyle name="Dane wejściowe 2 18 36" xfId="9131"/>
    <cellStyle name="Dane wejściowe 2 18 36 2" xfId="9132"/>
    <cellStyle name="Dane wejściowe 2 18 36 3" xfId="9133"/>
    <cellStyle name="Dane wejściowe 2 18 37" xfId="9134"/>
    <cellStyle name="Dane wejściowe 2 18 37 2" xfId="9135"/>
    <cellStyle name="Dane wejściowe 2 18 37 3" xfId="9136"/>
    <cellStyle name="Dane wejściowe 2 18 38" xfId="9137"/>
    <cellStyle name="Dane wejściowe 2 18 38 2" xfId="9138"/>
    <cellStyle name="Dane wejściowe 2 18 38 3" xfId="9139"/>
    <cellStyle name="Dane wejściowe 2 18 39" xfId="9140"/>
    <cellStyle name="Dane wejściowe 2 18 39 2" xfId="9141"/>
    <cellStyle name="Dane wejściowe 2 18 39 3" xfId="9142"/>
    <cellStyle name="Dane wejściowe 2 18 4" xfId="9143"/>
    <cellStyle name="Dane wejściowe 2 18 4 2" xfId="9144"/>
    <cellStyle name="Dane wejściowe 2 18 4 3" xfId="9145"/>
    <cellStyle name="Dane wejściowe 2 18 4 4" xfId="9146"/>
    <cellStyle name="Dane wejściowe 2 18 40" xfId="9147"/>
    <cellStyle name="Dane wejściowe 2 18 40 2" xfId="9148"/>
    <cellStyle name="Dane wejściowe 2 18 40 3" xfId="9149"/>
    <cellStyle name="Dane wejściowe 2 18 41" xfId="9150"/>
    <cellStyle name="Dane wejściowe 2 18 41 2" xfId="9151"/>
    <cellStyle name="Dane wejściowe 2 18 41 3" xfId="9152"/>
    <cellStyle name="Dane wejściowe 2 18 42" xfId="9153"/>
    <cellStyle name="Dane wejściowe 2 18 42 2" xfId="9154"/>
    <cellStyle name="Dane wejściowe 2 18 42 3" xfId="9155"/>
    <cellStyle name="Dane wejściowe 2 18 43" xfId="9156"/>
    <cellStyle name="Dane wejściowe 2 18 43 2" xfId="9157"/>
    <cellStyle name="Dane wejściowe 2 18 43 3" xfId="9158"/>
    <cellStyle name="Dane wejściowe 2 18 44" xfId="9159"/>
    <cellStyle name="Dane wejściowe 2 18 44 2" xfId="9160"/>
    <cellStyle name="Dane wejściowe 2 18 44 3" xfId="9161"/>
    <cellStyle name="Dane wejściowe 2 18 45" xfId="9162"/>
    <cellStyle name="Dane wejściowe 2 18 45 2" xfId="9163"/>
    <cellStyle name="Dane wejściowe 2 18 45 3" xfId="9164"/>
    <cellStyle name="Dane wejściowe 2 18 46" xfId="9165"/>
    <cellStyle name="Dane wejściowe 2 18 46 2" xfId="9166"/>
    <cellStyle name="Dane wejściowe 2 18 46 3" xfId="9167"/>
    <cellStyle name="Dane wejściowe 2 18 47" xfId="9168"/>
    <cellStyle name="Dane wejściowe 2 18 47 2" xfId="9169"/>
    <cellStyle name="Dane wejściowe 2 18 47 3" xfId="9170"/>
    <cellStyle name="Dane wejściowe 2 18 48" xfId="9171"/>
    <cellStyle name="Dane wejściowe 2 18 48 2" xfId="9172"/>
    <cellStyle name="Dane wejściowe 2 18 48 3" xfId="9173"/>
    <cellStyle name="Dane wejściowe 2 18 49" xfId="9174"/>
    <cellStyle name="Dane wejściowe 2 18 49 2" xfId="9175"/>
    <cellStyle name="Dane wejściowe 2 18 49 3" xfId="9176"/>
    <cellStyle name="Dane wejściowe 2 18 5" xfId="9177"/>
    <cellStyle name="Dane wejściowe 2 18 5 2" xfId="9178"/>
    <cellStyle name="Dane wejściowe 2 18 5 3" xfId="9179"/>
    <cellStyle name="Dane wejściowe 2 18 5 4" xfId="9180"/>
    <cellStyle name="Dane wejściowe 2 18 50" xfId="9181"/>
    <cellStyle name="Dane wejściowe 2 18 50 2" xfId="9182"/>
    <cellStyle name="Dane wejściowe 2 18 50 3" xfId="9183"/>
    <cellStyle name="Dane wejściowe 2 18 51" xfId="9184"/>
    <cellStyle name="Dane wejściowe 2 18 51 2" xfId="9185"/>
    <cellStyle name="Dane wejściowe 2 18 51 3" xfId="9186"/>
    <cellStyle name="Dane wejściowe 2 18 52" xfId="9187"/>
    <cellStyle name="Dane wejściowe 2 18 52 2" xfId="9188"/>
    <cellStyle name="Dane wejściowe 2 18 52 3" xfId="9189"/>
    <cellStyle name="Dane wejściowe 2 18 53" xfId="9190"/>
    <cellStyle name="Dane wejściowe 2 18 53 2" xfId="9191"/>
    <cellStyle name="Dane wejściowe 2 18 53 3" xfId="9192"/>
    <cellStyle name="Dane wejściowe 2 18 54" xfId="9193"/>
    <cellStyle name="Dane wejściowe 2 18 54 2" xfId="9194"/>
    <cellStyle name="Dane wejściowe 2 18 54 3" xfId="9195"/>
    <cellStyle name="Dane wejściowe 2 18 55" xfId="9196"/>
    <cellStyle name="Dane wejściowe 2 18 55 2" xfId="9197"/>
    <cellStyle name="Dane wejściowe 2 18 55 3" xfId="9198"/>
    <cellStyle name="Dane wejściowe 2 18 56" xfId="9199"/>
    <cellStyle name="Dane wejściowe 2 18 56 2" xfId="9200"/>
    <cellStyle name="Dane wejściowe 2 18 56 3" xfId="9201"/>
    <cellStyle name="Dane wejściowe 2 18 57" xfId="9202"/>
    <cellStyle name="Dane wejściowe 2 18 58" xfId="9203"/>
    <cellStyle name="Dane wejściowe 2 18 6" xfId="9204"/>
    <cellStyle name="Dane wejściowe 2 18 6 2" xfId="9205"/>
    <cellStyle name="Dane wejściowe 2 18 6 3" xfId="9206"/>
    <cellStyle name="Dane wejściowe 2 18 6 4" xfId="9207"/>
    <cellStyle name="Dane wejściowe 2 18 7" xfId="9208"/>
    <cellStyle name="Dane wejściowe 2 18 7 2" xfId="9209"/>
    <cellStyle name="Dane wejściowe 2 18 7 3" xfId="9210"/>
    <cellStyle name="Dane wejściowe 2 18 7 4" xfId="9211"/>
    <cellStyle name="Dane wejściowe 2 18 8" xfId="9212"/>
    <cellStyle name="Dane wejściowe 2 18 8 2" xfId="9213"/>
    <cellStyle name="Dane wejściowe 2 18 8 3" xfId="9214"/>
    <cellStyle name="Dane wejściowe 2 18 8 4" xfId="9215"/>
    <cellStyle name="Dane wejściowe 2 18 9" xfId="9216"/>
    <cellStyle name="Dane wejściowe 2 18 9 2" xfId="9217"/>
    <cellStyle name="Dane wejściowe 2 18 9 3" xfId="9218"/>
    <cellStyle name="Dane wejściowe 2 18 9 4" xfId="9219"/>
    <cellStyle name="Dane wejściowe 2 19" xfId="9220"/>
    <cellStyle name="Dane wejściowe 2 19 10" xfId="9221"/>
    <cellStyle name="Dane wejściowe 2 19 10 2" xfId="9222"/>
    <cellStyle name="Dane wejściowe 2 19 10 3" xfId="9223"/>
    <cellStyle name="Dane wejściowe 2 19 10 4" xfId="9224"/>
    <cellStyle name="Dane wejściowe 2 19 11" xfId="9225"/>
    <cellStyle name="Dane wejściowe 2 19 11 2" xfId="9226"/>
    <cellStyle name="Dane wejściowe 2 19 11 3" xfId="9227"/>
    <cellStyle name="Dane wejściowe 2 19 11 4" xfId="9228"/>
    <cellStyle name="Dane wejściowe 2 19 12" xfId="9229"/>
    <cellStyle name="Dane wejściowe 2 19 12 2" xfId="9230"/>
    <cellStyle name="Dane wejściowe 2 19 12 3" xfId="9231"/>
    <cellStyle name="Dane wejściowe 2 19 12 4" xfId="9232"/>
    <cellStyle name="Dane wejściowe 2 19 13" xfId="9233"/>
    <cellStyle name="Dane wejściowe 2 19 13 2" xfId="9234"/>
    <cellStyle name="Dane wejściowe 2 19 13 3" xfId="9235"/>
    <cellStyle name="Dane wejściowe 2 19 13 4" xfId="9236"/>
    <cellStyle name="Dane wejściowe 2 19 14" xfId="9237"/>
    <cellStyle name="Dane wejściowe 2 19 14 2" xfId="9238"/>
    <cellStyle name="Dane wejściowe 2 19 14 3" xfId="9239"/>
    <cellStyle name="Dane wejściowe 2 19 14 4" xfId="9240"/>
    <cellStyle name="Dane wejściowe 2 19 15" xfId="9241"/>
    <cellStyle name="Dane wejściowe 2 19 15 2" xfId="9242"/>
    <cellStyle name="Dane wejściowe 2 19 15 3" xfId="9243"/>
    <cellStyle name="Dane wejściowe 2 19 15 4" xfId="9244"/>
    <cellStyle name="Dane wejściowe 2 19 16" xfId="9245"/>
    <cellStyle name="Dane wejściowe 2 19 16 2" xfId="9246"/>
    <cellStyle name="Dane wejściowe 2 19 16 3" xfId="9247"/>
    <cellStyle name="Dane wejściowe 2 19 16 4" xfId="9248"/>
    <cellStyle name="Dane wejściowe 2 19 17" xfId="9249"/>
    <cellStyle name="Dane wejściowe 2 19 17 2" xfId="9250"/>
    <cellStyle name="Dane wejściowe 2 19 17 3" xfId="9251"/>
    <cellStyle name="Dane wejściowe 2 19 17 4" xfId="9252"/>
    <cellStyle name="Dane wejściowe 2 19 18" xfId="9253"/>
    <cellStyle name="Dane wejściowe 2 19 18 2" xfId="9254"/>
    <cellStyle name="Dane wejściowe 2 19 18 3" xfId="9255"/>
    <cellStyle name="Dane wejściowe 2 19 18 4" xfId="9256"/>
    <cellStyle name="Dane wejściowe 2 19 19" xfId="9257"/>
    <cellStyle name="Dane wejściowe 2 19 19 2" xfId="9258"/>
    <cellStyle name="Dane wejściowe 2 19 19 3" xfId="9259"/>
    <cellStyle name="Dane wejściowe 2 19 19 4" xfId="9260"/>
    <cellStyle name="Dane wejściowe 2 19 2" xfId="9261"/>
    <cellStyle name="Dane wejściowe 2 19 2 2" xfId="9262"/>
    <cellStyle name="Dane wejściowe 2 19 2 3" xfId="9263"/>
    <cellStyle name="Dane wejściowe 2 19 2 4" xfId="9264"/>
    <cellStyle name="Dane wejściowe 2 19 20" xfId="9265"/>
    <cellStyle name="Dane wejściowe 2 19 20 2" xfId="9266"/>
    <cellStyle name="Dane wejściowe 2 19 20 3" xfId="9267"/>
    <cellStyle name="Dane wejściowe 2 19 20 4" xfId="9268"/>
    <cellStyle name="Dane wejściowe 2 19 21" xfId="9269"/>
    <cellStyle name="Dane wejściowe 2 19 21 2" xfId="9270"/>
    <cellStyle name="Dane wejściowe 2 19 21 3" xfId="9271"/>
    <cellStyle name="Dane wejściowe 2 19 22" xfId="9272"/>
    <cellStyle name="Dane wejściowe 2 19 22 2" xfId="9273"/>
    <cellStyle name="Dane wejściowe 2 19 22 3" xfId="9274"/>
    <cellStyle name="Dane wejściowe 2 19 23" xfId="9275"/>
    <cellStyle name="Dane wejściowe 2 19 23 2" xfId="9276"/>
    <cellStyle name="Dane wejściowe 2 19 23 3" xfId="9277"/>
    <cellStyle name="Dane wejściowe 2 19 24" xfId="9278"/>
    <cellStyle name="Dane wejściowe 2 19 24 2" xfId="9279"/>
    <cellStyle name="Dane wejściowe 2 19 24 3" xfId="9280"/>
    <cellStyle name="Dane wejściowe 2 19 25" xfId="9281"/>
    <cellStyle name="Dane wejściowe 2 19 25 2" xfId="9282"/>
    <cellStyle name="Dane wejściowe 2 19 25 3" xfId="9283"/>
    <cellStyle name="Dane wejściowe 2 19 26" xfId="9284"/>
    <cellStyle name="Dane wejściowe 2 19 26 2" xfId="9285"/>
    <cellStyle name="Dane wejściowe 2 19 26 3" xfId="9286"/>
    <cellStyle name="Dane wejściowe 2 19 27" xfId="9287"/>
    <cellStyle name="Dane wejściowe 2 19 27 2" xfId="9288"/>
    <cellStyle name="Dane wejściowe 2 19 27 3" xfId="9289"/>
    <cellStyle name="Dane wejściowe 2 19 28" xfId="9290"/>
    <cellStyle name="Dane wejściowe 2 19 28 2" xfId="9291"/>
    <cellStyle name="Dane wejściowe 2 19 28 3" xfId="9292"/>
    <cellStyle name="Dane wejściowe 2 19 29" xfId="9293"/>
    <cellStyle name="Dane wejściowe 2 19 29 2" xfId="9294"/>
    <cellStyle name="Dane wejściowe 2 19 29 3" xfId="9295"/>
    <cellStyle name="Dane wejściowe 2 19 3" xfId="9296"/>
    <cellStyle name="Dane wejściowe 2 19 3 2" xfId="9297"/>
    <cellStyle name="Dane wejściowe 2 19 3 3" xfId="9298"/>
    <cellStyle name="Dane wejściowe 2 19 3 4" xfId="9299"/>
    <cellStyle name="Dane wejściowe 2 19 30" xfId="9300"/>
    <cellStyle name="Dane wejściowe 2 19 30 2" xfId="9301"/>
    <cellStyle name="Dane wejściowe 2 19 30 3" xfId="9302"/>
    <cellStyle name="Dane wejściowe 2 19 31" xfId="9303"/>
    <cellStyle name="Dane wejściowe 2 19 31 2" xfId="9304"/>
    <cellStyle name="Dane wejściowe 2 19 31 3" xfId="9305"/>
    <cellStyle name="Dane wejściowe 2 19 32" xfId="9306"/>
    <cellStyle name="Dane wejściowe 2 19 32 2" xfId="9307"/>
    <cellStyle name="Dane wejściowe 2 19 32 3" xfId="9308"/>
    <cellStyle name="Dane wejściowe 2 19 33" xfId="9309"/>
    <cellStyle name="Dane wejściowe 2 19 33 2" xfId="9310"/>
    <cellStyle name="Dane wejściowe 2 19 33 3" xfId="9311"/>
    <cellStyle name="Dane wejściowe 2 19 34" xfId="9312"/>
    <cellStyle name="Dane wejściowe 2 19 34 2" xfId="9313"/>
    <cellStyle name="Dane wejściowe 2 19 34 3" xfId="9314"/>
    <cellStyle name="Dane wejściowe 2 19 35" xfId="9315"/>
    <cellStyle name="Dane wejściowe 2 19 35 2" xfId="9316"/>
    <cellStyle name="Dane wejściowe 2 19 35 3" xfId="9317"/>
    <cellStyle name="Dane wejściowe 2 19 36" xfId="9318"/>
    <cellStyle name="Dane wejściowe 2 19 36 2" xfId="9319"/>
    <cellStyle name="Dane wejściowe 2 19 36 3" xfId="9320"/>
    <cellStyle name="Dane wejściowe 2 19 37" xfId="9321"/>
    <cellStyle name="Dane wejściowe 2 19 37 2" xfId="9322"/>
    <cellStyle name="Dane wejściowe 2 19 37 3" xfId="9323"/>
    <cellStyle name="Dane wejściowe 2 19 38" xfId="9324"/>
    <cellStyle name="Dane wejściowe 2 19 38 2" xfId="9325"/>
    <cellStyle name="Dane wejściowe 2 19 38 3" xfId="9326"/>
    <cellStyle name="Dane wejściowe 2 19 39" xfId="9327"/>
    <cellStyle name="Dane wejściowe 2 19 39 2" xfId="9328"/>
    <cellStyle name="Dane wejściowe 2 19 39 3" xfId="9329"/>
    <cellStyle name="Dane wejściowe 2 19 4" xfId="9330"/>
    <cellStyle name="Dane wejściowe 2 19 4 2" xfId="9331"/>
    <cellStyle name="Dane wejściowe 2 19 4 3" xfId="9332"/>
    <cellStyle name="Dane wejściowe 2 19 4 4" xfId="9333"/>
    <cellStyle name="Dane wejściowe 2 19 40" xfId="9334"/>
    <cellStyle name="Dane wejściowe 2 19 40 2" xfId="9335"/>
    <cellStyle name="Dane wejściowe 2 19 40 3" xfId="9336"/>
    <cellStyle name="Dane wejściowe 2 19 41" xfId="9337"/>
    <cellStyle name="Dane wejściowe 2 19 41 2" xfId="9338"/>
    <cellStyle name="Dane wejściowe 2 19 41 3" xfId="9339"/>
    <cellStyle name="Dane wejściowe 2 19 42" xfId="9340"/>
    <cellStyle name="Dane wejściowe 2 19 42 2" xfId="9341"/>
    <cellStyle name="Dane wejściowe 2 19 42 3" xfId="9342"/>
    <cellStyle name="Dane wejściowe 2 19 43" xfId="9343"/>
    <cellStyle name="Dane wejściowe 2 19 43 2" xfId="9344"/>
    <cellStyle name="Dane wejściowe 2 19 43 3" xfId="9345"/>
    <cellStyle name="Dane wejściowe 2 19 44" xfId="9346"/>
    <cellStyle name="Dane wejściowe 2 19 44 2" xfId="9347"/>
    <cellStyle name="Dane wejściowe 2 19 44 3" xfId="9348"/>
    <cellStyle name="Dane wejściowe 2 19 45" xfId="9349"/>
    <cellStyle name="Dane wejściowe 2 19 45 2" xfId="9350"/>
    <cellStyle name="Dane wejściowe 2 19 45 3" xfId="9351"/>
    <cellStyle name="Dane wejściowe 2 19 46" xfId="9352"/>
    <cellStyle name="Dane wejściowe 2 19 46 2" xfId="9353"/>
    <cellStyle name="Dane wejściowe 2 19 46 3" xfId="9354"/>
    <cellStyle name="Dane wejściowe 2 19 47" xfId="9355"/>
    <cellStyle name="Dane wejściowe 2 19 47 2" xfId="9356"/>
    <cellStyle name="Dane wejściowe 2 19 47 3" xfId="9357"/>
    <cellStyle name="Dane wejściowe 2 19 48" xfId="9358"/>
    <cellStyle name="Dane wejściowe 2 19 48 2" xfId="9359"/>
    <cellStyle name="Dane wejściowe 2 19 48 3" xfId="9360"/>
    <cellStyle name="Dane wejściowe 2 19 49" xfId="9361"/>
    <cellStyle name="Dane wejściowe 2 19 49 2" xfId="9362"/>
    <cellStyle name="Dane wejściowe 2 19 49 3" xfId="9363"/>
    <cellStyle name="Dane wejściowe 2 19 5" xfId="9364"/>
    <cellStyle name="Dane wejściowe 2 19 5 2" xfId="9365"/>
    <cellStyle name="Dane wejściowe 2 19 5 3" xfId="9366"/>
    <cellStyle name="Dane wejściowe 2 19 5 4" xfId="9367"/>
    <cellStyle name="Dane wejściowe 2 19 50" xfId="9368"/>
    <cellStyle name="Dane wejściowe 2 19 50 2" xfId="9369"/>
    <cellStyle name="Dane wejściowe 2 19 50 3" xfId="9370"/>
    <cellStyle name="Dane wejściowe 2 19 51" xfId="9371"/>
    <cellStyle name="Dane wejściowe 2 19 51 2" xfId="9372"/>
    <cellStyle name="Dane wejściowe 2 19 51 3" xfId="9373"/>
    <cellStyle name="Dane wejściowe 2 19 52" xfId="9374"/>
    <cellStyle name="Dane wejściowe 2 19 52 2" xfId="9375"/>
    <cellStyle name="Dane wejściowe 2 19 52 3" xfId="9376"/>
    <cellStyle name="Dane wejściowe 2 19 53" xfId="9377"/>
    <cellStyle name="Dane wejściowe 2 19 53 2" xfId="9378"/>
    <cellStyle name="Dane wejściowe 2 19 53 3" xfId="9379"/>
    <cellStyle name="Dane wejściowe 2 19 54" xfId="9380"/>
    <cellStyle name="Dane wejściowe 2 19 54 2" xfId="9381"/>
    <cellStyle name="Dane wejściowe 2 19 54 3" xfId="9382"/>
    <cellStyle name="Dane wejściowe 2 19 55" xfId="9383"/>
    <cellStyle name="Dane wejściowe 2 19 55 2" xfId="9384"/>
    <cellStyle name="Dane wejściowe 2 19 55 3" xfId="9385"/>
    <cellStyle name="Dane wejściowe 2 19 56" xfId="9386"/>
    <cellStyle name="Dane wejściowe 2 19 56 2" xfId="9387"/>
    <cellStyle name="Dane wejściowe 2 19 56 3" xfId="9388"/>
    <cellStyle name="Dane wejściowe 2 19 57" xfId="9389"/>
    <cellStyle name="Dane wejściowe 2 19 58" xfId="9390"/>
    <cellStyle name="Dane wejściowe 2 19 6" xfId="9391"/>
    <cellStyle name="Dane wejściowe 2 19 6 2" xfId="9392"/>
    <cellStyle name="Dane wejściowe 2 19 6 3" xfId="9393"/>
    <cellStyle name="Dane wejściowe 2 19 6 4" xfId="9394"/>
    <cellStyle name="Dane wejściowe 2 19 7" xfId="9395"/>
    <cellStyle name="Dane wejściowe 2 19 7 2" xfId="9396"/>
    <cellStyle name="Dane wejściowe 2 19 7 3" xfId="9397"/>
    <cellStyle name="Dane wejściowe 2 19 7 4" xfId="9398"/>
    <cellStyle name="Dane wejściowe 2 19 8" xfId="9399"/>
    <cellStyle name="Dane wejściowe 2 19 8 2" xfId="9400"/>
    <cellStyle name="Dane wejściowe 2 19 8 3" xfId="9401"/>
    <cellStyle name="Dane wejściowe 2 19 8 4" xfId="9402"/>
    <cellStyle name="Dane wejściowe 2 19 9" xfId="9403"/>
    <cellStyle name="Dane wejściowe 2 19 9 2" xfId="9404"/>
    <cellStyle name="Dane wejściowe 2 19 9 3" xfId="9405"/>
    <cellStyle name="Dane wejściowe 2 19 9 4" xfId="9406"/>
    <cellStyle name="Dane wejściowe 2 2" xfId="9407"/>
    <cellStyle name="Dane wejściowe 2 2 10" xfId="9408"/>
    <cellStyle name="Dane wejściowe 2 2 10 2" xfId="9409"/>
    <cellStyle name="Dane wejściowe 2 2 10 3" xfId="9410"/>
    <cellStyle name="Dane wejściowe 2 2 10 4" xfId="9411"/>
    <cellStyle name="Dane wejściowe 2 2 11" xfId="9412"/>
    <cellStyle name="Dane wejściowe 2 2 11 2" xfId="9413"/>
    <cellStyle name="Dane wejściowe 2 2 11 3" xfId="9414"/>
    <cellStyle name="Dane wejściowe 2 2 11 4" xfId="9415"/>
    <cellStyle name="Dane wejściowe 2 2 12" xfId="9416"/>
    <cellStyle name="Dane wejściowe 2 2 12 2" xfId="9417"/>
    <cellStyle name="Dane wejściowe 2 2 12 3" xfId="9418"/>
    <cellStyle name="Dane wejściowe 2 2 12 4" xfId="9419"/>
    <cellStyle name="Dane wejściowe 2 2 13" xfId="9420"/>
    <cellStyle name="Dane wejściowe 2 2 13 2" xfId="9421"/>
    <cellStyle name="Dane wejściowe 2 2 13 3" xfId="9422"/>
    <cellStyle name="Dane wejściowe 2 2 13 4" xfId="9423"/>
    <cellStyle name="Dane wejściowe 2 2 14" xfId="9424"/>
    <cellStyle name="Dane wejściowe 2 2 14 2" xfId="9425"/>
    <cellStyle name="Dane wejściowe 2 2 14 3" xfId="9426"/>
    <cellStyle name="Dane wejściowe 2 2 14 4" xfId="9427"/>
    <cellStyle name="Dane wejściowe 2 2 15" xfId="9428"/>
    <cellStyle name="Dane wejściowe 2 2 15 2" xfId="9429"/>
    <cellStyle name="Dane wejściowe 2 2 15 3" xfId="9430"/>
    <cellStyle name="Dane wejściowe 2 2 15 4" xfId="9431"/>
    <cellStyle name="Dane wejściowe 2 2 16" xfId="9432"/>
    <cellStyle name="Dane wejściowe 2 2 16 2" xfId="9433"/>
    <cellStyle name="Dane wejściowe 2 2 16 3" xfId="9434"/>
    <cellStyle name="Dane wejściowe 2 2 16 4" xfId="9435"/>
    <cellStyle name="Dane wejściowe 2 2 17" xfId="9436"/>
    <cellStyle name="Dane wejściowe 2 2 17 2" xfId="9437"/>
    <cellStyle name="Dane wejściowe 2 2 17 3" xfId="9438"/>
    <cellStyle name="Dane wejściowe 2 2 17 4" xfId="9439"/>
    <cellStyle name="Dane wejściowe 2 2 18" xfId="9440"/>
    <cellStyle name="Dane wejściowe 2 2 18 2" xfId="9441"/>
    <cellStyle name="Dane wejściowe 2 2 18 3" xfId="9442"/>
    <cellStyle name="Dane wejściowe 2 2 18 4" xfId="9443"/>
    <cellStyle name="Dane wejściowe 2 2 19" xfId="9444"/>
    <cellStyle name="Dane wejściowe 2 2 19 2" xfId="9445"/>
    <cellStyle name="Dane wejściowe 2 2 19 3" xfId="9446"/>
    <cellStyle name="Dane wejściowe 2 2 19 4" xfId="9447"/>
    <cellStyle name="Dane wejściowe 2 2 2" xfId="9448"/>
    <cellStyle name="Dane wejściowe 2 2 2 2" xfId="9449"/>
    <cellStyle name="Dane wejściowe 2 2 2 3" xfId="9450"/>
    <cellStyle name="Dane wejściowe 2 2 2 4" xfId="9451"/>
    <cellStyle name="Dane wejściowe 2 2 20" xfId="9452"/>
    <cellStyle name="Dane wejściowe 2 2 20 2" xfId="9453"/>
    <cellStyle name="Dane wejściowe 2 2 20 3" xfId="9454"/>
    <cellStyle name="Dane wejściowe 2 2 20 4" xfId="9455"/>
    <cellStyle name="Dane wejściowe 2 2 21" xfId="9456"/>
    <cellStyle name="Dane wejściowe 2 2 21 2" xfId="9457"/>
    <cellStyle name="Dane wejściowe 2 2 21 3" xfId="9458"/>
    <cellStyle name="Dane wejściowe 2 2 22" xfId="9459"/>
    <cellStyle name="Dane wejściowe 2 2 22 2" xfId="9460"/>
    <cellStyle name="Dane wejściowe 2 2 22 3" xfId="9461"/>
    <cellStyle name="Dane wejściowe 2 2 22 4" xfId="9462"/>
    <cellStyle name="Dane wejściowe 2 2 23" xfId="9463"/>
    <cellStyle name="Dane wejściowe 2 2 23 2" xfId="9464"/>
    <cellStyle name="Dane wejściowe 2 2 23 3" xfId="9465"/>
    <cellStyle name="Dane wejściowe 2 2 23 4" xfId="9466"/>
    <cellStyle name="Dane wejściowe 2 2 24" xfId="9467"/>
    <cellStyle name="Dane wejściowe 2 2 24 2" xfId="9468"/>
    <cellStyle name="Dane wejściowe 2 2 24 3" xfId="9469"/>
    <cellStyle name="Dane wejściowe 2 2 24 4" xfId="9470"/>
    <cellStyle name="Dane wejściowe 2 2 25" xfId="9471"/>
    <cellStyle name="Dane wejściowe 2 2 25 2" xfId="9472"/>
    <cellStyle name="Dane wejściowe 2 2 25 3" xfId="9473"/>
    <cellStyle name="Dane wejściowe 2 2 26" xfId="9474"/>
    <cellStyle name="Dane wejściowe 2 2 26 2" xfId="9475"/>
    <cellStyle name="Dane wejściowe 2 2 26 3" xfId="9476"/>
    <cellStyle name="Dane wejściowe 2 2 27" xfId="9477"/>
    <cellStyle name="Dane wejściowe 2 2 27 2" xfId="9478"/>
    <cellStyle name="Dane wejściowe 2 2 27 3" xfId="9479"/>
    <cellStyle name="Dane wejściowe 2 2 28" xfId="9480"/>
    <cellStyle name="Dane wejściowe 2 2 28 2" xfId="9481"/>
    <cellStyle name="Dane wejściowe 2 2 28 3" xfId="9482"/>
    <cellStyle name="Dane wejściowe 2 2 29" xfId="9483"/>
    <cellStyle name="Dane wejściowe 2 2 29 2" xfId="9484"/>
    <cellStyle name="Dane wejściowe 2 2 29 3" xfId="9485"/>
    <cellStyle name="Dane wejściowe 2 2 3" xfId="9486"/>
    <cellStyle name="Dane wejściowe 2 2 3 2" xfId="9487"/>
    <cellStyle name="Dane wejściowe 2 2 3 3" xfId="9488"/>
    <cellStyle name="Dane wejściowe 2 2 3 4" xfId="9489"/>
    <cellStyle name="Dane wejściowe 2 2 30" xfId="9490"/>
    <cellStyle name="Dane wejściowe 2 2 30 2" xfId="9491"/>
    <cellStyle name="Dane wejściowe 2 2 30 3" xfId="9492"/>
    <cellStyle name="Dane wejściowe 2 2 31" xfId="9493"/>
    <cellStyle name="Dane wejściowe 2 2 31 2" xfId="9494"/>
    <cellStyle name="Dane wejściowe 2 2 31 3" xfId="9495"/>
    <cellStyle name="Dane wejściowe 2 2 32" xfId="9496"/>
    <cellStyle name="Dane wejściowe 2 2 32 2" xfId="9497"/>
    <cellStyle name="Dane wejściowe 2 2 32 3" xfId="9498"/>
    <cellStyle name="Dane wejściowe 2 2 33" xfId="9499"/>
    <cellStyle name="Dane wejściowe 2 2 33 2" xfId="9500"/>
    <cellStyle name="Dane wejściowe 2 2 33 3" xfId="9501"/>
    <cellStyle name="Dane wejściowe 2 2 34" xfId="9502"/>
    <cellStyle name="Dane wejściowe 2 2 34 2" xfId="9503"/>
    <cellStyle name="Dane wejściowe 2 2 34 3" xfId="9504"/>
    <cellStyle name="Dane wejściowe 2 2 35" xfId="9505"/>
    <cellStyle name="Dane wejściowe 2 2 35 2" xfId="9506"/>
    <cellStyle name="Dane wejściowe 2 2 35 3" xfId="9507"/>
    <cellStyle name="Dane wejściowe 2 2 36" xfId="9508"/>
    <cellStyle name="Dane wejściowe 2 2 36 2" xfId="9509"/>
    <cellStyle name="Dane wejściowe 2 2 36 3" xfId="9510"/>
    <cellStyle name="Dane wejściowe 2 2 37" xfId="9511"/>
    <cellStyle name="Dane wejściowe 2 2 37 2" xfId="9512"/>
    <cellStyle name="Dane wejściowe 2 2 37 3" xfId="9513"/>
    <cellStyle name="Dane wejściowe 2 2 38" xfId="9514"/>
    <cellStyle name="Dane wejściowe 2 2 38 2" xfId="9515"/>
    <cellStyle name="Dane wejściowe 2 2 38 3" xfId="9516"/>
    <cellStyle name="Dane wejściowe 2 2 39" xfId="9517"/>
    <cellStyle name="Dane wejściowe 2 2 39 2" xfId="9518"/>
    <cellStyle name="Dane wejściowe 2 2 39 3" xfId="9519"/>
    <cellStyle name="Dane wejściowe 2 2 4" xfId="9520"/>
    <cellStyle name="Dane wejściowe 2 2 4 2" xfId="9521"/>
    <cellStyle name="Dane wejściowe 2 2 4 3" xfId="9522"/>
    <cellStyle name="Dane wejściowe 2 2 4 4" xfId="9523"/>
    <cellStyle name="Dane wejściowe 2 2 40" xfId="9524"/>
    <cellStyle name="Dane wejściowe 2 2 40 2" xfId="9525"/>
    <cellStyle name="Dane wejściowe 2 2 40 3" xfId="9526"/>
    <cellStyle name="Dane wejściowe 2 2 41" xfId="9527"/>
    <cellStyle name="Dane wejściowe 2 2 41 2" xfId="9528"/>
    <cellStyle name="Dane wejściowe 2 2 41 3" xfId="9529"/>
    <cellStyle name="Dane wejściowe 2 2 42" xfId="9530"/>
    <cellStyle name="Dane wejściowe 2 2 42 2" xfId="9531"/>
    <cellStyle name="Dane wejściowe 2 2 42 3" xfId="9532"/>
    <cellStyle name="Dane wejściowe 2 2 43" xfId="9533"/>
    <cellStyle name="Dane wejściowe 2 2 43 2" xfId="9534"/>
    <cellStyle name="Dane wejściowe 2 2 43 3" xfId="9535"/>
    <cellStyle name="Dane wejściowe 2 2 44" xfId="9536"/>
    <cellStyle name="Dane wejściowe 2 2 44 2" xfId="9537"/>
    <cellStyle name="Dane wejściowe 2 2 44 3" xfId="9538"/>
    <cellStyle name="Dane wejściowe 2 2 45" xfId="9539"/>
    <cellStyle name="Dane wejściowe 2 2 45 2" xfId="9540"/>
    <cellStyle name="Dane wejściowe 2 2 45 3" xfId="9541"/>
    <cellStyle name="Dane wejściowe 2 2 46" xfId="9542"/>
    <cellStyle name="Dane wejściowe 2 2 46 2" xfId="9543"/>
    <cellStyle name="Dane wejściowe 2 2 46 3" xfId="9544"/>
    <cellStyle name="Dane wejściowe 2 2 47" xfId="9545"/>
    <cellStyle name="Dane wejściowe 2 2 47 2" xfId="9546"/>
    <cellStyle name="Dane wejściowe 2 2 47 3" xfId="9547"/>
    <cellStyle name="Dane wejściowe 2 2 48" xfId="9548"/>
    <cellStyle name="Dane wejściowe 2 2 48 2" xfId="9549"/>
    <cellStyle name="Dane wejściowe 2 2 48 3" xfId="9550"/>
    <cellStyle name="Dane wejściowe 2 2 49" xfId="9551"/>
    <cellStyle name="Dane wejściowe 2 2 49 2" xfId="9552"/>
    <cellStyle name="Dane wejściowe 2 2 49 3" xfId="9553"/>
    <cellStyle name="Dane wejściowe 2 2 5" xfId="9554"/>
    <cellStyle name="Dane wejściowe 2 2 5 2" xfId="9555"/>
    <cellStyle name="Dane wejściowe 2 2 5 3" xfId="9556"/>
    <cellStyle name="Dane wejściowe 2 2 5 4" xfId="9557"/>
    <cellStyle name="Dane wejściowe 2 2 50" xfId="9558"/>
    <cellStyle name="Dane wejściowe 2 2 50 2" xfId="9559"/>
    <cellStyle name="Dane wejściowe 2 2 50 3" xfId="9560"/>
    <cellStyle name="Dane wejściowe 2 2 51" xfId="9561"/>
    <cellStyle name="Dane wejściowe 2 2 51 2" xfId="9562"/>
    <cellStyle name="Dane wejściowe 2 2 51 3" xfId="9563"/>
    <cellStyle name="Dane wejściowe 2 2 52" xfId="9564"/>
    <cellStyle name="Dane wejściowe 2 2 52 2" xfId="9565"/>
    <cellStyle name="Dane wejściowe 2 2 52 3" xfId="9566"/>
    <cellStyle name="Dane wejściowe 2 2 53" xfId="9567"/>
    <cellStyle name="Dane wejściowe 2 2 53 2" xfId="9568"/>
    <cellStyle name="Dane wejściowe 2 2 53 3" xfId="9569"/>
    <cellStyle name="Dane wejściowe 2 2 54" xfId="9570"/>
    <cellStyle name="Dane wejściowe 2 2 54 2" xfId="9571"/>
    <cellStyle name="Dane wejściowe 2 2 54 3" xfId="9572"/>
    <cellStyle name="Dane wejściowe 2 2 55" xfId="9573"/>
    <cellStyle name="Dane wejściowe 2 2 55 2" xfId="9574"/>
    <cellStyle name="Dane wejściowe 2 2 55 3" xfId="9575"/>
    <cellStyle name="Dane wejściowe 2 2 56" xfId="9576"/>
    <cellStyle name="Dane wejściowe 2 2 56 2" xfId="9577"/>
    <cellStyle name="Dane wejściowe 2 2 56 3" xfId="9578"/>
    <cellStyle name="Dane wejściowe 2 2 57" xfId="9579"/>
    <cellStyle name="Dane wejściowe 2 2 58" xfId="9580"/>
    <cellStyle name="Dane wejściowe 2 2 59" xfId="9581"/>
    <cellStyle name="Dane wejściowe 2 2 6" xfId="9582"/>
    <cellStyle name="Dane wejściowe 2 2 6 2" xfId="9583"/>
    <cellStyle name="Dane wejściowe 2 2 6 3" xfId="9584"/>
    <cellStyle name="Dane wejściowe 2 2 6 4" xfId="9585"/>
    <cellStyle name="Dane wejściowe 2 2 7" xfId="9586"/>
    <cellStyle name="Dane wejściowe 2 2 7 2" xfId="9587"/>
    <cellStyle name="Dane wejściowe 2 2 7 3" xfId="9588"/>
    <cellStyle name="Dane wejściowe 2 2 7 4" xfId="9589"/>
    <cellStyle name="Dane wejściowe 2 2 8" xfId="9590"/>
    <cellStyle name="Dane wejściowe 2 2 8 2" xfId="9591"/>
    <cellStyle name="Dane wejściowe 2 2 8 3" xfId="9592"/>
    <cellStyle name="Dane wejściowe 2 2 8 4" xfId="9593"/>
    <cellStyle name="Dane wejściowe 2 2 9" xfId="9594"/>
    <cellStyle name="Dane wejściowe 2 2 9 2" xfId="9595"/>
    <cellStyle name="Dane wejściowe 2 2 9 3" xfId="9596"/>
    <cellStyle name="Dane wejściowe 2 2 9 4" xfId="9597"/>
    <cellStyle name="Dane wejściowe 2 20" xfId="9598"/>
    <cellStyle name="Dane wejściowe 2 20 10" xfId="9599"/>
    <cellStyle name="Dane wejściowe 2 20 10 2" xfId="9600"/>
    <cellStyle name="Dane wejściowe 2 20 10 3" xfId="9601"/>
    <cellStyle name="Dane wejściowe 2 20 10 4" xfId="9602"/>
    <cellStyle name="Dane wejściowe 2 20 11" xfId="9603"/>
    <cellStyle name="Dane wejściowe 2 20 11 2" xfId="9604"/>
    <cellStyle name="Dane wejściowe 2 20 11 3" xfId="9605"/>
    <cellStyle name="Dane wejściowe 2 20 11 4" xfId="9606"/>
    <cellStyle name="Dane wejściowe 2 20 12" xfId="9607"/>
    <cellStyle name="Dane wejściowe 2 20 12 2" xfId="9608"/>
    <cellStyle name="Dane wejściowe 2 20 12 3" xfId="9609"/>
    <cellStyle name="Dane wejściowe 2 20 12 4" xfId="9610"/>
    <cellStyle name="Dane wejściowe 2 20 13" xfId="9611"/>
    <cellStyle name="Dane wejściowe 2 20 13 2" xfId="9612"/>
    <cellStyle name="Dane wejściowe 2 20 13 3" xfId="9613"/>
    <cellStyle name="Dane wejściowe 2 20 13 4" xfId="9614"/>
    <cellStyle name="Dane wejściowe 2 20 14" xfId="9615"/>
    <cellStyle name="Dane wejściowe 2 20 14 2" xfId="9616"/>
    <cellStyle name="Dane wejściowe 2 20 14 3" xfId="9617"/>
    <cellStyle name="Dane wejściowe 2 20 14 4" xfId="9618"/>
    <cellStyle name="Dane wejściowe 2 20 15" xfId="9619"/>
    <cellStyle name="Dane wejściowe 2 20 15 2" xfId="9620"/>
    <cellStyle name="Dane wejściowe 2 20 15 3" xfId="9621"/>
    <cellStyle name="Dane wejściowe 2 20 15 4" xfId="9622"/>
    <cellStyle name="Dane wejściowe 2 20 16" xfId="9623"/>
    <cellStyle name="Dane wejściowe 2 20 16 2" xfId="9624"/>
    <cellStyle name="Dane wejściowe 2 20 16 3" xfId="9625"/>
    <cellStyle name="Dane wejściowe 2 20 16 4" xfId="9626"/>
    <cellStyle name="Dane wejściowe 2 20 17" xfId="9627"/>
    <cellStyle name="Dane wejściowe 2 20 17 2" xfId="9628"/>
    <cellStyle name="Dane wejściowe 2 20 17 3" xfId="9629"/>
    <cellStyle name="Dane wejściowe 2 20 17 4" xfId="9630"/>
    <cellStyle name="Dane wejściowe 2 20 18" xfId="9631"/>
    <cellStyle name="Dane wejściowe 2 20 18 2" xfId="9632"/>
    <cellStyle name="Dane wejściowe 2 20 18 3" xfId="9633"/>
    <cellStyle name="Dane wejściowe 2 20 18 4" xfId="9634"/>
    <cellStyle name="Dane wejściowe 2 20 19" xfId="9635"/>
    <cellStyle name="Dane wejściowe 2 20 19 2" xfId="9636"/>
    <cellStyle name="Dane wejściowe 2 20 19 3" xfId="9637"/>
    <cellStyle name="Dane wejściowe 2 20 19 4" xfId="9638"/>
    <cellStyle name="Dane wejściowe 2 20 2" xfId="9639"/>
    <cellStyle name="Dane wejściowe 2 20 2 2" xfId="9640"/>
    <cellStyle name="Dane wejściowe 2 20 2 3" xfId="9641"/>
    <cellStyle name="Dane wejściowe 2 20 2 4" xfId="9642"/>
    <cellStyle name="Dane wejściowe 2 20 20" xfId="9643"/>
    <cellStyle name="Dane wejściowe 2 20 20 2" xfId="9644"/>
    <cellStyle name="Dane wejściowe 2 20 20 3" xfId="9645"/>
    <cellStyle name="Dane wejściowe 2 20 20 4" xfId="9646"/>
    <cellStyle name="Dane wejściowe 2 20 21" xfId="9647"/>
    <cellStyle name="Dane wejściowe 2 20 21 2" xfId="9648"/>
    <cellStyle name="Dane wejściowe 2 20 21 3" xfId="9649"/>
    <cellStyle name="Dane wejściowe 2 20 22" xfId="9650"/>
    <cellStyle name="Dane wejściowe 2 20 22 2" xfId="9651"/>
    <cellStyle name="Dane wejściowe 2 20 22 3" xfId="9652"/>
    <cellStyle name="Dane wejściowe 2 20 23" xfId="9653"/>
    <cellStyle name="Dane wejściowe 2 20 23 2" xfId="9654"/>
    <cellStyle name="Dane wejściowe 2 20 23 3" xfId="9655"/>
    <cellStyle name="Dane wejściowe 2 20 24" xfId="9656"/>
    <cellStyle name="Dane wejściowe 2 20 24 2" xfId="9657"/>
    <cellStyle name="Dane wejściowe 2 20 24 3" xfId="9658"/>
    <cellStyle name="Dane wejściowe 2 20 25" xfId="9659"/>
    <cellStyle name="Dane wejściowe 2 20 25 2" xfId="9660"/>
    <cellStyle name="Dane wejściowe 2 20 25 3" xfId="9661"/>
    <cellStyle name="Dane wejściowe 2 20 26" xfId="9662"/>
    <cellStyle name="Dane wejściowe 2 20 26 2" xfId="9663"/>
    <cellStyle name="Dane wejściowe 2 20 26 3" xfId="9664"/>
    <cellStyle name="Dane wejściowe 2 20 27" xfId="9665"/>
    <cellStyle name="Dane wejściowe 2 20 27 2" xfId="9666"/>
    <cellStyle name="Dane wejściowe 2 20 27 3" xfId="9667"/>
    <cellStyle name="Dane wejściowe 2 20 28" xfId="9668"/>
    <cellStyle name="Dane wejściowe 2 20 28 2" xfId="9669"/>
    <cellStyle name="Dane wejściowe 2 20 28 3" xfId="9670"/>
    <cellStyle name="Dane wejściowe 2 20 29" xfId="9671"/>
    <cellStyle name="Dane wejściowe 2 20 29 2" xfId="9672"/>
    <cellStyle name="Dane wejściowe 2 20 29 3" xfId="9673"/>
    <cellStyle name="Dane wejściowe 2 20 3" xfId="9674"/>
    <cellStyle name="Dane wejściowe 2 20 3 2" xfId="9675"/>
    <cellStyle name="Dane wejściowe 2 20 3 3" xfId="9676"/>
    <cellStyle name="Dane wejściowe 2 20 3 4" xfId="9677"/>
    <cellStyle name="Dane wejściowe 2 20 30" xfId="9678"/>
    <cellStyle name="Dane wejściowe 2 20 30 2" xfId="9679"/>
    <cellStyle name="Dane wejściowe 2 20 30 3" xfId="9680"/>
    <cellStyle name="Dane wejściowe 2 20 31" xfId="9681"/>
    <cellStyle name="Dane wejściowe 2 20 31 2" xfId="9682"/>
    <cellStyle name="Dane wejściowe 2 20 31 3" xfId="9683"/>
    <cellStyle name="Dane wejściowe 2 20 32" xfId="9684"/>
    <cellStyle name="Dane wejściowe 2 20 32 2" xfId="9685"/>
    <cellStyle name="Dane wejściowe 2 20 32 3" xfId="9686"/>
    <cellStyle name="Dane wejściowe 2 20 33" xfId="9687"/>
    <cellStyle name="Dane wejściowe 2 20 33 2" xfId="9688"/>
    <cellStyle name="Dane wejściowe 2 20 33 3" xfId="9689"/>
    <cellStyle name="Dane wejściowe 2 20 34" xfId="9690"/>
    <cellStyle name="Dane wejściowe 2 20 34 2" xfId="9691"/>
    <cellStyle name="Dane wejściowe 2 20 34 3" xfId="9692"/>
    <cellStyle name="Dane wejściowe 2 20 35" xfId="9693"/>
    <cellStyle name="Dane wejściowe 2 20 35 2" xfId="9694"/>
    <cellStyle name="Dane wejściowe 2 20 35 3" xfId="9695"/>
    <cellStyle name="Dane wejściowe 2 20 36" xfId="9696"/>
    <cellStyle name="Dane wejściowe 2 20 36 2" xfId="9697"/>
    <cellStyle name="Dane wejściowe 2 20 36 3" xfId="9698"/>
    <cellStyle name="Dane wejściowe 2 20 37" xfId="9699"/>
    <cellStyle name="Dane wejściowe 2 20 37 2" xfId="9700"/>
    <cellStyle name="Dane wejściowe 2 20 37 3" xfId="9701"/>
    <cellStyle name="Dane wejściowe 2 20 38" xfId="9702"/>
    <cellStyle name="Dane wejściowe 2 20 38 2" xfId="9703"/>
    <cellStyle name="Dane wejściowe 2 20 38 3" xfId="9704"/>
    <cellStyle name="Dane wejściowe 2 20 39" xfId="9705"/>
    <cellStyle name="Dane wejściowe 2 20 39 2" xfId="9706"/>
    <cellStyle name="Dane wejściowe 2 20 39 3" xfId="9707"/>
    <cellStyle name="Dane wejściowe 2 20 4" xfId="9708"/>
    <cellStyle name="Dane wejściowe 2 20 4 2" xfId="9709"/>
    <cellStyle name="Dane wejściowe 2 20 4 3" xfId="9710"/>
    <cellStyle name="Dane wejściowe 2 20 4 4" xfId="9711"/>
    <cellStyle name="Dane wejściowe 2 20 40" xfId="9712"/>
    <cellStyle name="Dane wejściowe 2 20 40 2" xfId="9713"/>
    <cellStyle name="Dane wejściowe 2 20 40 3" xfId="9714"/>
    <cellStyle name="Dane wejściowe 2 20 41" xfId="9715"/>
    <cellStyle name="Dane wejściowe 2 20 41 2" xfId="9716"/>
    <cellStyle name="Dane wejściowe 2 20 41 3" xfId="9717"/>
    <cellStyle name="Dane wejściowe 2 20 42" xfId="9718"/>
    <cellStyle name="Dane wejściowe 2 20 42 2" xfId="9719"/>
    <cellStyle name="Dane wejściowe 2 20 42 3" xfId="9720"/>
    <cellStyle name="Dane wejściowe 2 20 43" xfId="9721"/>
    <cellStyle name="Dane wejściowe 2 20 43 2" xfId="9722"/>
    <cellStyle name="Dane wejściowe 2 20 43 3" xfId="9723"/>
    <cellStyle name="Dane wejściowe 2 20 44" xfId="9724"/>
    <cellStyle name="Dane wejściowe 2 20 44 2" xfId="9725"/>
    <cellStyle name="Dane wejściowe 2 20 44 3" xfId="9726"/>
    <cellStyle name="Dane wejściowe 2 20 45" xfId="9727"/>
    <cellStyle name="Dane wejściowe 2 20 45 2" xfId="9728"/>
    <cellStyle name="Dane wejściowe 2 20 45 3" xfId="9729"/>
    <cellStyle name="Dane wejściowe 2 20 46" xfId="9730"/>
    <cellStyle name="Dane wejściowe 2 20 46 2" xfId="9731"/>
    <cellStyle name="Dane wejściowe 2 20 46 3" xfId="9732"/>
    <cellStyle name="Dane wejściowe 2 20 47" xfId="9733"/>
    <cellStyle name="Dane wejściowe 2 20 47 2" xfId="9734"/>
    <cellStyle name="Dane wejściowe 2 20 47 3" xfId="9735"/>
    <cellStyle name="Dane wejściowe 2 20 48" xfId="9736"/>
    <cellStyle name="Dane wejściowe 2 20 48 2" xfId="9737"/>
    <cellStyle name="Dane wejściowe 2 20 48 3" xfId="9738"/>
    <cellStyle name="Dane wejściowe 2 20 49" xfId="9739"/>
    <cellStyle name="Dane wejściowe 2 20 49 2" xfId="9740"/>
    <cellStyle name="Dane wejściowe 2 20 49 3" xfId="9741"/>
    <cellStyle name="Dane wejściowe 2 20 5" xfId="9742"/>
    <cellStyle name="Dane wejściowe 2 20 5 2" xfId="9743"/>
    <cellStyle name="Dane wejściowe 2 20 5 3" xfId="9744"/>
    <cellStyle name="Dane wejściowe 2 20 5 4" xfId="9745"/>
    <cellStyle name="Dane wejściowe 2 20 50" xfId="9746"/>
    <cellStyle name="Dane wejściowe 2 20 50 2" xfId="9747"/>
    <cellStyle name="Dane wejściowe 2 20 50 3" xfId="9748"/>
    <cellStyle name="Dane wejściowe 2 20 51" xfId="9749"/>
    <cellStyle name="Dane wejściowe 2 20 51 2" xfId="9750"/>
    <cellStyle name="Dane wejściowe 2 20 51 3" xfId="9751"/>
    <cellStyle name="Dane wejściowe 2 20 52" xfId="9752"/>
    <cellStyle name="Dane wejściowe 2 20 52 2" xfId="9753"/>
    <cellStyle name="Dane wejściowe 2 20 52 3" xfId="9754"/>
    <cellStyle name="Dane wejściowe 2 20 53" xfId="9755"/>
    <cellStyle name="Dane wejściowe 2 20 53 2" xfId="9756"/>
    <cellStyle name="Dane wejściowe 2 20 53 3" xfId="9757"/>
    <cellStyle name="Dane wejściowe 2 20 54" xfId="9758"/>
    <cellStyle name="Dane wejściowe 2 20 54 2" xfId="9759"/>
    <cellStyle name="Dane wejściowe 2 20 54 3" xfId="9760"/>
    <cellStyle name="Dane wejściowe 2 20 55" xfId="9761"/>
    <cellStyle name="Dane wejściowe 2 20 55 2" xfId="9762"/>
    <cellStyle name="Dane wejściowe 2 20 55 3" xfId="9763"/>
    <cellStyle name="Dane wejściowe 2 20 56" xfId="9764"/>
    <cellStyle name="Dane wejściowe 2 20 56 2" xfId="9765"/>
    <cellStyle name="Dane wejściowe 2 20 56 3" xfId="9766"/>
    <cellStyle name="Dane wejściowe 2 20 57" xfId="9767"/>
    <cellStyle name="Dane wejściowe 2 20 58" xfId="9768"/>
    <cellStyle name="Dane wejściowe 2 20 6" xfId="9769"/>
    <cellStyle name="Dane wejściowe 2 20 6 2" xfId="9770"/>
    <cellStyle name="Dane wejściowe 2 20 6 3" xfId="9771"/>
    <cellStyle name="Dane wejściowe 2 20 6 4" xfId="9772"/>
    <cellStyle name="Dane wejściowe 2 20 7" xfId="9773"/>
    <cellStyle name="Dane wejściowe 2 20 7 2" xfId="9774"/>
    <cellStyle name="Dane wejściowe 2 20 7 3" xfId="9775"/>
    <cellStyle name="Dane wejściowe 2 20 7 4" xfId="9776"/>
    <cellStyle name="Dane wejściowe 2 20 8" xfId="9777"/>
    <cellStyle name="Dane wejściowe 2 20 8 2" xfId="9778"/>
    <cellStyle name="Dane wejściowe 2 20 8 3" xfId="9779"/>
    <cellStyle name="Dane wejściowe 2 20 8 4" xfId="9780"/>
    <cellStyle name="Dane wejściowe 2 20 9" xfId="9781"/>
    <cellStyle name="Dane wejściowe 2 20 9 2" xfId="9782"/>
    <cellStyle name="Dane wejściowe 2 20 9 3" xfId="9783"/>
    <cellStyle name="Dane wejściowe 2 20 9 4" xfId="9784"/>
    <cellStyle name="Dane wejściowe 2 21" xfId="9785"/>
    <cellStyle name="Dane wejściowe 2 21 10" xfId="9786"/>
    <cellStyle name="Dane wejściowe 2 21 10 2" xfId="9787"/>
    <cellStyle name="Dane wejściowe 2 21 10 3" xfId="9788"/>
    <cellStyle name="Dane wejściowe 2 21 10 4" xfId="9789"/>
    <cellStyle name="Dane wejściowe 2 21 11" xfId="9790"/>
    <cellStyle name="Dane wejściowe 2 21 11 2" xfId="9791"/>
    <cellStyle name="Dane wejściowe 2 21 11 3" xfId="9792"/>
    <cellStyle name="Dane wejściowe 2 21 11 4" xfId="9793"/>
    <cellStyle name="Dane wejściowe 2 21 12" xfId="9794"/>
    <cellStyle name="Dane wejściowe 2 21 12 2" xfId="9795"/>
    <cellStyle name="Dane wejściowe 2 21 12 3" xfId="9796"/>
    <cellStyle name="Dane wejściowe 2 21 12 4" xfId="9797"/>
    <cellStyle name="Dane wejściowe 2 21 13" xfId="9798"/>
    <cellStyle name="Dane wejściowe 2 21 13 2" xfId="9799"/>
    <cellStyle name="Dane wejściowe 2 21 13 3" xfId="9800"/>
    <cellStyle name="Dane wejściowe 2 21 13 4" xfId="9801"/>
    <cellStyle name="Dane wejściowe 2 21 14" xfId="9802"/>
    <cellStyle name="Dane wejściowe 2 21 14 2" xfId="9803"/>
    <cellStyle name="Dane wejściowe 2 21 14 3" xfId="9804"/>
    <cellStyle name="Dane wejściowe 2 21 14 4" xfId="9805"/>
    <cellStyle name="Dane wejściowe 2 21 15" xfId="9806"/>
    <cellStyle name="Dane wejściowe 2 21 15 2" xfId="9807"/>
    <cellStyle name="Dane wejściowe 2 21 15 3" xfId="9808"/>
    <cellStyle name="Dane wejściowe 2 21 15 4" xfId="9809"/>
    <cellStyle name="Dane wejściowe 2 21 16" xfId="9810"/>
    <cellStyle name="Dane wejściowe 2 21 16 2" xfId="9811"/>
    <cellStyle name="Dane wejściowe 2 21 16 3" xfId="9812"/>
    <cellStyle name="Dane wejściowe 2 21 16 4" xfId="9813"/>
    <cellStyle name="Dane wejściowe 2 21 17" xfId="9814"/>
    <cellStyle name="Dane wejściowe 2 21 17 2" xfId="9815"/>
    <cellStyle name="Dane wejściowe 2 21 17 3" xfId="9816"/>
    <cellStyle name="Dane wejściowe 2 21 17 4" xfId="9817"/>
    <cellStyle name="Dane wejściowe 2 21 18" xfId="9818"/>
    <cellStyle name="Dane wejściowe 2 21 18 2" xfId="9819"/>
    <cellStyle name="Dane wejściowe 2 21 18 3" xfId="9820"/>
    <cellStyle name="Dane wejściowe 2 21 18 4" xfId="9821"/>
    <cellStyle name="Dane wejściowe 2 21 19" xfId="9822"/>
    <cellStyle name="Dane wejściowe 2 21 19 2" xfId="9823"/>
    <cellStyle name="Dane wejściowe 2 21 19 3" xfId="9824"/>
    <cellStyle name="Dane wejściowe 2 21 19 4" xfId="9825"/>
    <cellStyle name="Dane wejściowe 2 21 2" xfId="9826"/>
    <cellStyle name="Dane wejściowe 2 21 2 2" xfId="9827"/>
    <cellStyle name="Dane wejściowe 2 21 2 3" xfId="9828"/>
    <cellStyle name="Dane wejściowe 2 21 2 4" xfId="9829"/>
    <cellStyle name="Dane wejściowe 2 21 20" xfId="9830"/>
    <cellStyle name="Dane wejściowe 2 21 20 2" xfId="9831"/>
    <cellStyle name="Dane wejściowe 2 21 20 3" xfId="9832"/>
    <cellStyle name="Dane wejściowe 2 21 20 4" xfId="9833"/>
    <cellStyle name="Dane wejściowe 2 21 21" xfId="9834"/>
    <cellStyle name="Dane wejściowe 2 21 21 2" xfId="9835"/>
    <cellStyle name="Dane wejściowe 2 21 21 3" xfId="9836"/>
    <cellStyle name="Dane wejściowe 2 21 22" xfId="9837"/>
    <cellStyle name="Dane wejściowe 2 21 22 2" xfId="9838"/>
    <cellStyle name="Dane wejściowe 2 21 22 3" xfId="9839"/>
    <cellStyle name="Dane wejściowe 2 21 23" xfId="9840"/>
    <cellStyle name="Dane wejściowe 2 21 23 2" xfId="9841"/>
    <cellStyle name="Dane wejściowe 2 21 23 3" xfId="9842"/>
    <cellStyle name="Dane wejściowe 2 21 24" xfId="9843"/>
    <cellStyle name="Dane wejściowe 2 21 24 2" xfId="9844"/>
    <cellStyle name="Dane wejściowe 2 21 24 3" xfId="9845"/>
    <cellStyle name="Dane wejściowe 2 21 25" xfId="9846"/>
    <cellStyle name="Dane wejściowe 2 21 25 2" xfId="9847"/>
    <cellStyle name="Dane wejściowe 2 21 25 3" xfId="9848"/>
    <cellStyle name="Dane wejściowe 2 21 26" xfId="9849"/>
    <cellStyle name="Dane wejściowe 2 21 26 2" xfId="9850"/>
    <cellStyle name="Dane wejściowe 2 21 26 3" xfId="9851"/>
    <cellStyle name="Dane wejściowe 2 21 27" xfId="9852"/>
    <cellStyle name="Dane wejściowe 2 21 27 2" xfId="9853"/>
    <cellStyle name="Dane wejściowe 2 21 27 3" xfId="9854"/>
    <cellStyle name="Dane wejściowe 2 21 28" xfId="9855"/>
    <cellStyle name="Dane wejściowe 2 21 28 2" xfId="9856"/>
    <cellStyle name="Dane wejściowe 2 21 28 3" xfId="9857"/>
    <cellStyle name="Dane wejściowe 2 21 29" xfId="9858"/>
    <cellStyle name="Dane wejściowe 2 21 29 2" xfId="9859"/>
    <cellStyle name="Dane wejściowe 2 21 29 3" xfId="9860"/>
    <cellStyle name="Dane wejściowe 2 21 3" xfId="9861"/>
    <cellStyle name="Dane wejściowe 2 21 3 2" xfId="9862"/>
    <cellStyle name="Dane wejściowe 2 21 3 3" xfId="9863"/>
    <cellStyle name="Dane wejściowe 2 21 3 4" xfId="9864"/>
    <cellStyle name="Dane wejściowe 2 21 30" xfId="9865"/>
    <cellStyle name="Dane wejściowe 2 21 30 2" xfId="9866"/>
    <cellStyle name="Dane wejściowe 2 21 30 3" xfId="9867"/>
    <cellStyle name="Dane wejściowe 2 21 31" xfId="9868"/>
    <cellStyle name="Dane wejściowe 2 21 31 2" xfId="9869"/>
    <cellStyle name="Dane wejściowe 2 21 31 3" xfId="9870"/>
    <cellStyle name="Dane wejściowe 2 21 32" xfId="9871"/>
    <cellStyle name="Dane wejściowe 2 21 32 2" xfId="9872"/>
    <cellStyle name="Dane wejściowe 2 21 32 3" xfId="9873"/>
    <cellStyle name="Dane wejściowe 2 21 33" xfId="9874"/>
    <cellStyle name="Dane wejściowe 2 21 33 2" xfId="9875"/>
    <cellStyle name="Dane wejściowe 2 21 33 3" xfId="9876"/>
    <cellStyle name="Dane wejściowe 2 21 34" xfId="9877"/>
    <cellStyle name="Dane wejściowe 2 21 34 2" xfId="9878"/>
    <cellStyle name="Dane wejściowe 2 21 34 3" xfId="9879"/>
    <cellStyle name="Dane wejściowe 2 21 35" xfId="9880"/>
    <cellStyle name="Dane wejściowe 2 21 35 2" xfId="9881"/>
    <cellStyle name="Dane wejściowe 2 21 35 3" xfId="9882"/>
    <cellStyle name="Dane wejściowe 2 21 36" xfId="9883"/>
    <cellStyle name="Dane wejściowe 2 21 36 2" xfId="9884"/>
    <cellStyle name="Dane wejściowe 2 21 36 3" xfId="9885"/>
    <cellStyle name="Dane wejściowe 2 21 37" xfId="9886"/>
    <cellStyle name="Dane wejściowe 2 21 37 2" xfId="9887"/>
    <cellStyle name="Dane wejściowe 2 21 37 3" xfId="9888"/>
    <cellStyle name="Dane wejściowe 2 21 38" xfId="9889"/>
    <cellStyle name="Dane wejściowe 2 21 38 2" xfId="9890"/>
    <cellStyle name="Dane wejściowe 2 21 38 3" xfId="9891"/>
    <cellStyle name="Dane wejściowe 2 21 39" xfId="9892"/>
    <cellStyle name="Dane wejściowe 2 21 39 2" xfId="9893"/>
    <cellStyle name="Dane wejściowe 2 21 39 3" xfId="9894"/>
    <cellStyle name="Dane wejściowe 2 21 4" xfId="9895"/>
    <cellStyle name="Dane wejściowe 2 21 4 2" xfId="9896"/>
    <cellStyle name="Dane wejściowe 2 21 4 3" xfId="9897"/>
    <cellStyle name="Dane wejściowe 2 21 4 4" xfId="9898"/>
    <cellStyle name="Dane wejściowe 2 21 40" xfId="9899"/>
    <cellStyle name="Dane wejściowe 2 21 40 2" xfId="9900"/>
    <cellStyle name="Dane wejściowe 2 21 40 3" xfId="9901"/>
    <cellStyle name="Dane wejściowe 2 21 41" xfId="9902"/>
    <cellStyle name="Dane wejściowe 2 21 41 2" xfId="9903"/>
    <cellStyle name="Dane wejściowe 2 21 41 3" xfId="9904"/>
    <cellStyle name="Dane wejściowe 2 21 42" xfId="9905"/>
    <cellStyle name="Dane wejściowe 2 21 42 2" xfId="9906"/>
    <cellStyle name="Dane wejściowe 2 21 42 3" xfId="9907"/>
    <cellStyle name="Dane wejściowe 2 21 43" xfId="9908"/>
    <cellStyle name="Dane wejściowe 2 21 43 2" xfId="9909"/>
    <cellStyle name="Dane wejściowe 2 21 43 3" xfId="9910"/>
    <cellStyle name="Dane wejściowe 2 21 44" xfId="9911"/>
    <cellStyle name="Dane wejściowe 2 21 44 2" xfId="9912"/>
    <cellStyle name="Dane wejściowe 2 21 44 3" xfId="9913"/>
    <cellStyle name="Dane wejściowe 2 21 45" xfId="9914"/>
    <cellStyle name="Dane wejściowe 2 21 45 2" xfId="9915"/>
    <cellStyle name="Dane wejściowe 2 21 45 3" xfId="9916"/>
    <cellStyle name="Dane wejściowe 2 21 46" xfId="9917"/>
    <cellStyle name="Dane wejściowe 2 21 46 2" xfId="9918"/>
    <cellStyle name="Dane wejściowe 2 21 46 3" xfId="9919"/>
    <cellStyle name="Dane wejściowe 2 21 47" xfId="9920"/>
    <cellStyle name="Dane wejściowe 2 21 47 2" xfId="9921"/>
    <cellStyle name="Dane wejściowe 2 21 47 3" xfId="9922"/>
    <cellStyle name="Dane wejściowe 2 21 48" xfId="9923"/>
    <cellStyle name="Dane wejściowe 2 21 48 2" xfId="9924"/>
    <cellStyle name="Dane wejściowe 2 21 48 3" xfId="9925"/>
    <cellStyle name="Dane wejściowe 2 21 49" xfId="9926"/>
    <cellStyle name="Dane wejściowe 2 21 49 2" xfId="9927"/>
    <cellStyle name="Dane wejściowe 2 21 49 3" xfId="9928"/>
    <cellStyle name="Dane wejściowe 2 21 5" xfId="9929"/>
    <cellStyle name="Dane wejściowe 2 21 5 2" xfId="9930"/>
    <cellStyle name="Dane wejściowe 2 21 5 3" xfId="9931"/>
    <cellStyle name="Dane wejściowe 2 21 5 4" xfId="9932"/>
    <cellStyle name="Dane wejściowe 2 21 50" xfId="9933"/>
    <cellStyle name="Dane wejściowe 2 21 50 2" xfId="9934"/>
    <cellStyle name="Dane wejściowe 2 21 50 3" xfId="9935"/>
    <cellStyle name="Dane wejściowe 2 21 51" xfId="9936"/>
    <cellStyle name="Dane wejściowe 2 21 51 2" xfId="9937"/>
    <cellStyle name="Dane wejściowe 2 21 51 3" xfId="9938"/>
    <cellStyle name="Dane wejściowe 2 21 52" xfId="9939"/>
    <cellStyle name="Dane wejściowe 2 21 52 2" xfId="9940"/>
    <cellStyle name="Dane wejściowe 2 21 52 3" xfId="9941"/>
    <cellStyle name="Dane wejściowe 2 21 53" xfId="9942"/>
    <cellStyle name="Dane wejściowe 2 21 53 2" xfId="9943"/>
    <cellStyle name="Dane wejściowe 2 21 53 3" xfId="9944"/>
    <cellStyle name="Dane wejściowe 2 21 54" xfId="9945"/>
    <cellStyle name="Dane wejściowe 2 21 54 2" xfId="9946"/>
    <cellStyle name="Dane wejściowe 2 21 54 3" xfId="9947"/>
    <cellStyle name="Dane wejściowe 2 21 55" xfId="9948"/>
    <cellStyle name="Dane wejściowe 2 21 55 2" xfId="9949"/>
    <cellStyle name="Dane wejściowe 2 21 55 3" xfId="9950"/>
    <cellStyle name="Dane wejściowe 2 21 56" xfId="9951"/>
    <cellStyle name="Dane wejściowe 2 21 56 2" xfId="9952"/>
    <cellStyle name="Dane wejściowe 2 21 56 3" xfId="9953"/>
    <cellStyle name="Dane wejściowe 2 21 57" xfId="9954"/>
    <cellStyle name="Dane wejściowe 2 21 58" xfId="9955"/>
    <cellStyle name="Dane wejściowe 2 21 6" xfId="9956"/>
    <cellStyle name="Dane wejściowe 2 21 6 2" xfId="9957"/>
    <cellStyle name="Dane wejściowe 2 21 6 3" xfId="9958"/>
    <cellStyle name="Dane wejściowe 2 21 6 4" xfId="9959"/>
    <cellStyle name="Dane wejściowe 2 21 7" xfId="9960"/>
    <cellStyle name="Dane wejściowe 2 21 7 2" xfId="9961"/>
    <cellStyle name="Dane wejściowe 2 21 7 3" xfId="9962"/>
    <cellStyle name="Dane wejściowe 2 21 7 4" xfId="9963"/>
    <cellStyle name="Dane wejściowe 2 21 8" xfId="9964"/>
    <cellStyle name="Dane wejściowe 2 21 8 2" xfId="9965"/>
    <cellStyle name="Dane wejściowe 2 21 8 3" xfId="9966"/>
    <cellStyle name="Dane wejściowe 2 21 8 4" xfId="9967"/>
    <cellStyle name="Dane wejściowe 2 21 9" xfId="9968"/>
    <cellStyle name="Dane wejściowe 2 21 9 2" xfId="9969"/>
    <cellStyle name="Dane wejściowe 2 21 9 3" xfId="9970"/>
    <cellStyle name="Dane wejściowe 2 21 9 4" xfId="9971"/>
    <cellStyle name="Dane wejściowe 2 22" xfId="9972"/>
    <cellStyle name="Dane wejściowe 2 22 10" xfId="9973"/>
    <cellStyle name="Dane wejściowe 2 22 10 2" xfId="9974"/>
    <cellStyle name="Dane wejściowe 2 22 10 3" xfId="9975"/>
    <cellStyle name="Dane wejściowe 2 22 10 4" xfId="9976"/>
    <cellStyle name="Dane wejściowe 2 22 11" xfId="9977"/>
    <cellStyle name="Dane wejściowe 2 22 11 2" xfId="9978"/>
    <cellStyle name="Dane wejściowe 2 22 11 3" xfId="9979"/>
    <cellStyle name="Dane wejściowe 2 22 11 4" xfId="9980"/>
    <cellStyle name="Dane wejściowe 2 22 12" xfId="9981"/>
    <cellStyle name="Dane wejściowe 2 22 12 2" xfId="9982"/>
    <cellStyle name="Dane wejściowe 2 22 12 3" xfId="9983"/>
    <cellStyle name="Dane wejściowe 2 22 12 4" xfId="9984"/>
    <cellStyle name="Dane wejściowe 2 22 13" xfId="9985"/>
    <cellStyle name="Dane wejściowe 2 22 13 2" xfId="9986"/>
    <cellStyle name="Dane wejściowe 2 22 13 3" xfId="9987"/>
    <cellStyle name="Dane wejściowe 2 22 13 4" xfId="9988"/>
    <cellStyle name="Dane wejściowe 2 22 14" xfId="9989"/>
    <cellStyle name="Dane wejściowe 2 22 14 2" xfId="9990"/>
    <cellStyle name="Dane wejściowe 2 22 14 3" xfId="9991"/>
    <cellStyle name="Dane wejściowe 2 22 14 4" xfId="9992"/>
    <cellStyle name="Dane wejściowe 2 22 15" xfId="9993"/>
    <cellStyle name="Dane wejściowe 2 22 15 2" xfId="9994"/>
    <cellStyle name="Dane wejściowe 2 22 15 3" xfId="9995"/>
    <cellStyle name="Dane wejściowe 2 22 15 4" xfId="9996"/>
    <cellStyle name="Dane wejściowe 2 22 16" xfId="9997"/>
    <cellStyle name="Dane wejściowe 2 22 16 2" xfId="9998"/>
    <cellStyle name="Dane wejściowe 2 22 16 3" xfId="9999"/>
    <cellStyle name="Dane wejściowe 2 22 16 4" xfId="10000"/>
    <cellStyle name="Dane wejściowe 2 22 17" xfId="10001"/>
    <cellStyle name="Dane wejściowe 2 22 17 2" xfId="10002"/>
    <cellStyle name="Dane wejściowe 2 22 17 3" xfId="10003"/>
    <cellStyle name="Dane wejściowe 2 22 17 4" xfId="10004"/>
    <cellStyle name="Dane wejściowe 2 22 18" xfId="10005"/>
    <cellStyle name="Dane wejściowe 2 22 18 2" xfId="10006"/>
    <cellStyle name="Dane wejściowe 2 22 18 3" xfId="10007"/>
    <cellStyle name="Dane wejściowe 2 22 18 4" xfId="10008"/>
    <cellStyle name="Dane wejściowe 2 22 19" xfId="10009"/>
    <cellStyle name="Dane wejściowe 2 22 19 2" xfId="10010"/>
    <cellStyle name="Dane wejściowe 2 22 19 3" xfId="10011"/>
    <cellStyle name="Dane wejściowe 2 22 19 4" xfId="10012"/>
    <cellStyle name="Dane wejściowe 2 22 2" xfId="10013"/>
    <cellStyle name="Dane wejściowe 2 22 2 2" xfId="10014"/>
    <cellStyle name="Dane wejściowe 2 22 2 3" xfId="10015"/>
    <cellStyle name="Dane wejściowe 2 22 2 4" xfId="10016"/>
    <cellStyle name="Dane wejściowe 2 22 20" xfId="10017"/>
    <cellStyle name="Dane wejściowe 2 22 20 2" xfId="10018"/>
    <cellStyle name="Dane wejściowe 2 22 20 3" xfId="10019"/>
    <cellStyle name="Dane wejściowe 2 22 20 4" xfId="10020"/>
    <cellStyle name="Dane wejściowe 2 22 21" xfId="10021"/>
    <cellStyle name="Dane wejściowe 2 22 21 2" xfId="10022"/>
    <cellStyle name="Dane wejściowe 2 22 21 3" xfId="10023"/>
    <cellStyle name="Dane wejściowe 2 22 22" xfId="10024"/>
    <cellStyle name="Dane wejściowe 2 22 22 2" xfId="10025"/>
    <cellStyle name="Dane wejściowe 2 22 22 3" xfId="10026"/>
    <cellStyle name="Dane wejściowe 2 22 23" xfId="10027"/>
    <cellStyle name="Dane wejściowe 2 22 23 2" xfId="10028"/>
    <cellStyle name="Dane wejściowe 2 22 23 3" xfId="10029"/>
    <cellStyle name="Dane wejściowe 2 22 24" xfId="10030"/>
    <cellStyle name="Dane wejściowe 2 22 24 2" xfId="10031"/>
    <cellStyle name="Dane wejściowe 2 22 24 3" xfId="10032"/>
    <cellStyle name="Dane wejściowe 2 22 25" xfId="10033"/>
    <cellStyle name="Dane wejściowe 2 22 25 2" xfId="10034"/>
    <cellStyle name="Dane wejściowe 2 22 25 3" xfId="10035"/>
    <cellStyle name="Dane wejściowe 2 22 26" xfId="10036"/>
    <cellStyle name="Dane wejściowe 2 22 26 2" xfId="10037"/>
    <cellStyle name="Dane wejściowe 2 22 26 3" xfId="10038"/>
    <cellStyle name="Dane wejściowe 2 22 27" xfId="10039"/>
    <cellStyle name="Dane wejściowe 2 22 27 2" xfId="10040"/>
    <cellStyle name="Dane wejściowe 2 22 27 3" xfId="10041"/>
    <cellStyle name="Dane wejściowe 2 22 28" xfId="10042"/>
    <cellStyle name="Dane wejściowe 2 22 28 2" xfId="10043"/>
    <cellStyle name="Dane wejściowe 2 22 28 3" xfId="10044"/>
    <cellStyle name="Dane wejściowe 2 22 29" xfId="10045"/>
    <cellStyle name="Dane wejściowe 2 22 29 2" xfId="10046"/>
    <cellStyle name="Dane wejściowe 2 22 29 3" xfId="10047"/>
    <cellStyle name="Dane wejściowe 2 22 3" xfId="10048"/>
    <cellStyle name="Dane wejściowe 2 22 3 2" xfId="10049"/>
    <cellStyle name="Dane wejściowe 2 22 3 3" xfId="10050"/>
    <cellStyle name="Dane wejściowe 2 22 3 4" xfId="10051"/>
    <cellStyle name="Dane wejściowe 2 22 30" xfId="10052"/>
    <cellStyle name="Dane wejściowe 2 22 30 2" xfId="10053"/>
    <cellStyle name="Dane wejściowe 2 22 30 3" xfId="10054"/>
    <cellStyle name="Dane wejściowe 2 22 31" xfId="10055"/>
    <cellStyle name="Dane wejściowe 2 22 31 2" xfId="10056"/>
    <cellStyle name="Dane wejściowe 2 22 31 3" xfId="10057"/>
    <cellStyle name="Dane wejściowe 2 22 32" xfId="10058"/>
    <cellStyle name="Dane wejściowe 2 22 32 2" xfId="10059"/>
    <cellStyle name="Dane wejściowe 2 22 32 3" xfId="10060"/>
    <cellStyle name="Dane wejściowe 2 22 33" xfId="10061"/>
    <cellStyle name="Dane wejściowe 2 22 33 2" xfId="10062"/>
    <cellStyle name="Dane wejściowe 2 22 33 3" xfId="10063"/>
    <cellStyle name="Dane wejściowe 2 22 34" xfId="10064"/>
    <cellStyle name="Dane wejściowe 2 22 34 2" xfId="10065"/>
    <cellStyle name="Dane wejściowe 2 22 34 3" xfId="10066"/>
    <cellStyle name="Dane wejściowe 2 22 35" xfId="10067"/>
    <cellStyle name="Dane wejściowe 2 22 35 2" xfId="10068"/>
    <cellStyle name="Dane wejściowe 2 22 35 3" xfId="10069"/>
    <cellStyle name="Dane wejściowe 2 22 36" xfId="10070"/>
    <cellStyle name="Dane wejściowe 2 22 36 2" xfId="10071"/>
    <cellStyle name="Dane wejściowe 2 22 36 3" xfId="10072"/>
    <cellStyle name="Dane wejściowe 2 22 37" xfId="10073"/>
    <cellStyle name="Dane wejściowe 2 22 37 2" xfId="10074"/>
    <cellStyle name="Dane wejściowe 2 22 37 3" xfId="10075"/>
    <cellStyle name="Dane wejściowe 2 22 38" xfId="10076"/>
    <cellStyle name="Dane wejściowe 2 22 38 2" xfId="10077"/>
    <cellStyle name="Dane wejściowe 2 22 38 3" xfId="10078"/>
    <cellStyle name="Dane wejściowe 2 22 39" xfId="10079"/>
    <cellStyle name="Dane wejściowe 2 22 39 2" xfId="10080"/>
    <cellStyle name="Dane wejściowe 2 22 39 3" xfId="10081"/>
    <cellStyle name="Dane wejściowe 2 22 4" xfId="10082"/>
    <cellStyle name="Dane wejściowe 2 22 4 2" xfId="10083"/>
    <cellStyle name="Dane wejściowe 2 22 4 3" xfId="10084"/>
    <cellStyle name="Dane wejściowe 2 22 4 4" xfId="10085"/>
    <cellStyle name="Dane wejściowe 2 22 40" xfId="10086"/>
    <cellStyle name="Dane wejściowe 2 22 40 2" xfId="10087"/>
    <cellStyle name="Dane wejściowe 2 22 40 3" xfId="10088"/>
    <cellStyle name="Dane wejściowe 2 22 41" xfId="10089"/>
    <cellStyle name="Dane wejściowe 2 22 41 2" xfId="10090"/>
    <cellStyle name="Dane wejściowe 2 22 41 3" xfId="10091"/>
    <cellStyle name="Dane wejściowe 2 22 42" xfId="10092"/>
    <cellStyle name="Dane wejściowe 2 22 42 2" xfId="10093"/>
    <cellStyle name="Dane wejściowe 2 22 42 3" xfId="10094"/>
    <cellStyle name="Dane wejściowe 2 22 43" xfId="10095"/>
    <cellStyle name="Dane wejściowe 2 22 43 2" xfId="10096"/>
    <cellStyle name="Dane wejściowe 2 22 43 3" xfId="10097"/>
    <cellStyle name="Dane wejściowe 2 22 44" xfId="10098"/>
    <cellStyle name="Dane wejściowe 2 22 44 2" xfId="10099"/>
    <cellStyle name="Dane wejściowe 2 22 44 3" xfId="10100"/>
    <cellStyle name="Dane wejściowe 2 22 45" xfId="10101"/>
    <cellStyle name="Dane wejściowe 2 22 45 2" xfId="10102"/>
    <cellStyle name="Dane wejściowe 2 22 45 3" xfId="10103"/>
    <cellStyle name="Dane wejściowe 2 22 46" xfId="10104"/>
    <cellStyle name="Dane wejściowe 2 22 46 2" xfId="10105"/>
    <cellStyle name="Dane wejściowe 2 22 46 3" xfId="10106"/>
    <cellStyle name="Dane wejściowe 2 22 47" xfId="10107"/>
    <cellStyle name="Dane wejściowe 2 22 47 2" xfId="10108"/>
    <cellStyle name="Dane wejściowe 2 22 47 3" xfId="10109"/>
    <cellStyle name="Dane wejściowe 2 22 48" xfId="10110"/>
    <cellStyle name="Dane wejściowe 2 22 48 2" xfId="10111"/>
    <cellStyle name="Dane wejściowe 2 22 48 3" xfId="10112"/>
    <cellStyle name="Dane wejściowe 2 22 49" xfId="10113"/>
    <cellStyle name="Dane wejściowe 2 22 49 2" xfId="10114"/>
    <cellStyle name="Dane wejściowe 2 22 49 3" xfId="10115"/>
    <cellStyle name="Dane wejściowe 2 22 5" xfId="10116"/>
    <cellStyle name="Dane wejściowe 2 22 5 2" xfId="10117"/>
    <cellStyle name="Dane wejściowe 2 22 5 3" xfId="10118"/>
    <cellStyle name="Dane wejściowe 2 22 5 4" xfId="10119"/>
    <cellStyle name="Dane wejściowe 2 22 50" xfId="10120"/>
    <cellStyle name="Dane wejściowe 2 22 50 2" xfId="10121"/>
    <cellStyle name="Dane wejściowe 2 22 50 3" xfId="10122"/>
    <cellStyle name="Dane wejściowe 2 22 51" xfId="10123"/>
    <cellStyle name="Dane wejściowe 2 22 51 2" xfId="10124"/>
    <cellStyle name="Dane wejściowe 2 22 51 3" xfId="10125"/>
    <cellStyle name="Dane wejściowe 2 22 52" xfId="10126"/>
    <cellStyle name="Dane wejściowe 2 22 52 2" xfId="10127"/>
    <cellStyle name="Dane wejściowe 2 22 52 3" xfId="10128"/>
    <cellStyle name="Dane wejściowe 2 22 53" xfId="10129"/>
    <cellStyle name="Dane wejściowe 2 22 53 2" xfId="10130"/>
    <cellStyle name="Dane wejściowe 2 22 53 3" xfId="10131"/>
    <cellStyle name="Dane wejściowe 2 22 54" xfId="10132"/>
    <cellStyle name="Dane wejściowe 2 22 54 2" xfId="10133"/>
    <cellStyle name="Dane wejściowe 2 22 54 3" xfId="10134"/>
    <cellStyle name="Dane wejściowe 2 22 55" xfId="10135"/>
    <cellStyle name="Dane wejściowe 2 22 55 2" xfId="10136"/>
    <cellStyle name="Dane wejściowe 2 22 55 3" xfId="10137"/>
    <cellStyle name="Dane wejściowe 2 22 56" xfId="10138"/>
    <cellStyle name="Dane wejściowe 2 22 56 2" xfId="10139"/>
    <cellStyle name="Dane wejściowe 2 22 56 3" xfId="10140"/>
    <cellStyle name="Dane wejściowe 2 22 57" xfId="10141"/>
    <cellStyle name="Dane wejściowe 2 22 58" xfId="10142"/>
    <cellStyle name="Dane wejściowe 2 22 6" xfId="10143"/>
    <cellStyle name="Dane wejściowe 2 22 6 2" xfId="10144"/>
    <cellStyle name="Dane wejściowe 2 22 6 3" xfId="10145"/>
    <cellStyle name="Dane wejściowe 2 22 6 4" xfId="10146"/>
    <cellStyle name="Dane wejściowe 2 22 7" xfId="10147"/>
    <cellStyle name="Dane wejściowe 2 22 7 2" xfId="10148"/>
    <cellStyle name="Dane wejściowe 2 22 7 3" xfId="10149"/>
    <cellStyle name="Dane wejściowe 2 22 7 4" xfId="10150"/>
    <cellStyle name="Dane wejściowe 2 22 8" xfId="10151"/>
    <cellStyle name="Dane wejściowe 2 22 8 2" xfId="10152"/>
    <cellStyle name="Dane wejściowe 2 22 8 3" xfId="10153"/>
    <cellStyle name="Dane wejściowe 2 22 8 4" xfId="10154"/>
    <cellStyle name="Dane wejściowe 2 22 9" xfId="10155"/>
    <cellStyle name="Dane wejściowe 2 22 9 2" xfId="10156"/>
    <cellStyle name="Dane wejściowe 2 22 9 3" xfId="10157"/>
    <cellStyle name="Dane wejściowe 2 22 9 4" xfId="10158"/>
    <cellStyle name="Dane wejściowe 2 23" xfId="10159"/>
    <cellStyle name="Dane wejściowe 2 23 10" xfId="10160"/>
    <cellStyle name="Dane wejściowe 2 23 10 2" xfId="10161"/>
    <cellStyle name="Dane wejściowe 2 23 10 3" xfId="10162"/>
    <cellStyle name="Dane wejściowe 2 23 10 4" xfId="10163"/>
    <cellStyle name="Dane wejściowe 2 23 11" xfId="10164"/>
    <cellStyle name="Dane wejściowe 2 23 11 2" xfId="10165"/>
    <cellStyle name="Dane wejściowe 2 23 11 3" xfId="10166"/>
    <cellStyle name="Dane wejściowe 2 23 11 4" xfId="10167"/>
    <cellStyle name="Dane wejściowe 2 23 12" xfId="10168"/>
    <cellStyle name="Dane wejściowe 2 23 12 2" xfId="10169"/>
    <cellStyle name="Dane wejściowe 2 23 12 3" xfId="10170"/>
    <cellStyle name="Dane wejściowe 2 23 12 4" xfId="10171"/>
    <cellStyle name="Dane wejściowe 2 23 13" xfId="10172"/>
    <cellStyle name="Dane wejściowe 2 23 13 2" xfId="10173"/>
    <cellStyle name="Dane wejściowe 2 23 13 3" xfId="10174"/>
    <cellStyle name="Dane wejściowe 2 23 13 4" xfId="10175"/>
    <cellStyle name="Dane wejściowe 2 23 14" xfId="10176"/>
    <cellStyle name="Dane wejściowe 2 23 14 2" xfId="10177"/>
    <cellStyle name="Dane wejściowe 2 23 14 3" xfId="10178"/>
    <cellStyle name="Dane wejściowe 2 23 14 4" xfId="10179"/>
    <cellStyle name="Dane wejściowe 2 23 15" xfId="10180"/>
    <cellStyle name="Dane wejściowe 2 23 15 2" xfId="10181"/>
    <cellStyle name="Dane wejściowe 2 23 15 3" xfId="10182"/>
    <cellStyle name="Dane wejściowe 2 23 15 4" xfId="10183"/>
    <cellStyle name="Dane wejściowe 2 23 16" xfId="10184"/>
    <cellStyle name="Dane wejściowe 2 23 16 2" xfId="10185"/>
    <cellStyle name="Dane wejściowe 2 23 16 3" xfId="10186"/>
    <cellStyle name="Dane wejściowe 2 23 16 4" xfId="10187"/>
    <cellStyle name="Dane wejściowe 2 23 17" xfId="10188"/>
    <cellStyle name="Dane wejściowe 2 23 17 2" xfId="10189"/>
    <cellStyle name="Dane wejściowe 2 23 17 3" xfId="10190"/>
    <cellStyle name="Dane wejściowe 2 23 17 4" xfId="10191"/>
    <cellStyle name="Dane wejściowe 2 23 18" xfId="10192"/>
    <cellStyle name="Dane wejściowe 2 23 18 2" xfId="10193"/>
    <cellStyle name="Dane wejściowe 2 23 18 3" xfId="10194"/>
    <cellStyle name="Dane wejściowe 2 23 18 4" xfId="10195"/>
    <cellStyle name="Dane wejściowe 2 23 19" xfId="10196"/>
    <cellStyle name="Dane wejściowe 2 23 19 2" xfId="10197"/>
    <cellStyle name="Dane wejściowe 2 23 19 3" xfId="10198"/>
    <cellStyle name="Dane wejściowe 2 23 19 4" xfId="10199"/>
    <cellStyle name="Dane wejściowe 2 23 2" xfId="10200"/>
    <cellStyle name="Dane wejściowe 2 23 2 2" xfId="10201"/>
    <cellStyle name="Dane wejściowe 2 23 2 3" xfId="10202"/>
    <cellStyle name="Dane wejściowe 2 23 2 4" xfId="10203"/>
    <cellStyle name="Dane wejściowe 2 23 20" xfId="10204"/>
    <cellStyle name="Dane wejściowe 2 23 20 2" xfId="10205"/>
    <cellStyle name="Dane wejściowe 2 23 20 3" xfId="10206"/>
    <cellStyle name="Dane wejściowe 2 23 20 4" xfId="10207"/>
    <cellStyle name="Dane wejściowe 2 23 21" xfId="10208"/>
    <cellStyle name="Dane wejściowe 2 23 21 2" xfId="10209"/>
    <cellStyle name="Dane wejściowe 2 23 21 3" xfId="10210"/>
    <cellStyle name="Dane wejściowe 2 23 22" xfId="10211"/>
    <cellStyle name="Dane wejściowe 2 23 22 2" xfId="10212"/>
    <cellStyle name="Dane wejściowe 2 23 22 3" xfId="10213"/>
    <cellStyle name="Dane wejściowe 2 23 23" xfId="10214"/>
    <cellStyle name="Dane wejściowe 2 23 23 2" xfId="10215"/>
    <cellStyle name="Dane wejściowe 2 23 23 3" xfId="10216"/>
    <cellStyle name="Dane wejściowe 2 23 24" xfId="10217"/>
    <cellStyle name="Dane wejściowe 2 23 24 2" xfId="10218"/>
    <cellStyle name="Dane wejściowe 2 23 24 3" xfId="10219"/>
    <cellStyle name="Dane wejściowe 2 23 25" xfId="10220"/>
    <cellStyle name="Dane wejściowe 2 23 25 2" xfId="10221"/>
    <cellStyle name="Dane wejściowe 2 23 25 3" xfId="10222"/>
    <cellStyle name="Dane wejściowe 2 23 26" xfId="10223"/>
    <cellStyle name="Dane wejściowe 2 23 26 2" xfId="10224"/>
    <cellStyle name="Dane wejściowe 2 23 26 3" xfId="10225"/>
    <cellStyle name="Dane wejściowe 2 23 27" xfId="10226"/>
    <cellStyle name="Dane wejściowe 2 23 27 2" xfId="10227"/>
    <cellStyle name="Dane wejściowe 2 23 27 3" xfId="10228"/>
    <cellStyle name="Dane wejściowe 2 23 28" xfId="10229"/>
    <cellStyle name="Dane wejściowe 2 23 28 2" xfId="10230"/>
    <cellStyle name="Dane wejściowe 2 23 28 3" xfId="10231"/>
    <cellStyle name="Dane wejściowe 2 23 29" xfId="10232"/>
    <cellStyle name="Dane wejściowe 2 23 29 2" xfId="10233"/>
    <cellStyle name="Dane wejściowe 2 23 29 3" xfId="10234"/>
    <cellStyle name="Dane wejściowe 2 23 3" xfId="10235"/>
    <cellStyle name="Dane wejściowe 2 23 3 2" xfId="10236"/>
    <cellStyle name="Dane wejściowe 2 23 3 3" xfId="10237"/>
    <cellStyle name="Dane wejściowe 2 23 3 4" xfId="10238"/>
    <cellStyle name="Dane wejściowe 2 23 30" xfId="10239"/>
    <cellStyle name="Dane wejściowe 2 23 30 2" xfId="10240"/>
    <cellStyle name="Dane wejściowe 2 23 30 3" xfId="10241"/>
    <cellStyle name="Dane wejściowe 2 23 31" xfId="10242"/>
    <cellStyle name="Dane wejściowe 2 23 31 2" xfId="10243"/>
    <cellStyle name="Dane wejściowe 2 23 31 3" xfId="10244"/>
    <cellStyle name="Dane wejściowe 2 23 32" xfId="10245"/>
    <cellStyle name="Dane wejściowe 2 23 32 2" xfId="10246"/>
    <cellStyle name="Dane wejściowe 2 23 32 3" xfId="10247"/>
    <cellStyle name="Dane wejściowe 2 23 33" xfId="10248"/>
    <cellStyle name="Dane wejściowe 2 23 33 2" xfId="10249"/>
    <cellStyle name="Dane wejściowe 2 23 33 3" xfId="10250"/>
    <cellStyle name="Dane wejściowe 2 23 34" xfId="10251"/>
    <cellStyle name="Dane wejściowe 2 23 34 2" xfId="10252"/>
    <cellStyle name="Dane wejściowe 2 23 34 3" xfId="10253"/>
    <cellStyle name="Dane wejściowe 2 23 35" xfId="10254"/>
    <cellStyle name="Dane wejściowe 2 23 35 2" xfId="10255"/>
    <cellStyle name="Dane wejściowe 2 23 35 3" xfId="10256"/>
    <cellStyle name="Dane wejściowe 2 23 36" xfId="10257"/>
    <cellStyle name="Dane wejściowe 2 23 36 2" xfId="10258"/>
    <cellStyle name="Dane wejściowe 2 23 36 3" xfId="10259"/>
    <cellStyle name="Dane wejściowe 2 23 37" xfId="10260"/>
    <cellStyle name="Dane wejściowe 2 23 37 2" xfId="10261"/>
    <cellStyle name="Dane wejściowe 2 23 37 3" xfId="10262"/>
    <cellStyle name="Dane wejściowe 2 23 38" xfId="10263"/>
    <cellStyle name="Dane wejściowe 2 23 38 2" xfId="10264"/>
    <cellStyle name="Dane wejściowe 2 23 38 3" xfId="10265"/>
    <cellStyle name="Dane wejściowe 2 23 39" xfId="10266"/>
    <cellStyle name="Dane wejściowe 2 23 39 2" xfId="10267"/>
    <cellStyle name="Dane wejściowe 2 23 39 3" xfId="10268"/>
    <cellStyle name="Dane wejściowe 2 23 4" xfId="10269"/>
    <cellStyle name="Dane wejściowe 2 23 4 2" xfId="10270"/>
    <cellStyle name="Dane wejściowe 2 23 4 3" xfId="10271"/>
    <cellStyle name="Dane wejściowe 2 23 4 4" xfId="10272"/>
    <cellStyle name="Dane wejściowe 2 23 40" xfId="10273"/>
    <cellStyle name="Dane wejściowe 2 23 40 2" xfId="10274"/>
    <cellStyle name="Dane wejściowe 2 23 40 3" xfId="10275"/>
    <cellStyle name="Dane wejściowe 2 23 41" xfId="10276"/>
    <cellStyle name="Dane wejściowe 2 23 41 2" xfId="10277"/>
    <cellStyle name="Dane wejściowe 2 23 41 3" xfId="10278"/>
    <cellStyle name="Dane wejściowe 2 23 42" xfId="10279"/>
    <cellStyle name="Dane wejściowe 2 23 42 2" xfId="10280"/>
    <cellStyle name="Dane wejściowe 2 23 42 3" xfId="10281"/>
    <cellStyle name="Dane wejściowe 2 23 43" xfId="10282"/>
    <cellStyle name="Dane wejściowe 2 23 43 2" xfId="10283"/>
    <cellStyle name="Dane wejściowe 2 23 43 3" xfId="10284"/>
    <cellStyle name="Dane wejściowe 2 23 44" xfId="10285"/>
    <cellStyle name="Dane wejściowe 2 23 44 2" xfId="10286"/>
    <cellStyle name="Dane wejściowe 2 23 44 3" xfId="10287"/>
    <cellStyle name="Dane wejściowe 2 23 45" xfId="10288"/>
    <cellStyle name="Dane wejściowe 2 23 45 2" xfId="10289"/>
    <cellStyle name="Dane wejściowe 2 23 45 3" xfId="10290"/>
    <cellStyle name="Dane wejściowe 2 23 46" xfId="10291"/>
    <cellStyle name="Dane wejściowe 2 23 46 2" xfId="10292"/>
    <cellStyle name="Dane wejściowe 2 23 46 3" xfId="10293"/>
    <cellStyle name="Dane wejściowe 2 23 47" xfId="10294"/>
    <cellStyle name="Dane wejściowe 2 23 47 2" xfId="10295"/>
    <cellStyle name="Dane wejściowe 2 23 47 3" xfId="10296"/>
    <cellStyle name="Dane wejściowe 2 23 48" xfId="10297"/>
    <cellStyle name="Dane wejściowe 2 23 48 2" xfId="10298"/>
    <cellStyle name="Dane wejściowe 2 23 48 3" xfId="10299"/>
    <cellStyle name="Dane wejściowe 2 23 49" xfId="10300"/>
    <cellStyle name="Dane wejściowe 2 23 49 2" xfId="10301"/>
    <cellStyle name="Dane wejściowe 2 23 49 3" xfId="10302"/>
    <cellStyle name="Dane wejściowe 2 23 5" xfId="10303"/>
    <cellStyle name="Dane wejściowe 2 23 5 2" xfId="10304"/>
    <cellStyle name="Dane wejściowe 2 23 5 3" xfId="10305"/>
    <cellStyle name="Dane wejściowe 2 23 5 4" xfId="10306"/>
    <cellStyle name="Dane wejściowe 2 23 50" xfId="10307"/>
    <cellStyle name="Dane wejściowe 2 23 50 2" xfId="10308"/>
    <cellStyle name="Dane wejściowe 2 23 50 3" xfId="10309"/>
    <cellStyle name="Dane wejściowe 2 23 51" xfId="10310"/>
    <cellStyle name="Dane wejściowe 2 23 51 2" xfId="10311"/>
    <cellStyle name="Dane wejściowe 2 23 51 3" xfId="10312"/>
    <cellStyle name="Dane wejściowe 2 23 52" xfId="10313"/>
    <cellStyle name="Dane wejściowe 2 23 52 2" xfId="10314"/>
    <cellStyle name="Dane wejściowe 2 23 52 3" xfId="10315"/>
    <cellStyle name="Dane wejściowe 2 23 53" xfId="10316"/>
    <cellStyle name="Dane wejściowe 2 23 53 2" xfId="10317"/>
    <cellStyle name="Dane wejściowe 2 23 53 3" xfId="10318"/>
    <cellStyle name="Dane wejściowe 2 23 54" xfId="10319"/>
    <cellStyle name="Dane wejściowe 2 23 54 2" xfId="10320"/>
    <cellStyle name="Dane wejściowe 2 23 54 3" xfId="10321"/>
    <cellStyle name="Dane wejściowe 2 23 55" xfId="10322"/>
    <cellStyle name="Dane wejściowe 2 23 55 2" xfId="10323"/>
    <cellStyle name="Dane wejściowe 2 23 55 3" xfId="10324"/>
    <cellStyle name="Dane wejściowe 2 23 56" xfId="10325"/>
    <cellStyle name="Dane wejściowe 2 23 56 2" xfId="10326"/>
    <cellStyle name="Dane wejściowe 2 23 56 3" xfId="10327"/>
    <cellStyle name="Dane wejściowe 2 23 57" xfId="10328"/>
    <cellStyle name="Dane wejściowe 2 23 58" xfId="10329"/>
    <cellStyle name="Dane wejściowe 2 23 6" xfId="10330"/>
    <cellStyle name="Dane wejściowe 2 23 6 2" xfId="10331"/>
    <cellStyle name="Dane wejściowe 2 23 6 3" xfId="10332"/>
    <cellStyle name="Dane wejściowe 2 23 6 4" xfId="10333"/>
    <cellStyle name="Dane wejściowe 2 23 7" xfId="10334"/>
    <cellStyle name="Dane wejściowe 2 23 7 2" xfId="10335"/>
    <cellStyle name="Dane wejściowe 2 23 7 3" xfId="10336"/>
    <cellStyle name="Dane wejściowe 2 23 7 4" xfId="10337"/>
    <cellStyle name="Dane wejściowe 2 23 8" xfId="10338"/>
    <cellStyle name="Dane wejściowe 2 23 8 2" xfId="10339"/>
    <cellStyle name="Dane wejściowe 2 23 8 3" xfId="10340"/>
    <cellStyle name="Dane wejściowe 2 23 8 4" xfId="10341"/>
    <cellStyle name="Dane wejściowe 2 23 9" xfId="10342"/>
    <cellStyle name="Dane wejściowe 2 23 9 2" xfId="10343"/>
    <cellStyle name="Dane wejściowe 2 23 9 3" xfId="10344"/>
    <cellStyle name="Dane wejściowe 2 23 9 4" xfId="10345"/>
    <cellStyle name="Dane wejściowe 2 24" xfId="10346"/>
    <cellStyle name="Dane wejściowe 2 24 10" xfId="10347"/>
    <cellStyle name="Dane wejściowe 2 24 10 2" xfId="10348"/>
    <cellStyle name="Dane wejściowe 2 24 10 3" xfId="10349"/>
    <cellStyle name="Dane wejściowe 2 24 10 4" xfId="10350"/>
    <cellStyle name="Dane wejściowe 2 24 11" xfId="10351"/>
    <cellStyle name="Dane wejściowe 2 24 11 2" xfId="10352"/>
    <cellStyle name="Dane wejściowe 2 24 11 3" xfId="10353"/>
    <cellStyle name="Dane wejściowe 2 24 11 4" xfId="10354"/>
    <cellStyle name="Dane wejściowe 2 24 12" xfId="10355"/>
    <cellStyle name="Dane wejściowe 2 24 12 2" xfId="10356"/>
    <cellStyle name="Dane wejściowe 2 24 12 3" xfId="10357"/>
    <cellStyle name="Dane wejściowe 2 24 12 4" xfId="10358"/>
    <cellStyle name="Dane wejściowe 2 24 13" xfId="10359"/>
    <cellStyle name="Dane wejściowe 2 24 13 2" xfId="10360"/>
    <cellStyle name="Dane wejściowe 2 24 13 3" xfId="10361"/>
    <cellStyle name="Dane wejściowe 2 24 13 4" xfId="10362"/>
    <cellStyle name="Dane wejściowe 2 24 14" xfId="10363"/>
    <cellStyle name="Dane wejściowe 2 24 14 2" xfId="10364"/>
    <cellStyle name="Dane wejściowe 2 24 14 3" xfId="10365"/>
    <cellStyle name="Dane wejściowe 2 24 14 4" xfId="10366"/>
    <cellStyle name="Dane wejściowe 2 24 15" xfId="10367"/>
    <cellStyle name="Dane wejściowe 2 24 15 2" xfId="10368"/>
    <cellStyle name="Dane wejściowe 2 24 15 3" xfId="10369"/>
    <cellStyle name="Dane wejściowe 2 24 15 4" xfId="10370"/>
    <cellStyle name="Dane wejściowe 2 24 16" xfId="10371"/>
    <cellStyle name="Dane wejściowe 2 24 16 2" xfId="10372"/>
    <cellStyle name="Dane wejściowe 2 24 16 3" xfId="10373"/>
    <cellStyle name="Dane wejściowe 2 24 16 4" xfId="10374"/>
    <cellStyle name="Dane wejściowe 2 24 17" xfId="10375"/>
    <cellStyle name="Dane wejściowe 2 24 17 2" xfId="10376"/>
    <cellStyle name="Dane wejściowe 2 24 17 3" xfId="10377"/>
    <cellStyle name="Dane wejściowe 2 24 17 4" xfId="10378"/>
    <cellStyle name="Dane wejściowe 2 24 18" xfId="10379"/>
    <cellStyle name="Dane wejściowe 2 24 18 2" xfId="10380"/>
    <cellStyle name="Dane wejściowe 2 24 18 3" xfId="10381"/>
    <cellStyle name="Dane wejściowe 2 24 18 4" xfId="10382"/>
    <cellStyle name="Dane wejściowe 2 24 19" xfId="10383"/>
    <cellStyle name="Dane wejściowe 2 24 19 2" xfId="10384"/>
    <cellStyle name="Dane wejściowe 2 24 19 3" xfId="10385"/>
    <cellStyle name="Dane wejściowe 2 24 19 4" xfId="10386"/>
    <cellStyle name="Dane wejściowe 2 24 2" xfId="10387"/>
    <cellStyle name="Dane wejściowe 2 24 2 2" xfId="10388"/>
    <cellStyle name="Dane wejściowe 2 24 2 3" xfId="10389"/>
    <cellStyle name="Dane wejściowe 2 24 2 4" xfId="10390"/>
    <cellStyle name="Dane wejściowe 2 24 20" xfId="10391"/>
    <cellStyle name="Dane wejściowe 2 24 20 2" xfId="10392"/>
    <cellStyle name="Dane wejściowe 2 24 20 3" xfId="10393"/>
    <cellStyle name="Dane wejściowe 2 24 20 4" xfId="10394"/>
    <cellStyle name="Dane wejściowe 2 24 21" xfId="10395"/>
    <cellStyle name="Dane wejściowe 2 24 21 2" xfId="10396"/>
    <cellStyle name="Dane wejściowe 2 24 21 3" xfId="10397"/>
    <cellStyle name="Dane wejściowe 2 24 22" xfId="10398"/>
    <cellStyle name="Dane wejściowe 2 24 22 2" xfId="10399"/>
    <cellStyle name="Dane wejściowe 2 24 22 3" xfId="10400"/>
    <cellStyle name="Dane wejściowe 2 24 23" xfId="10401"/>
    <cellStyle name="Dane wejściowe 2 24 23 2" xfId="10402"/>
    <cellStyle name="Dane wejściowe 2 24 23 3" xfId="10403"/>
    <cellStyle name="Dane wejściowe 2 24 24" xfId="10404"/>
    <cellStyle name="Dane wejściowe 2 24 24 2" xfId="10405"/>
    <cellStyle name="Dane wejściowe 2 24 24 3" xfId="10406"/>
    <cellStyle name="Dane wejściowe 2 24 25" xfId="10407"/>
    <cellStyle name="Dane wejściowe 2 24 25 2" xfId="10408"/>
    <cellStyle name="Dane wejściowe 2 24 25 3" xfId="10409"/>
    <cellStyle name="Dane wejściowe 2 24 26" xfId="10410"/>
    <cellStyle name="Dane wejściowe 2 24 26 2" xfId="10411"/>
    <cellStyle name="Dane wejściowe 2 24 26 3" xfId="10412"/>
    <cellStyle name="Dane wejściowe 2 24 27" xfId="10413"/>
    <cellStyle name="Dane wejściowe 2 24 27 2" xfId="10414"/>
    <cellStyle name="Dane wejściowe 2 24 27 3" xfId="10415"/>
    <cellStyle name="Dane wejściowe 2 24 28" xfId="10416"/>
    <cellStyle name="Dane wejściowe 2 24 28 2" xfId="10417"/>
    <cellStyle name="Dane wejściowe 2 24 28 3" xfId="10418"/>
    <cellStyle name="Dane wejściowe 2 24 29" xfId="10419"/>
    <cellStyle name="Dane wejściowe 2 24 29 2" xfId="10420"/>
    <cellStyle name="Dane wejściowe 2 24 29 3" xfId="10421"/>
    <cellStyle name="Dane wejściowe 2 24 3" xfId="10422"/>
    <cellStyle name="Dane wejściowe 2 24 3 2" xfId="10423"/>
    <cellStyle name="Dane wejściowe 2 24 3 3" xfId="10424"/>
    <cellStyle name="Dane wejściowe 2 24 3 4" xfId="10425"/>
    <cellStyle name="Dane wejściowe 2 24 30" xfId="10426"/>
    <cellStyle name="Dane wejściowe 2 24 30 2" xfId="10427"/>
    <cellStyle name="Dane wejściowe 2 24 30 3" xfId="10428"/>
    <cellStyle name="Dane wejściowe 2 24 31" xfId="10429"/>
    <cellStyle name="Dane wejściowe 2 24 31 2" xfId="10430"/>
    <cellStyle name="Dane wejściowe 2 24 31 3" xfId="10431"/>
    <cellStyle name="Dane wejściowe 2 24 32" xfId="10432"/>
    <cellStyle name="Dane wejściowe 2 24 32 2" xfId="10433"/>
    <cellStyle name="Dane wejściowe 2 24 32 3" xfId="10434"/>
    <cellStyle name="Dane wejściowe 2 24 33" xfId="10435"/>
    <cellStyle name="Dane wejściowe 2 24 33 2" xfId="10436"/>
    <cellStyle name="Dane wejściowe 2 24 33 3" xfId="10437"/>
    <cellStyle name="Dane wejściowe 2 24 34" xfId="10438"/>
    <cellStyle name="Dane wejściowe 2 24 34 2" xfId="10439"/>
    <cellStyle name="Dane wejściowe 2 24 34 3" xfId="10440"/>
    <cellStyle name="Dane wejściowe 2 24 35" xfId="10441"/>
    <cellStyle name="Dane wejściowe 2 24 35 2" xfId="10442"/>
    <cellStyle name="Dane wejściowe 2 24 35 3" xfId="10443"/>
    <cellStyle name="Dane wejściowe 2 24 36" xfId="10444"/>
    <cellStyle name="Dane wejściowe 2 24 36 2" xfId="10445"/>
    <cellStyle name="Dane wejściowe 2 24 36 3" xfId="10446"/>
    <cellStyle name="Dane wejściowe 2 24 37" xfId="10447"/>
    <cellStyle name="Dane wejściowe 2 24 37 2" xfId="10448"/>
    <cellStyle name="Dane wejściowe 2 24 37 3" xfId="10449"/>
    <cellStyle name="Dane wejściowe 2 24 38" xfId="10450"/>
    <cellStyle name="Dane wejściowe 2 24 38 2" xfId="10451"/>
    <cellStyle name="Dane wejściowe 2 24 38 3" xfId="10452"/>
    <cellStyle name="Dane wejściowe 2 24 39" xfId="10453"/>
    <cellStyle name="Dane wejściowe 2 24 39 2" xfId="10454"/>
    <cellStyle name="Dane wejściowe 2 24 39 3" xfId="10455"/>
    <cellStyle name="Dane wejściowe 2 24 4" xfId="10456"/>
    <cellStyle name="Dane wejściowe 2 24 4 2" xfId="10457"/>
    <cellStyle name="Dane wejściowe 2 24 4 3" xfId="10458"/>
    <cellStyle name="Dane wejściowe 2 24 4 4" xfId="10459"/>
    <cellStyle name="Dane wejściowe 2 24 40" xfId="10460"/>
    <cellStyle name="Dane wejściowe 2 24 40 2" xfId="10461"/>
    <cellStyle name="Dane wejściowe 2 24 40 3" xfId="10462"/>
    <cellStyle name="Dane wejściowe 2 24 41" xfId="10463"/>
    <cellStyle name="Dane wejściowe 2 24 41 2" xfId="10464"/>
    <cellStyle name="Dane wejściowe 2 24 41 3" xfId="10465"/>
    <cellStyle name="Dane wejściowe 2 24 42" xfId="10466"/>
    <cellStyle name="Dane wejściowe 2 24 42 2" xfId="10467"/>
    <cellStyle name="Dane wejściowe 2 24 42 3" xfId="10468"/>
    <cellStyle name="Dane wejściowe 2 24 43" xfId="10469"/>
    <cellStyle name="Dane wejściowe 2 24 43 2" xfId="10470"/>
    <cellStyle name="Dane wejściowe 2 24 43 3" xfId="10471"/>
    <cellStyle name="Dane wejściowe 2 24 44" xfId="10472"/>
    <cellStyle name="Dane wejściowe 2 24 44 2" xfId="10473"/>
    <cellStyle name="Dane wejściowe 2 24 44 3" xfId="10474"/>
    <cellStyle name="Dane wejściowe 2 24 45" xfId="10475"/>
    <cellStyle name="Dane wejściowe 2 24 45 2" xfId="10476"/>
    <cellStyle name="Dane wejściowe 2 24 45 3" xfId="10477"/>
    <cellStyle name="Dane wejściowe 2 24 46" xfId="10478"/>
    <cellStyle name="Dane wejściowe 2 24 46 2" xfId="10479"/>
    <cellStyle name="Dane wejściowe 2 24 46 3" xfId="10480"/>
    <cellStyle name="Dane wejściowe 2 24 47" xfId="10481"/>
    <cellStyle name="Dane wejściowe 2 24 47 2" xfId="10482"/>
    <cellStyle name="Dane wejściowe 2 24 47 3" xfId="10483"/>
    <cellStyle name="Dane wejściowe 2 24 48" xfId="10484"/>
    <cellStyle name="Dane wejściowe 2 24 48 2" xfId="10485"/>
    <cellStyle name="Dane wejściowe 2 24 48 3" xfId="10486"/>
    <cellStyle name="Dane wejściowe 2 24 49" xfId="10487"/>
    <cellStyle name="Dane wejściowe 2 24 49 2" xfId="10488"/>
    <cellStyle name="Dane wejściowe 2 24 49 3" xfId="10489"/>
    <cellStyle name="Dane wejściowe 2 24 5" xfId="10490"/>
    <cellStyle name="Dane wejściowe 2 24 5 2" xfId="10491"/>
    <cellStyle name="Dane wejściowe 2 24 5 3" xfId="10492"/>
    <cellStyle name="Dane wejściowe 2 24 5 4" xfId="10493"/>
    <cellStyle name="Dane wejściowe 2 24 50" xfId="10494"/>
    <cellStyle name="Dane wejściowe 2 24 50 2" xfId="10495"/>
    <cellStyle name="Dane wejściowe 2 24 50 3" xfId="10496"/>
    <cellStyle name="Dane wejściowe 2 24 51" xfId="10497"/>
    <cellStyle name="Dane wejściowe 2 24 51 2" xfId="10498"/>
    <cellStyle name="Dane wejściowe 2 24 51 3" xfId="10499"/>
    <cellStyle name="Dane wejściowe 2 24 52" xfId="10500"/>
    <cellStyle name="Dane wejściowe 2 24 52 2" xfId="10501"/>
    <cellStyle name="Dane wejściowe 2 24 52 3" xfId="10502"/>
    <cellStyle name="Dane wejściowe 2 24 53" xfId="10503"/>
    <cellStyle name="Dane wejściowe 2 24 53 2" xfId="10504"/>
    <cellStyle name="Dane wejściowe 2 24 53 3" xfId="10505"/>
    <cellStyle name="Dane wejściowe 2 24 54" xfId="10506"/>
    <cellStyle name="Dane wejściowe 2 24 54 2" xfId="10507"/>
    <cellStyle name="Dane wejściowe 2 24 54 3" xfId="10508"/>
    <cellStyle name="Dane wejściowe 2 24 55" xfId="10509"/>
    <cellStyle name="Dane wejściowe 2 24 55 2" xfId="10510"/>
    <cellStyle name="Dane wejściowe 2 24 55 3" xfId="10511"/>
    <cellStyle name="Dane wejściowe 2 24 56" xfId="10512"/>
    <cellStyle name="Dane wejściowe 2 24 56 2" xfId="10513"/>
    <cellStyle name="Dane wejściowe 2 24 56 3" xfId="10514"/>
    <cellStyle name="Dane wejściowe 2 24 57" xfId="10515"/>
    <cellStyle name="Dane wejściowe 2 24 58" xfId="10516"/>
    <cellStyle name="Dane wejściowe 2 24 6" xfId="10517"/>
    <cellStyle name="Dane wejściowe 2 24 6 2" xfId="10518"/>
    <cellStyle name="Dane wejściowe 2 24 6 3" xfId="10519"/>
    <cellStyle name="Dane wejściowe 2 24 6 4" xfId="10520"/>
    <cellStyle name="Dane wejściowe 2 24 7" xfId="10521"/>
    <cellStyle name="Dane wejściowe 2 24 7 2" xfId="10522"/>
    <cellStyle name="Dane wejściowe 2 24 7 3" xfId="10523"/>
    <cellStyle name="Dane wejściowe 2 24 7 4" xfId="10524"/>
    <cellStyle name="Dane wejściowe 2 24 8" xfId="10525"/>
    <cellStyle name="Dane wejściowe 2 24 8 2" xfId="10526"/>
    <cellStyle name="Dane wejściowe 2 24 8 3" xfId="10527"/>
    <cellStyle name="Dane wejściowe 2 24 8 4" xfId="10528"/>
    <cellStyle name="Dane wejściowe 2 24 9" xfId="10529"/>
    <cellStyle name="Dane wejściowe 2 24 9 2" xfId="10530"/>
    <cellStyle name="Dane wejściowe 2 24 9 3" xfId="10531"/>
    <cellStyle name="Dane wejściowe 2 24 9 4" xfId="10532"/>
    <cellStyle name="Dane wejściowe 2 25" xfId="10533"/>
    <cellStyle name="Dane wejściowe 2 25 10" xfId="10534"/>
    <cellStyle name="Dane wejściowe 2 25 10 2" xfId="10535"/>
    <cellStyle name="Dane wejściowe 2 25 10 3" xfId="10536"/>
    <cellStyle name="Dane wejściowe 2 25 10 4" xfId="10537"/>
    <cellStyle name="Dane wejściowe 2 25 11" xfId="10538"/>
    <cellStyle name="Dane wejściowe 2 25 11 2" xfId="10539"/>
    <cellStyle name="Dane wejściowe 2 25 11 3" xfId="10540"/>
    <cellStyle name="Dane wejściowe 2 25 11 4" xfId="10541"/>
    <cellStyle name="Dane wejściowe 2 25 12" xfId="10542"/>
    <cellStyle name="Dane wejściowe 2 25 12 2" xfId="10543"/>
    <cellStyle name="Dane wejściowe 2 25 12 3" xfId="10544"/>
    <cellStyle name="Dane wejściowe 2 25 12 4" xfId="10545"/>
    <cellStyle name="Dane wejściowe 2 25 13" xfId="10546"/>
    <cellStyle name="Dane wejściowe 2 25 13 2" xfId="10547"/>
    <cellStyle name="Dane wejściowe 2 25 13 3" xfId="10548"/>
    <cellStyle name="Dane wejściowe 2 25 13 4" xfId="10549"/>
    <cellStyle name="Dane wejściowe 2 25 14" xfId="10550"/>
    <cellStyle name="Dane wejściowe 2 25 14 2" xfId="10551"/>
    <cellStyle name="Dane wejściowe 2 25 14 3" xfId="10552"/>
    <cellStyle name="Dane wejściowe 2 25 14 4" xfId="10553"/>
    <cellStyle name="Dane wejściowe 2 25 15" xfId="10554"/>
    <cellStyle name="Dane wejściowe 2 25 15 2" xfId="10555"/>
    <cellStyle name="Dane wejściowe 2 25 15 3" xfId="10556"/>
    <cellStyle name="Dane wejściowe 2 25 15 4" xfId="10557"/>
    <cellStyle name="Dane wejściowe 2 25 16" xfId="10558"/>
    <cellStyle name="Dane wejściowe 2 25 16 2" xfId="10559"/>
    <cellStyle name="Dane wejściowe 2 25 16 3" xfId="10560"/>
    <cellStyle name="Dane wejściowe 2 25 16 4" xfId="10561"/>
    <cellStyle name="Dane wejściowe 2 25 17" xfId="10562"/>
    <cellStyle name="Dane wejściowe 2 25 17 2" xfId="10563"/>
    <cellStyle name="Dane wejściowe 2 25 17 3" xfId="10564"/>
    <cellStyle name="Dane wejściowe 2 25 17 4" xfId="10565"/>
    <cellStyle name="Dane wejściowe 2 25 18" xfId="10566"/>
    <cellStyle name="Dane wejściowe 2 25 18 2" xfId="10567"/>
    <cellStyle name="Dane wejściowe 2 25 18 3" xfId="10568"/>
    <cellStyle name="Dane wejściowe 2 25 18 4" xfId="10569"/>
    <cellStyle name="Dane wejściowe 2 25 19" xfId="10570"/>
    <cellStyle name="Dane wejściowe 2 25 19 2" xfId="10571"/>
    <cellStyle name="Dane wejściowe 2 25 19 3" xfId="10572"/>
    <cellStyle name="Dane wejściowe 2 25 19 4" xfId="10573"/>
    <cellStyle name="Dane wejściowe 2 25 2" xfId="10574"/>
    <cellStyle name="Dane wejściowe 2 25 2 2" xfId="10575"/>
    <cellStyle name="Dane wejściowe 2 25 2 3" xfId="10576"/>
    <cellStyle name="Dane wejściowe 2 25 2 4" xfId="10577"/>
    <cellStyle name="Dane wejściowe 2 25 20" xfId="10578"/>
    <cellStyle name="Dane wejściowe 2 25 20 2" xfId="10579"/>
    <cellStyle name="Dane wejściowe 2 25 20 3" xfId="10580"/>
    <cellStyle name="Dane wejściowe 2 25 20 4" xfId="10581"/>
    <cellStyle name="Dane wejściowe 2 25 21" xfId="10582"/>
    <cellStyle name="Dane wejściowe 2 25 21 2" xfId="10583"/>
    <cellStyle name="Dane wejściowe 2 25 21 3" xfId="10584"/>
    <cellStyle name="Dane wejściowe 2 25 22" xfId="10585"/>
    <cellStyle name="Dane wejściowe 2 25 22 2" xfId="10586"/>
    <cellStyle name="Dane wejściowe 2 25 22 3" xfId="10587"/>
    <cellStyle name="Dane wejściowe 2 25 23" xfId="10588"/>
    <cellStyle name="Dane wejściowe 2 25 23 2" xfId="10589"/>
    <cellStyle name="Dane wejściowe 2 25 23 3" xfId="10590"/>
    <cellStyle name="Dane wejściowe 2 25 24" xfId="10591"/>
    <cellStyle name="Dane wejściowe 2 25 24 2" xfId="10592"/>
    <cellStyle name="Dane wejściowe 2 25 24 3" xfId="10593"/>
    <cellStyle name="Dane wejściowe 2 25 25" xfId="10594"/>
    <cellStyle name="Dane wejściowe 2 25 25 2" xfId="10595"/>
    <cellStyle name="Dane wejściowe 2 25 25 3" xfId="10596"/>
    <cellStyle name="Dane wejściowe 2 25 26" xfId="10597"/>
    <cellStyle name="Dane wejściowe 2 25 26 2" xfId="10598"/>
    <cellStyle name="Dane wejściowe 2 25 26 3" xfId="10599"/>
    <cellStyle name="Dane wejściowe 2 25 27" xfId="10600"/>
    <cellStyle name="Dane wejściowe 2 25 27 2" xfId="10601"/>
    <cellStyle name="Dane wejściowe 2 25 27 3" xfId="10602"/>
    <cellStyle name="Dane wejściowe 2 25 28" xfId="10603"/>
    <cellStyle name="Dane wejściowe 2 25 28 2" xfId="10604"/>
    <cellStyle name="Dane wejściowe 2 25 28 3" xfId="10605"/>
    <cellStyle name="Dane wejściowe 2 25 29" xfId="10606"/>
    <cellStyle name="Dane wejściowe 2 25 29 2" xfId="10607"/>
    <cellStyle name="Dane wejściowe 2 25 29 3" xfId="10608"/>
    <cellStyle name="Dane wejściowe 2 25 3" xfId="10609"/>
    <cellStyle name="Dane wejściowe 2 25 3 2" xfId="10610"/>
    <cellStyle name="Dane wejściowe 2 25 3 3" xfId="10611"/>
    <cellStyle name="Dane wejściowe 2 25 3 4" xfId="10612"/>
    <cellStyle name="Dane wejściowe 2 25 30" xfId="10613"/>
    <cellStyle name="Dane wejściowe 2 25 30 2" xfId="10614"/>
    <cellStyle name="Dane wejściowe 2 25 30 3" xfId="10615"/>
    <cellStyle name="Dane wejściowe 2 25 31" xfId="10616"/>
    <cellStyle name="Dane wejściowe 2 25 31 2" xfId="10617"/>
    <cellStyle name="Dane wejściowe 2 25 31 3" xfId="10618"/>
    <cellStyle name="Dane wejściowe 2 25 32" xfId="10619"/>
    <cellStyle name="Dane wejściowe 2 25 32 2" xfId="10620"/>
    <cellStyle name="Dane wejściowe 2 25 32 3" xfId="10621"/>
    <cellStyle name="Dane wejściowe 2 25 33" xfId="10622"/>
    <cellStyle name="Dane wejściowe 2 25 33 2" xfId="10623"/>
    <cellStyle name="Dane wejściowe 2 25 33 3" xfId="10624"/>
    <cellStyle name="Dane wejściowe 2 25 34" xfId="10625"/>
    <cellStyle name="Dane wejściowe 2 25 34 2" xfId="10626"/>
    <cellStyle name="Dane wejściowe 2 25 34 3" xfId="10627"/>
    <cellStyle name="Dane wejściowe 2 25 35" xfId="10628"/>
    <cellStyle name="Dane wejściowe 2 25 35 2" xfId="10629"/>
    <cellStyle name="Dane wejściowe 2 25 35 3" xfId="10630"/>
    <cellStyle name="Dane wejściowe 2 25 36" xfId="10631"/>
    <cellStyle name="Dane wejściowe 2 25 36 2" xfId="10632"/>
    <cellStyle name="Dane wejściowe 2 25 36 3" xfId="10633"/>
    <cellStyle name="Dane wejściowe 2 25 37" xfId="10634"/>
    <cellStyle name="Dane wejściowe 2 25 37 2" xfId="10635"/>
    <cellStyle name="Dane wejściowe 2 25 37 3" xfId="10636"/>
    <cellStyle name="Dane wejściowe 2 25 38" xfId="10637"/>
    <cellStyle name="Dane wejściowe 2 25 38 2" xfId="10638"/>
    <cellStyle name="Dane wejściowe 2 25 38 3" xfId="10639"/>
    <cellStyle name="Dane wejściowe 2 25 39" xfId="10640"/>
    <cellStyle name="Dane wejściowe 2 25 39 2" xfId="10641"/>
    <cellStyle name="Dane wejściowe 2 25 39 3" xfId="10642"/>
    <cellStyle name="Dane wejściowe 2 25 4" xfId="10643"/>
    <cellStyle name="Dane wejściowe 2 25 4 2" xfId="10644"/>
    <cellStyle name="Dane wejściowe 2 25 4 3" xfId="10645"/>
    <cellStyle name="Dane wejściowe 2 25 4 4" xfId="10646"/>
    <cellStyle name="Dane wejściowe 2 25 40" xfId="10647"/>
    <cellStyle name="Dane wejściowe 2 25 40 2" xfId="10648"/>
    <cellStyle name="Dane wejściowe 2 25 40 3" xfId="10649"/>
    <cellStyle name="Dane wejściowe 2 25 41" xfId="10650"/>
    <cellStyle name="Dane wejściowe 2 25 41 2" xfId="10651"/>
    <cellStyle name="Dane wejściowe 2 25 41 3" xfId="10652"/>
    <cellStyle name="Dane wejściowe 2 25 42" xfId="10653"/>
    <cellStyle name="Dane wejściowe 2 25 42 2" xfId="10654"/>
    <cellStyle name="Dane wejściowe 2 25 42 3" xfId="10655"/>
    <cellStyle name="Dane wejściowe 2 25 43" xfId="10656"/>
    <cellStyle name="Dane wejściowe 2 25 43 2" xfId="10657"/>
    <cellStyle name="Dane wejściowe 2 25 43 3" xfId="10658"/>
    <cellStyle name="Dane wejściowe 2 25 44" xfId="10659"/>
    <cellStyle name="Dane wejściowe 2 25 44 2" xfId="10660"/>
    <cellStyle name="Dane wejściowe 2 25 44 3" xfId="10661"/>
    <cellStyle name="Dane wejściowe 2 25 45" xfId="10662"/>
    <cellStyle name="Dane wejściowe 2 25 45 2" xfId="10663"/>
    <cellStyle name="Dane wejściowe 2 25 45 3" xfId="10664"/>
    <cellStyle name="Dane wejściowe 2 25 46" xfId="10665"/>
    <cellStyle name="Dane wejściowe 2 25 46 2" xfId="10666"/>
    <cellStyle name="Dane wejściowe 2 25 46 3" xfId="10667"/>
    <cellStyle name="Dane wejściowe 2 25 47" xfId="10668"/>
    <cellStyle name="Dane wejściowe 2 25 47 2" xfId="10669"/>
    <cellStyle name="Dane wejściowe 2 25 47 3" xfId="10670"/>
    <cellStyle name="Dane wejściowe 2 25 48" xfId="10671"/>
    <cellStyle name="Dane wejściowe 2 25 48 2" xfId="10672"/>
    <cellStyle name="Dane wejściowe 2 25 48 3" xfId="10673"/>
    <cellStyle name="Dane wejściowe 2 25 49" xfId="10674"/>
    <cellStyle name="Dane wejściowe 2 25 49 2" xfId="10675"/>
    <cellStyle name="Dane wejściowe 2 25 49 3" xfId="10676"/>
    <cellStyle name="Dane wejściowe 2 25 5" xfId="10677"/>
    <cellStyle name="Dane wejściowe 2 25 5 2" xfId="10678"/>
    <cellStyle name="Dane wejściowe 2 25 5 3" xfId="10679"/>
    <cellStyle name="Dane wejściowe 2 25 5 4" xfId="10680"/>
    <cellStyle name="Dane wejściowe 2 25 50" xfId="10681"/>
    <cellStyle name="Dane wejściowe 2 25 50 2" xfId="10682"/>
    <cellStyle name="Dane wejściowe 2 25 50 3" xfId="10683"/>
    <cellStyle name="Dane wejściowe 2 25 51" xfId="10684"/>
    <cellStyle name="Dane wejściowe 2 25 51 2" xfId="10685"/>
    <cellStyle name="Dane wejściowe 2 25 51 3" xfId="10686"/>
    <cellStyle name="Dane wejściowe 2 25 52" xfId="10687"/>
    <cellStyle name="Dane wejściowe 2 25 52 2" xfId="10688"/>
    <cellStyle name="Dane wejściowe 2 25 52 3" xfId="10689"/>
    <cellStyle name="Dane wejściowe 2 25 53" xfId="10690"/>
    <cellStyle name="Dane wejściowe 2 25 53 2" xfId="10691"/>
    <cellStyle name="Dane wejściowe 2 25 53 3" xfId="10692"/>
    <cellStyle name="Dane wejściowe 2 25 54" xfId="10693"/>
    <cellStyle name="Dane wejściowe 2 25 54 2" xfId="10694"/>
    <cellStyle name="Dane wejściowe 2 25 54 3" xfId="10695"/>
    <cellStyle name="Dane wejściowe 2 25 55" xfId="10696"/>
    <cellStyle name="Dane wejściowe 2 25 55 2" xfId="10697"/>
    <cellStyle name="Dane wejściowe 2 25 55 3" xfId="10698"/>
    <cellStyle name="Dane wejściowe 2 25 56" xfId="10699"/>
    <cellStyle name="Dane wejściowe 2 25 56 2" xfId="10700"/>
    <cellStyle name="Dane wejściowe 2 25 56 3" xfId="10701"/>
    <cellStyle name="Dane wejściowe 2 25 57" xfId="10702"/>
    <cellStyle name="Dane wejściowe 2 25 58" xfId="10703"/>
    <cellStyle name="Dane wejściowe 2 25 6" xfId="10704"/>
    <cellStyle name="Dane wejściowe 2 25 6 2" xfId="10705"/>
    <cellStyle name="Dane wejściowe 2 25 6 3" xfId="10706"/>
    <cellStyle name="Dane wejściowe 2 25 6 4" xfId="10707"/>
    <cellStyle name="Dane wejściowe 2 25 7" xfId="10708"/>
    <cellStyle name="Dane wejściowe 2 25 7 2" xfId="10709"/>
    <cellStyle name="Dane wejściowe 2 25 7 3" xfId="10710"/>
    <cellStyle name="Dane wejściowe 2 25 7 4" xfId="10711"/>
    <cellStyle name="Dane wejściowe 2 25 8" xfId="10712"/>
    <cellStyle name="Dane wejściowe 2 25 8 2" xfId="10713"/>
    <cellStyle name="Dane wejściowe 2 25 8 3" xfId="10714"/>
    <cellStyle name="Dane wejściowe 2 25 8 4" xfId="10715"/>
    <cellStyle name="Dane wejściowe 2 25 9" xfId="10716"/>
    <cellStyle name="Dane wejściowe 2 25 9 2" xfId="10717"/>
    <cellStyle name="Dane wejściowe 2 25 9 3" xfId="10718"/>
    <cellStyle name="Dane wejściowe 2 25 9 4" xfId="10719"/>
    <cellStyle name="Dane wejściowe 2 26" xfId="10720"/>
    <cellStyle name="Dane wejściowe 2 26 10" xfId="10721"/>
    <cellStyle name="Dane wejściowe 2 26 10 2" xfId="10722"/>
    <cellStyle name="Dane wejściowe 2 26 10 3" xfId="10723"/>
    <cellStyle name="Dane wejściowe 2 26 10 4" xfId="10724"/>
    <cellStyle name="Dane wejściowe 2 26 11" xfId="10725"/>
    <cellStyle name="Dane wejściowe 2 26 11 2" xfId="10726"/>
    <cellStyle name="Dane wejściowe 2 26 11 3" xfId="10727"/>
    <cellStyle name="Dane wejściowe 2 26 11 4" xfId="10728"/>
    <cellStyle name="Dane wejściowe 2 26 12" xfId="10729"/>
    <cellStyle name="Dane wejściowe 2 26 12 2" xfId="10730"/>
    <cellStyle name="Dane wejściowe 2 26 12 3" xfId="10731"/>
    <cellStyle name="Dane wejściowe 2 26 12 4" xfId="10732"/>
    <cellStyle name="Dane wejściowe 2 26 13" xfId="10733"/>
    <cellStyle name="Dane wejściowe 2 26 13 2" xfId="10734"/>
    <cellStyle name="Dane wejściowe 2 26 13 3" xfId="10735"/>
    <cellStyle name="Dane wejściowe 2 26 13 4" xfId="10736"/>
    <cellStyle name="Dane wejściowe 2 26 14" xfId="10737"/>
    <cellStyle name="Dane wejściowe 2 26 14 2" xfId="10738"/>
    <cellStyle name="Dane wejściowe 2 26 14 3" xfId="10739"/>
    <cellStyle name="Dane wejściowe 2 26 14 4" xfId="10740"/>
    <cellStyle name="Dane wejściowe 2 26 15" xfId="10741"/>
    <cellStyle name="Dane wejściowe 2 26 15 2" xfId="10742"/>
    <cellStyle name="Dane wejściowe 2 26 15 3" xfId="10743"/>
    <cellStyle name="Dane wejściowe 2 26 15 4" xfId="10744"/>
    <cellStyle name="Dane wejściowe 2 26 16" xfId="10745"/>
    <cellStyle name="Dane wejściowe 2 26 16 2" xfId="10746"/>
    <cellStyle name="Dane wejściowe 2 26 16 3" xfId="10747"/>
    <cellStyle name="Dane wejściowe 2 26 16 4" xfId="10748"/>
    <cellStyle name="Dane wejściowe 2 26 17" xfId="10749"/>
    <cellStyle name="Dane wejściowe 2 26 17 2" xfId="10750"/>
    <cellStyle name="Dane wejściowe 2 26 17 3" xfId="10751"/>
    <cellStyle name="Dane wejściowe 2 26 17 4" xfId="10752"/>
    <cellStyle name="Dane wejściowe 2 26 18" xfId="10753"/>
    <cellStyle name="Dane wejściowe 2 26 18 2" xfId="10754"/>
    <cellStyle name="Dane wejściowe 2 26 18 3" xfId="10755"/>
    <cellStyle name="Dane wejściowe 2 26 18 4" xfId="10756"/>
    <cellStyle name="Dane wejściowe 2 26 19" xfId="10757"/>
    <cellStyle name="Dane wejściowe 2 26 19 2" xfId="10758"/>
    <cellStyle name="Dane wejściowe 2 26 19 3" xfId="10759"/>
    <cellStyle name="Dane wejściowe 2 26 19 4" xfId="10760"/>
    <cellStyle name="Dane wejściowe 2 26 2" xfId="10761"/>
    <cellStyle name="Dane wejściowe 2 26 2 2" xfId="10762"/>
    <cellStyle name="Dane wejściowe 2 26 2 3" xfId="10763"/>
    <cellStyle name="Dane wejściowe 2 26 2 4" xfId="10764"/>
    <cellStyle name="Dane wejściowe 2 26 20" xfId="10765"/>
    <cellStyle name="Dane wejściowe 2 26 20 2" xfId="10766"/>
    <cellStyle name="Dane wejściowe 2 26 20 3" xfId="10767"/>
    <cellStyle name="Dane wejściowe 2 26 20 4" xfId="10768"/>
    <cellStyle name="Dane wejściowe 2 26 21" xfId="10769"/>
    <cellStyle name="Dane wejściowe 2 26 21 2" xfId="10770"/>
    <cellStyle name="Dane wejściowe 2 26 21 3" xfId="10771"/>
    <cellStyle name="Dane wejściowe 2 26 22" xfId="10772"/>
    <cellStyle name="Dane wejściowe 2 26 22 2" xfId="10773"/>
    <cellStyle name="Dane wejściowe 2 26 22 3" xfId="10774"/>
    <cellStyle name="Dane wejściowe 2 26 23" xfId="10775"/>
    <cellStyle name="Dane wejściowe 2 26 23 2" xfId="10776"/>
    <cellStyle name="Dane wejściowe 2 26 23 3" xfId="10777"/>
    <cellStyle name="Dane wejściowe 2 26 24" xfId="10778"/>
    <cellStyle name="Dane wejściowe 2 26 24 2" xfId="10779"/>
    <cellStyle name="Dane wejściowe 2 26 24 3" xfId="10780"/>
    <cellStyle name="Dane wejściowe 2 26 25" xfId="10781"/>
    <cellStyle name="Dane wejściowe 2 26 25 2" xfId="10782"/>
    <cellStyle name="Dane wejściowe 2 26 25 3" xfId="10783"/>
    <cellStyle name="Dane wejściowe 2 26 26" xfId="10784"/>
    <cellStyle name="Dane wejściowe 2 26 26 2" xfId="10785"/>
    <cellStyle name="Dane wejściowe 2 26 26 3" xfId="10786"/>
    <cellStyle name="Dane wejściowe 2 26 27" xfId="10787"/>
    <cellStyle name="Dane wejściowe 2 26 27 2" xfId="10788"/>
    <cellStyle name="Dane wejściowe 2 26 27 3" xfId="10789"/>
    <cellStyle name="Dane wejściowe 2 26 28" xfId="10790"/>
    <cellStyle name="Dane wejściowe 2 26 28 2" xfId="10791"/>
    <cellStyle name="Dane wejściowe 2 26 28 3" xfId="10792"/>
    <cellStyle name="Dane wejściowe 2 26 29" xfId="10793"/>
    <cellStyle name="Dane wejściowe 2 26 29 2" xfId="10794"/>
    <cellStyle name="Dane wejściowe 2 26 29 3" xfId="10795"/>
    <cellStyle name="Dane wejściowe 2 26 3" xfId="10796"/>
    <cellStyle name="Dane wejściowe 2 26 3 2" xfId="10797"/>
    <cellStyle name="Dane wejściowe 2 26 3 3" xfId="10798"/>
    <cellStyle name="Dane wejściowe 2 26 3 4" xfId="10799"/>
    <cellStyle name="Dane wejściowe 2 26 30" xfId="10800"/>
    <cellStyle name="Dane wejściowe 2 26 30 2" xfId="10801"/>
    <cellStyle name="Dane wejściowe 2 26 30 3" xfId="10802"/>
    <cellStyle name="Dane wejściowe 2 26 31" xfId="10803"/>
    <cellStyle name="Dane wejściowe 2 26 31 2" xfId="10804"/>
    <cellStyle name="Dane wejściowe 2 26 31 3" xfId="10805"/>
    <cellStyle name="Dane wejściowe 2 26 32" xfId="10806"/>
    <cellStyle name="Dane wejściowe 2 26 32 2" xfId="10807"/>
    <cellStyle name="Dane wejściowe 2 26 32 3" xfId="10808"/>
    <cellStyle name="Dane wejściowe 2 26 33" xfId="10809"/>
    <cellStyle name="Dane wejściowe 2 26 33 2" xfId="10810"/>
    <cellStyle name="Dane wejściowe 2 26 33 3" xfId="10811"/>
    <cellStyle name="Dane wejściowe 2 26 34" xfId="10812"/>
    <cellStyle name="Dane wejściowe 2 26 34 2" xfId="10813"/>
    <cellStyle name="Dane wejściowe 2 26 34 3" xfId="10814"/>
    <cellStyle name="Dane wejściowe 2 26 35" xfId="10815"/>
    <cellStyle name="Dane wejściowe 2 26 35 2" xfId="10816"/>
    <cellStyle name="Dane wejściowe 2 26 35 3" xfId="10817"/>
    <cellStyle name="Dane wejściowe 2 26 36" xfId="10818"/>
    <cellStyle name="Dane wejściowe 2 26 36 2" xfId="10819"/>
    <cellStyle name="Dane wejściowe 2 26 36 3" xfId="10820"/>
    <cellStyle name="Dane wejściowe 2 26 37" xfId="10821"/>
    <cellStyle name="Dane wejściowe 2 26 37 2" xfId="10822"/>
    <cellStyle name="Dane wejściowe 2 26 37 3" xfId="10823"/>
    <cellStyle name="Dane wejściowe 2 26 38" xfId="10824"/>
    <cellStyle name="Dane wejściowe 2 26 38 2" xfId="10825"/>
    <cellStyle name="Dane wejściowe 2 26 38 3" xfId="10826"/>
    <cellStyle name="Dane wejściowe 2 26 39" xfId="10827"/>
    <cellStyle name="Dane wejściowe 2 26 39 2" xfId="10828"/>
    <cellStyle name="Dane wejściowe 2 26 39 3" xfId="10829"/>
    <cellStyle name="Dane wejściowe 2 26 4" xfId="10830"/>
    <cellStyle name="Dane wejściowe 2 26 4 2" xfId="10831"/>
    <cellStyle name="Dane wejściowe 2 26 4 3" xfId="10832"/>
    <cellStyle name="Dane wejściowe 2 26 4 4" xfId="10833"/>
    <cellStyle name="Dane wejściowe 2 26 40" xfId="10834"/>
    <cellStyle name="Dane wejściowe 2 26 40 2" xfId="10835"/>
    <cellStyle name="Dane wejściowe 2 26 40 3" xfId="10836"/>
    <cellStyle name="Dane wejściowe 2 26 41" xfId="10837"/>
    <cellStyle name="Dane wejściowe 2 26 41 2" xfId="10838"/>
    <cellStyle name="Dane wejściowe 2 26 41 3" xfId="10839"/>
    <cellStyle name="Dane wejściowe 2 26 42" xfId="10840"/>
    <cellStyle name="Dane wejściowe 2 26 42 2" xfId="10841"/>
    <cellStyle name="Dane wejściowe 2 26 42 3" xfId="10842"/>
    <cellStyle name="Dane wejściowe 2 26 43" xfId="10843"/>
    <cellStyle name="Dane wejściowe 2 26 43 2" xfId="10844"/>
    <cellStyle name="Dane wejściowe 2 26 43 3" xfId="10845"/>
    <cellStyle name="Dane wejściowe 2 26 44" xfId="10846"/>
    <cellStyle name="Dane wejściowe 2 26 44 2" xfId="10847"/>
    <cellStyle name="Dane wejściowe 2 26 44 3" xfId="10848"/>
    <cellStyle name="Dane wejściowe 2 26 45" xfId="10849"/>
    <cellStyle name="Dane wejściowe 2 26 45 2" xfId="10850"/>
    <cellStyle name="Dane wejściowe 2 26 45 3" xfId="10851"/>
    <cellStyle name="Dane wejściowe 2 26 46" xfId="10852"/>
    <cellStyle name="Dane wejściowe 2 26 46 2" xfId="10853"/>
    <cellStyle name="Dane wejściowe 2 26 46 3" xfId="10854"/>
    <cellStyle name="Dane wejściowe 2 26 47" xfId="10855"/>
    <cellStyle name="Dane wejściowe 2 26 47 2" xfId="10856"/>
    <cellStyle name="Dane wejściowe 2 26 47 3" xfId="10857"/>
    <cellStyle name="Dane wejściowe 2 26 48" xfId="10858"/>
    <cellStyle name="Dane wejściowe 2 26 48 2" xfId="10859"/>
    <cellStyle name="Dane wejściowe 2 26 48 3" xfId="10860"/>
    <cellStyle name="Dane wejściowe 2 26 49" xfId="10861"/>
    <cellStyle name="Dane wejściowe 2 26 49 2" xfId="10862"/>
    <cellStyle name="Dane wejściowe 2 26 49 3" xfId="10863"/>
    <cellStyle name="Dane wejściowe 2 26 5" xfId="10864"/>
    <cellStyle name="Dane wejściowe 2 26 5 2" xfId="10865"/>
    <cellStyle name="Dane wejściowe 2 26 5 3" xfId="10866"/>
    <cellStyle name="Dane wejściowe 2 26 5 4" xfId="10867"/>
    <cellStyle name="Dane wejściowe 2 26 50" xfId="10868"/>
    <cellStyle name="Dane wejściowe 2 26 50 2" xfId="10869"/>
    <cellStyle name="Dane wejściowe 2 26 50 3" xfId="10870"/>
    <cellStyle name="Dane wejściowe 2 26 51" xfId="10871"/>
    <cellStyle name="Dane wejściowe 2 26 51 2" xfId="10872"/>
    <cellStyle name="Dane wejściowe 2 26 51 3" xfId="10873"/>
    <cellStyle name="Dane wejściowe 2 26 52" xfId="10874"/>
    <cellStyle name="Dane wejściowe 2 26 52 2" xfId="10875"/>
    <cellStyle name="Dane wejściowe 2 26 52 3" xfId="10876"/>
    <cellStyle name="Dane wejściowe 2 26 53" xfId="10877"/>
    <cellStyle name="Dane wejściowe 2 26 53 2" xfId="10878"/>
    <cellStyle name="Dane wejściowe 2 26 53 3" xfId="10879"/>
    <cellStyle name="Dane wejściowe 2 26 54" xfId="10880"/>
    <cellStyle name="Dane wejściowe 2 26 54 2" xfId="10881"/>
    <cellStyle name="Dane wejściowe 2 26 54 3" xfId="10882"/>
    <cellStyle name="Dane wejściowe 2 26 55" xfId="10883"/>
    <cellStyle name="Dane wejściowe 2 26 55 2" xfId="10884"/>
    <cellStyle name="Dane wejściowe 2 26 55 3" xfId="10885"/>
    <cellStyle name="Dane wejściowe 2 26 56" xfId="10886"/>
    <cellStyle name="Dane wejściowe 2 26 56 2" xfId="10887"/>
    <cellStyle name="Dane wejściowe 2 26 56 3" xfId="10888"/>
    <cellStyle name="Dane wejściowe 2 26 57" xfId="10889"/>
    <cellStyle name="Dane wejściowe 2 26 58" xfId="10890"/>
    <cellStyle name="Dane wejściowe 2 26 6" xfId="10891"/>
    <cellStyle name="Dane wejściowe 2 26 6 2" xfId="10892"/>
    <cellStyle name="Dane wejściowe 2 26 6 3" xfId="10893"/>
    <cellStyle name="Dane wejściowe 2 26 6 4" xfId="10894"/>
    <cellStyle name="Dane wejściowe 2 26 7" xfId="10895"/>
    <cellStyle name="Dane wejściowe 2 26 7 2" xfId="10896"/>
    <cellStyle name="Dane wejściowe 2 26 7 3" xfId="10897"/>
    <cellStyle name="Dane wejściowe 2 26 7 4" xfId="10898"/>
    <cellStyle name="Dane wejściowe 2 26 8" xfId="10899"/>
    <cellStyle name="Dane wejściowe 2 26 8 2" xfId="10900"/>
    <cellStyle name="Dane wejściowe 2 26 8 3" xfId="10901"/>
    <cellStyle name="Dane wejściowe 2 26 8 4" xfId="10902"/>
    <cellStyle name="Dane wejściowe 2 26 9" xfId="10903"/>
    <cellStyle name="Dane wejściowe 2 26 9 2" xfId="10904"/>
    <cellStyle name="Dane wejściowe 2 26 9 3" xfId="10905"/>
    <cellStyle name="Dane wejściowe 2 26 9 4" xfId="10906"/>
    <cellStyle name="Dane wejściowe 2 27" xfId="10907"/>
    <cellStyle name="Dane wejściowe 2 27 10" xfId="10908"/>
    <cellStyle name="Dane wejściowe 2 27 10 2" xfId="10909"/>
    <cellStyle name="Dane wejściowe 2 27 10 3" xfId="10910"/>
    <cellStyle name="Dane wejściowe 2 27 10 4" xfId="10911"/>
    <cellStyle name="Dane wejściowe 2 27 11" xfId="10912"/>
    <cellStyle name="Dane wejściowe 2 27 11 2" xfId="10913"/>
    <cellStyle name="Dane wejściowe 2 27 11 3" xfId="10914"/>
    <cellStyle name="Dane wejściowe 2 27 11 4" xfId="10915"/>
    <cellStyle name="Dane wejściowe 2 27 12" xfId="10916"/>
    <cellStyle name="Dane wejściowe 2 27 12 2" xfId="10917"/>
    <cellStyle name="Dane wejściowe 2 27 12 3" xfId="10918"/>
    <cellStyle name="Dane wejściowe 2 27 12 4" xfId="10919"/>
    <cellStyle name="Dane wejściowe 2 27 13" xfId="10920"/>
    <cellStyle name="Dane wejściowe 2 27 13 2" xfId="10921"/>
    <cellStyle name="Dane wejściowe 2 27 13 3" xfId="10922"/>
    <cellStyle name="Dane wejściowe 2 27 13 4" xfId="10923"/>
    <cellStyle name="Dane wejściowe 2 27 14" xfId="10924"/>
    <cellStyle name="Dane wejściowe 2 27 14 2" xfId="10925"/>
    <cellStyle name="Dane wejściowe 2 27 14 3" xfId="10926"/>
    <cellStyle name="Dane wejściowe 2 27 14 4" xfId="10927"/>
    <cellStyle name="Dane wejściowe 2 27 15" xfId="10928"/>
    <cellStyle name="Dane wejściowe 2 27 15 2" xfId="10929"/>
    <cellStyle name="Dane wejściowe 2 27 15 3" xfId="10930"/>
    <cellStyle name="Dane wejściowe 2 27 15 4" xfId="10931"/>
    <cellStyle name="Dane wejściowe 2 27 16" xfId="10932"/>
    <cellStyle name="Dane wejściowe 2 27 16 2" xfId="10933"/>
    <cellStyle name="Dane wejściowe 2 27 16 3" xfId="10934"/>
    <cellStyle name="Dane wejściowe 2 27 16 4" xfId="10935"/>
    <cellStyle name="Dane wejściowe 2 27 17" xfId="10936"/>
    <cellStyle name="Dane wejściowe 2 27 17 2" xfId="10937"/>
    <cellStyle name="Dane wejściowe 2 27 17 3" xfId="10938"/>
    <cellStyle name="Dane wejściowe 2 27 17 4" xfId="10939"/>
    <cellStyle name="Dane wejściowe 2 27 18" xfId="10940"/>
    <cellStyle name="Dane wejściowe 2 27 18 2" xfId="10941"/>
    <cellStyle name="Dane wejściowe 2 27 18 3" xfId="10942"/>
    <cellStyle name="Dane wejściowe 2 27 18 4" xfId="10943"/>
    <cellStyle name="Dane wejściowe 2 27 19" xfId="10944"/>
    <cellStyle name="Dane wejściowe 2 27 19 2" xfId="10945"/>
    <cellStyle name="Dane wejściowe 2 27 19 3" xfId="10946"/>
    <cellStyle name="Dane wejściowe 2 27 19 4" xfId="10947"/>
    <cellStyle name="Dane wejściowe 2 27 2" xfId="10948"/>
    <cellStyle name="Dane wejściowe 2 27 2 2" xfId="10949"/>
    <cellStyle name="Dane wejściowe 2 27 2 3" xfId="10950"/>
    <cellStyle name="Dane wejściowe 2 27 2 4" xfId="10951"/>
    <cellStyle name="Dane wejściowe 2 27 20" xfId="10952"/>
    <cellStyle name="Dane wejściowe 2 27 20 2" xfId="10953"/>
    <cellStyle name="Dane wejściowe 2 27 20 3" xfId="10954"/>
    <cellStyle name="Dane wejściowe 2 27 20 4" xfId="10955"/>
    <cellStyle name="Dane wejściowe 2 27 21" xfId="10956"/>
    <cellStyle name="Dane wejściowe 2 27 21 2" xfId="10957"/>
    <cellStyle name="Dane wejściowe 2 27 21 3" xfId="10958"/>
    <cellStyle name="Dane wejściowe 2 27 22" xfId="10959"/>
    <cellStyle name="Dane wejściowe 2 27 22 2" xfId="10960"/>
    <cellStyle name="Dane wejściowe 2 27 22 3" xfId="10961"/>
    <cellStyle name="Dane wejściowe 2 27 23" xfId="10962"/>
    <cellStyle name="Dane wejściowe 2 27 23 2" xfId="10963"/>
    <cellStyle name="Dane wejściowe 2 27 23 3" xfId="10964"/>
    <cellStyle name="Dane wejściowe 2 27 24" xfId="10965"/>
    <cellStyle name="Dane wejściowe 2 27 24 2" xfId="10966"/>
    <cellStyle name="Dane wejściowe 2 27 24 3" xfId="10967"/>
    <cellStyle name="Dane wejściowe 2 27 25" xfId="10968"/>
    <cellStyle name="Dane wejściowe 2 27 25 2" xfId="10969"/>
    <cellStyle name="Dane wejściowe 2 27 25 3" xfId="10970"/>
    <cellStyle name="Dane wejściowe 2 27 26" xfId="10971"/>
    <cellStyle name="Dane wejściowe 2 27 26 2" xfId="10972"/>
    <cellStyle name="Dane wejściowe 2 27 26 3" xfId="10973"/>
    <cellStyle name="Dane wejściowe 2 27 27" xfId="10974"/>
    <cellStyle name="Dane wejściowe 2 27 27 2" xfId="10975"/>
    <cellStyle name="Dane wejściowe 2 27 27 3" xfId="10976"/>
    <cellStyle name="Dane wejściowe 2 27 28" xfId="10977"/>
    <cellStyle name="Dane wejściowe 2 27 28 2" xfId="10978"/>
    <cellStyle name="Dane wejściowe 2 27 28 3" xfId="10979"/>
    <cellStyle name="Dane wejściowe 2 27 29" xfId="10980"/>
    <cellStyle name="Dane wejściowe 2 27 29 2" xfId="10981"/>
    <cellStyle name="Dane wejściowe 2 27 29 3" xfId="10982"/>
    <cellStyle name="Dane wejściowe 2 27 3" xfId="10983"/>
    <cellStyle name="Dane wejściowe 2 27 3 2" xfId="10984"/>
    <cellStyle name="Dane wejściowe 2 27 3 3" xfId="10985"/>
    <cellStyle name="Dane wejściowe 2 27 3 4" xfId="10986"/>
    <cellStyle name="Dane wejściowe 2 27 30" xfId="10987"/>
    <cellStyle name="Dane wejściowe 2 27 30 2" xfId="10988"/>
    <cellStyle name="Dane wejściowe 2 27 30 3" xfId="10989"/>
    <cellStyle name="Dane wejściowe 2 27 31" xfId="10990"/>
    <cellStyle name="Dane wejściowe 2 27 31 2" xfId="10991"/>
    <cellStyle name="Dane wejściowe 2 27 31 3" xfId="10992"/>
    <cellStyle name="Dane wejściowe 2 27 32" xfId="10993"/>
    <cellStyle name="Dane wejściowe 2 27 32 2" xfId="10994"/>
    <cellStyle name="Dane wejściowe 2 27 32 3" xfId="10995"/>
    <cellStyle name="Dane wejściowe 2 27 33" xfId="10996"/>
    <cellStyle name="Dane wejściowe 2 27 33 2" xfId="10997"/>
    <cellStyle name="Dane wejściowe 2 27 33 3" xfId="10998"/>
    <cellStyle name="Dane wejściowe 2 27 34" xfId="10999"/>
    <cellStyle name="Dane wejściowe 2 27 34 2" xfId="11000"/>
    <cellStyle name="Dane wejściowe 2 27 34 3" xfId="11001"/>
    <cellStyle name="Dane wejściowe 2 27 35" xfId="11002"/>
    <cellStyle name="Dane wejściowe 2 27 35 2" xfId="11003"/>
    <cellStyle name="Dane wejściowe 2 27 35 3" xfId="11004"/>
    <cellStyle name="Dane wejściowe 2 27 36" xfId="11005"/>
    <cellStyle name="Dane wejściowe 2 27 36 2" xfId="11006"/>
    <cellStyle name="Dane wejściowe 2 27 36 3" xfId="11007"/>
    <cellStyle name="Dane wejściowe 2 27 37" xfId="11008"/>
    <cellStyle name="Dane wejściowe 2 27 37 2" xfId="11009"/>
    <cellStyle name="Dane wejściowe 2 27 37 3" xfId="11010"/>
    <cellStyle name="Dane wejściowe 2 27 38" xfId="11011"/>
    <cellStyle name="Dane wejściowe 2 27 38 2" xfId="11012"/>
    <cellStyle name="Dane wejściowe 2 27 38 3" xfId="11013"/>
    <cellStyle name="Dane wejściowe 2 27 39" xfId="11014"/>
    <cellStyle name="Dane wejściowe 2 27 39 2" xfId="11015"/>
    <cellStyle name="Dane wejściowe 2 27 39 3" xfId="11016"/>
    <cellStyle name="Dane wejściowe 2 27 4" xfId="11017"/>
    <cellStyle name="Dane wejściowe 2 27 4 2" xfId="11018"/>
    <cellStyle name="Dane wejściowe 2 27 4 3" xfId="11019"/>
    <cellStyle name="Dane wejściowe 2 27 4 4" xfId="11020"/>
    <cellStyle name="Dane wejściowe 2 27 40" xfId="11021"/>
    <cellStyle name="Dane wejściowe 2 27 40 2" xfId="11022"/>
    <cellStyle name="Dane wejściowe 2 27 40 3" xfId="11023"/>
    <cellStyle name="Dane wejściowe 2 27 41" xfId="11024"/>
    <cellStyle name="Dane wejściowe 2 27 41 2" xfId="11025"/>
    <cellStyle name="Dane wejściowe 2 27 41 3" xfId="11026"/>
    <cellStyle name="Dane wejściowe 2 27 42" xfId="11027"/>
    <cellStyle name="Dane wejściowe 2 27 42 2" xfId="11028"/>
    <cellStyle name="Dane wejściowe 2 27 42 3" xfId="11029"/>
    <cellStyle name="Dane wejściowe 2 27 43" xfId="11030"/>
    <cellStyle name="Dane wejściowe 2 27 43 2" xfId="11031"/>
    <cellStyle name="Dane wejściowe 2 27 43 3" xfId="11032"/>
    <cellStyle name="Dane wejściowe 2 27 44" xfId="11033"/>
    <cellStyle name="Dane wejściowe 2 27 44 2" xfId="11034"/>
    <cellStyle name="Dane wejściowe 2 27 44 3" xfId="11035"/>
    <cellStyle name="Dane wejściowe 2 27 45" xfId="11036"/>
    <cellStyle name="Dane wejściowe 2 27 45 2" xfId="11037"/>
    <cellStyle name="Dane wejściowe 2 27 45 3" xfId="11038"/>
    <cellStyle name="Dane wejściowe 2 27 46" xfId="11039"/>
    <cellStyle name="Dane wejściowe 2 27 46 2" xfId="11040"/>
    <cellStyle name="Dane wejściowe 2 27 46 3" xfId="11041"/>
    <cellStyle name="Dane wejściowe 2 27 47" xfId="11042"/>
    <cellStyle name="Dane wejściowe 2 27 47 2" xfId="11043"/>
    <cellStyle name="Dane wejściowe 2 27 47 3" xfId="11044"/>
    <cellStyle name="Dane wejściowe 2 27 48" xfId="11045"/>
    <cellStyle name="Dane wejściowe 2 27 48 2" xfId="11046"/>
    <cellStyle name="Dane wejściowe 2 27 48 3" xfId="11047"/>
    <cellStyle name="Dane wejściowe 2 27 49" xfId="11048"/>
    <cellStyle name="Dane wejściowe 2 27 49 2" xfId="11049"/>
    <cellStyle name="Dane wejściowe 2 27 49 3" xfId="11050"/>
    <cellStyle name="Dane wejściowe 2 27 5" xfId="11051"/>
    <cellStyle name="Dane wejściowe 2 27 5 2" xfId="11052"/>
    <cellStyle name="Dane wejściowe 2 27 5 3" xfId="11053"/>
    <cellStyle name="Dane wejściowe 2 27 5 4" xfId="11054"/>
    <cellStyle name="Dane wejściowe 2 27 50" xfId="11055"/>
    <cellStyle name="Dane wejściowe 2 27 50 2" xfId="11056"/>
    <cellStyle name="Dane wejściowe 2 27 50 3" xfId="11057"/>
    <cellStyle name="Dane wejściowe 2 27 51" xfId="11058"/>
    <cellStyle name="Dane wejściowe 2 27 51 2" xfId="11059"/>
    <cellStyle name="Dane wejściowe 2 27 51 3" xfId="11060"/>
    <cellStyle name="Dane wejściowe 2 27 52" xfId="11061"/>
    <cellStyle name="Dane wejściowe 2 27 52 2" xfId="11062"/>
    <cellStyle name="Dane wejściowe 2 27 52 3" xfId="11063"/>
    <cellStyle name="Dane wejściowe 2 27 53" xfId="11064"/>
    <cellStyle name="Dane wejściowe 2 27 53 2" xfId="11065"/>
    <cellStyle name="Dane wejściowe 2 27 53 3" xfId="11066"/>
    <cellStyle name="Dane wejściowe 2 27 54" xfId="11067"/>
    <cellStyle name="Dane wejściowe 2 27 54 2" xfId="11068"/>
    <cellStyle name="Dane wejściowe 2 27 54 3" xfId="11069"/>
    <cellStyle name="Dane wejściowe 2 27 55" xfId="11070"/>
    <cellStyle name="Dane wejściowe 2 27 55 2" xfId="11071"/>
    <cellStyle name="Dane wejściowe 2 27 55 3" xfId="11072"/>
    <cellStyle name="Dane wejściowe 2 27 56" xfId="11073"/>
    <cellStyle name="Dane wejściowe 2 27 56 2" xfId="11074"/>
    <cellStyle name="Dane wejściowe 2 27 56 3" xfId="11075"/>
    <cellStyle name="Dane wejściowe 2 27 57" xfId="11076"/>
    <cellStyle name="Dane wejściowe 2 27 58" xfId="11077"/>
    <cellStyle name="Dane wejściowe 2 27 6" xfId="11078"/>
    <cellStyle name="Dane wejściowe 2 27 6 2" xfId="11079"/>
    <cellStyle name="Dane wejściowe 2 27 6 3" xfId="11080"/>
    <cellStyle name="Dane wejściowe 2 27 6 4" xfId="11081"/>
    <cellStyle name="Dane wejściowe 2 27 7" xfId="11082"/>
    <cellStyle name="Dane wejściowe 2 27 7 2" xfId="11083"/>
    <cellStyle name="Dane wejściowe 2 27 7 3" xfId="11084"/>
    <cellStyle name="Dane wejściowe 2 27 7 4" xfId="11085"/>
    <cellStyle name="Dane wejściowe 2 27 8" xfId="11086"/>
    <cellStyle name="Dane wejściowe 2 27 8 2" xfId="11087"/>
    <cellStyle name="Dane wejściowe 2 27 8 3" xfId="11088"/>
    <cellStyle name="Dane wejściowe 2 27 8 4" xfId="11089"/>
    <cellStyle name="Dane wejściowe 2 27 9" xfId="11090"/>
    <cellStyle name="Dane wejściowe 2 27 9 2" xfId="11091"/>
    <cellStyle name="Dane wejściowe 2 27 9 3" xfId="11092"/>
    <cellStyle name="Dane wejściowe 2 27 9 4" xfId="11093"/>
    <cellStyle name="Dane wejściowe 2 28" xfId="11094"/>
    <cellStyle name="Dane wejściowe 2 28 10" xfId="11095"/>
    <cellStyle name="Dane wejściowe 2 28 10 2" xfId="11096"/>
    <cellStyle name="Dane wejściowe 2 28 10 3" xfId="11097"/>
    <cellStyle name="Dane wejściowe 2 28 10 4" xfId="11098"/>
    <cellStyle name="Dane wejściowe 2 28 11" xfId="11099"/>
    <cellStyle name="Dane wejściowe 2 28 11 2" xfId="11100"/>
    <cellStyle name="Dane wejściowe 2 28 11 3" xfId="11101"/>
    <cellStyle name="Dane wejściowe 2 28 11 4" xfId="11102"/>
    <cellStyle name="Dane wejściowe 2 28 12" xfId="11103"/>
    <cellStyle name="Dane wejściowe 2 28 12 2" xfId="11104"/>
    <cellStyle name="Dane wejściowe 2 28 12 3" xfId="11105"/>
    <cellStyle name="Dane wejściowe 2 28 12 4" xfId="11106"/>
    <cellStyle name="Dane wejściowe 2 28 13" xfId="11107"/>
    <cellStyle name="Dane wejściowe 2 28 13 2" xfId="11108"/>
    <cellStyle name="Dane wejściowe 2 28 13 3" xfId="11109"/>
    <cellStyle name="Dane wejściowe 2 28 13 4" xfId="11110"/>
    <cellStyle name="Dane wejściowe 2 28 14" xfId="11111"/>
    <cellStyle name="Dane wejściowe 2 28 14 2" xfId="11112"/>
    <cellStyle name="Dane wejściowe 2 28 14 3" xfId="11113"/>
    <cellStyle name="Dane wejściowe 2 28 14 4" xfId="11114"/>
    <cellStyle name="Dane wejściowe 2 28 15" xfId="11115"/>
    <cellStyle name="Dane wejściowe 2 28 15 2" xfId="11116"/>
    <cellStyle name="Dane wejściowe 2 28 15 3" xfId="11117"/>
    <cellStyle name="Dane wejściowe 2 28 15 4" xfId="11118"/>
    <cellStyle name="Dane wejściowe 2 28 16" xfId="11119"/>
    <cellStyle name="Dane wejściowe 2 28 16 2" xfId="11120"/>
    <cellStyle name="Dane wejściowe 2 28 16 3" xfId="11121"/>
    <cellStyle name="Dane wejściowe 2 28 16 4" xfId="11122"/>
    <cellStyle name="Dane wejściowe 2 28 17" xfId="11123"/>
    <cellStyle name="Dane wejściowe 2 28 17 2" xfId="11124"/>
    <cellStyle name="Dane wejściowe 2 28 17 3" xfId="11125"/>
    <cellStyle name="Dane wejściowe 2 28 17 4" xfId="11126"/>
    <cellStyle name="Dane wejściowe 2 28 18" xfId="11127"/>
    <cellStyle name="Dane wejściowe 2 28 18 2" xfId="11128"/>
    <cellStyle name="Dane wejściowe 2 28 18 3" xfId="11129"/>
    <cellStyle name="Dane wejściowe 2 28 18 4" xfId="11130"/>
    <cellStyle name="Dane wejściowe 2 28 19" xfId="11131"/>
    <cellStyle name="Dane wejściowe 2 28 19 2" xfId="11132"/>
    <cellStyle name="Dane wejściowe 2 28 19 3" xfId="11133"/>
    <cellStyle name="Dane wejściowe 2 28 19 4" xfId="11134"/>
    <cellStyle name="Dane wejściowe 2 28 2" xfId="11135"/>
    <cellStyle name="Dane wejściowe 2 28 2 2" xfId="11136"/>
    <cellStyle name="Dane wejściowe 2 28 2 3" xfId="11137"/>
    <cellStyle name="Dane wejściowe 2 28 2 4" xfId="11138"/>
    <cellStyle name="Dane wejściowe 2 28 20" xfId="11139"/>
    <cellStyle name="Dane wejściowe 2 28 20 2" xfId="11140"/>
    <cellStyle name="Dane wejściowe 2 28 20 3" xfId="11141"/>
    <cellStyle name="Dane wejściowe 2 28 20 4" xfId="11142"/>
    <cellStyle name="Dane wejściowe 2 28 21" xfId="11143"/>
    <cellStyle name="Dane wejściowe 2 28 21 2" xfId="11144"/>
    <cellStyle name="Dane wejściowe 2 28 21 3" xfId="11145"/>
    <cellStyle name="Dane wejściowe 2 28 22" xfId="11146"/>
    <cellStyle name="Dane wejściowe 2 28 22 2" xfId="11147"/>
    <cellStyle name="Dane wejściowe 2 28 22 3" xfId="11148"/>
    <cellStyle name="Dane wejściowe 2 28 23" xfId="11149"/>
    <cellStyle name="Dane wejściowe 2 28 23 2" xfId="11150"/>
    <cellStyle name="Dane wejściowe 2 28 23 3" xfId="11151"/>
    <cellStyle name="Dane wejściowe 2 28 24" xfId="11152"/>
    <cellStyle name="Dane wejściowe 2 28 24 2" xfId="11153"/>
    <cellStyle name="Dane wejściowe 2 28 24 3" xfId="11154"/>
    <cellStyle name="Dane wejściowe 2 28 25" xfId="11155"/>
    <cellStyle name="Dane wejściowe 2 28 25 2" xfId="11156"/>
    <cellStyle name="Dane wejściowe 2 28 25 3" xfId="11157"/>
    <cellStyle name="Dane wejściowe 2 28 26" xfId="11158"/>
    <cellStyle name="Dane wejściowe 2 28 26 2" xfId="11159"/>
    <cellStyle name="Dane wejściowe 2 28 26 3" xfId="11160"/>
    <cellStyle name="Dane wejściowe 2 28 27" xfId="11161"/>
    <cellStyle name="Dane wejściowe 2 28 27 2" xfId="11162"/>
    <cellStyle name="Dane wejściowe 2 28 27 3" xfId="11163"/>
    <cellStyle name="Dane wejściowe 2 28 28" xfId="11164"/>
    <cellStyle name="Dane wejściowe 2 28 28 2" xfId="11165"/>
    <cellStyle name="Dane wejściowe 2 28 28 3" xfId="11166"/>
    <cellStyle name="Dane wejściowe 2 28 29" xfId="11167"/>
    <cellStyle name="Dane wejściowe 2 28 29 2" xfId="11168"/>
    <cellStyle name="Dane wejściowe 2 28 29 3" xfId="11169"/>
    <cellStyle name="Dane wejściowe 2 28 3" xfId="11170"/>
    <cellStyle name="Dane wejściowe 2 28 3 2" xfId="11171"/>
    <cellStyle name="Dane wejściowe 2 28 3 3" xfId="11172"/>
    <cellStyle name="Dane wejściowe 2 28 3 4" xfId="11173"/>
    <cellStyle name="Dane wejściowe 2 28 30" xfId="11174"/>
    <cellStyle name="Dane wejściowe 2 28 30 2" xfId="11175"/>
    <cellStyle name="Dane wejściowe 2 28 30 3" xfId="11176"/>
    <cellStyle name="Dane wejściowe 2 28 31" xfId="11177"/>
    <cellStyle name="Dane wejściowe 2 28 31 2" xfId="11178"/>
    <cellStyle name="Dane wejściowe 2 28 31 3" xfId="11179"/>
    <cellStyle name="Dane wejściowe 2 28 32" xfId="11180"/>
    <cellStyle name="Dane wejściowe 2 28 32 2" xfId="11181"/>
    <cellStyle name="Dane wejściowe 2 28 32 3" xfId="11182"/>
    <cellStyle name="Dane wejściowe 2 28 33" xfId="11183"/>
    <cellStyle name="Dane wejściowe 2 28 33 2" xfId="11184"/>
    <cellStyle name="Dane wejściowe 2 28 33 3" xfId="11185"/>
    <cellStyle name="Dane wejściowe 2 28 34" xfId="11186"/>
    <cellStyle name="Dane wejściowe 2 28 34 2" xfId="11187"/>
    <cellStyle name="Dane wejściowe 2 28 34 3" xfId="11188"/>
    <cellStyle name="Dane wejściowe 2 28 35" xfId="11189"/>
    <cellStyle name="Dane wejściowe 2 28 35 2" xfId="11190"/>
    <cellStyle name="Dane wejściowe 2 28 35 3" xfId="11191"/>
    <cellStyle name="Dane wejściowe 2 28 36" xfId="11192"/>
    <cellStyle name="Dane wejściowe 2 28 36 2" xfId="11193"/>
    <cellStyle name="Dane wejściowe 2 28 36 3" xfId="11194"/>
    <cellStyle name="Dane wejściowe 2 28 37" xfId="11195"/>
    <cellStyle name="Dane wejściowe 2 28 37 2" xfId="11196"/>
    <cellStyle name="Dane wejściowe 2 28 37 3" xfId="11197"/>
    <cellStyle name="Dane wejściowe 2 28 38" xfId="11198"/>
    <cellStyle name="Dane wejściowe 2 28 38 2" xfId="11199"/>
    <cellStyle name="Dane wejściowe 2 28 38 3" xfId="11200"/>
    <cellStyle name="Dane wejściowe 2 28 39" xfId="11201"/>
    <cellStyle name="Dane wejściowe 2 28 39 2" xfId="11202"/>
    <cellStyle name="Dane wejściowe 2 28 39 3" xfId="11203"/>
    <cellStyle name="Dane wejściowe 2 28 4" xfId="11204"/>
    <cellStyle name="Dane wejściowe 2 28 4 2" xfId="11205"/>
    <cellStyle name="Dane wejściowe 2 28 4 3" xfId="11206"/>
    <cellStyle name="Dane wejściowe 2 28 4 4" xfId="11207"/>
    <cellStyle name="Dane wejściowe 2 28 40" xfId="11208"/>
    <cellStyle name="Dane wejściowe 2 28 40 2" xfId="11209"/>
    <cellStyle name="Dane wejściowe 2 28 40 3" xfId="11210"/>
    <cellStyle name="Dane wejściowe 2 28 41" xfId="11211"/>
    <cellStyle name="Dane wejściowe 2 28 41 2" xfId="11212"/>
    <cellStyle name="Dane wejściowe 2 28 41 3" xfId="11213"/>
    <cellStyle name="Dane wejściowe 2 28 42" xfId="11214"/>
    <cellStyle name="Dane wejściowe 2 28 42 2" xfId="11215"/>
    <cellStyle name="Dane wejściowe 2 28 42 3" xfId="11216"/>
    <cellStyle name="Dane wejściowe 2 28 43" xfId="11217"/>
    <cellStyle name="Dane wejściowe 2 28 43 2" xfId="11218"/>
    <cellStyle name="Dane wejściowe 2 28 43 3" xfId="11219"/>
    <cellStyle name="Dane wejściowe 2 28 44" xfId="11220"/>
    <cellStyle name="Dane wejściowe 2 28 44 2" xfId="11221"/>
    <cellStyle name="Dane wejściowe 2 28 44 3" xfId="11222"/>
    <cellStyle name="Dane wejściowe 2 28 45" xfId="11223"/>
    <cellStyle name="Dane wejściowe 2 28 45 2" xfId="11224"/>
    <cellStyle name="Dane wejściowe 2 28 45 3" xfId="11225"/>
    <cellStyle name="Dane wejściowe 2 28 46" xfId="11226"/>
    <cellStyle name="Dane wejściowe 2 28 46 2" xfId="11227"/>
    <cellStyle name="Dane wejściowe 2 28 46 3" xfId="11228"/>
    <cellStyle name="Dane wejściowe 2 28 47" xfId="11229"/>
    <cellStyle name="Dane wejściowe 2 28 47 2" xfId="11230"/>
    <cellStyle name="Dane wejściowe 2 28 47 3" xfId="11231"/>
    <cellStyle name="Dane wejściowe 2 28 48" xfId="11232"/>
    <cellStyle name="Dane wejściowe 2 28 48 2" xfId="11233"/>
    <cellStyle name="Dane wejściowe 2 28 48 3" xfId="11234"/>
    <cellStyle name="Dane wejściowe 2 28 49" xfId="11235"/>
    <cellStyle name="Dane wejściowe 2 28 49 2" xfId="11236"/>
    <cellStyle name="Dane wejściowe 2 28 49 3" xfId="11237"/>
    <cellStyle name="Dane wejściowe 2 28 5" xfId="11238"/>
    <cellStyle name="Dane wejściowe 2 28 5 2" xfId="11239"/>
    <cellStyle name="Dane wejściowe 2 28 5 3" xfId="11240"/>
    <cellStyle name="Dane wejściowe 2 28 5 4" xfId="11241"/>
    <cellStyle name="Dane wejściowe 2 28 50" xfId="11242"/>
    <cellStyle name="Dane wejściowe 2 28 50 2" xfId="11243"/>
    <cellStyle name="Dane wejściowe 2 28 50 3" xfId="11244"/>
    <cellStyle name="Dane wejściowe 2 28 51" xfId="11245"/>
    <cellStyle name="Dane wejściowe 2 28 51 2" xfId="11246"/>
    <cellStyle name="Dane wejściowe 2 28 51 3" xfId="11247"/>
    <cellStyle name="Dane wejściowe 2 28 52" xfId="11248"/>
    <cellStyle name="Dane wejściowe 2 28 52 2" xfId="11249"/>
    <cellStyle name="Dane wejściowe 2 28 52 3" xfId="11250"/>
    <cellStyle name="Dane wejściowe 2 28 53" xfId="11251"/>
    <cellStyle name="Dane wejściowe 2 28 53 2" xfId="11252"/>
    <cellStyle name="Dane wejściowe 2 28 53 3" xfId="11253"/>
    <cellStyle name="Dane wejściowe 2 28 54" xfId="11254"/>
    <cellStyle name="Dane wejściowe 2 28 54 2" xfId="11255"/>
    <cellStyle name="Dane wejściowe 2 28 54 3" xfId="11256"/>
    <cellStyle name="Dane wejściowe 2 28 55" xfId="11257"/>
    <cellStyle name="Dane wejściowe 2 28 55 2" xfId="11258"/>
    <cellStyle name="Dane wejściowe 2 28 55 3" xfId="11259"/>
    <cellStyle name="Dane wejściowe 2 28 56" xfId="11260"/>
    <cellStyle name="Dane wejściowe 2 28 56 2" xfId="11261"/>
    <cellStyle name="Dane wejściowe 2 28 56 3" xfId="11262"/>
    <cellStyle name="Dane wejściowe 2 28 57" xfId="11263"/>
    <cellStyle name="Dane wejściowe 2 28 58" xfId="11264"/>
    <cellStyle name="Dane wejściowe 2 28 6" xfId="11265"/>
    <cellStyle name="Dane wejściowe 2 28 6 2" xfId="11266"/>
    <cellStyle name="Dane wejściowe 2 28 6 3" xfId="11267"/>
    <cellStyle name="Dane wejściowe 2 28 6 4" xfId="11268"/>
    <cellStyle name="Dane wejściowe 2 28 7" xfId="11269"/>
    <cellStyle name="Dane wejściowe 2 28 7 2" xfId="11270"/>
    <cellStyle name="Dane wejściowe 2 28 7 3" xfId="11271"/>
    <cellStyle name="Dane wejściowe 2 28 7 4" xfId="11272"/>
    <cellStyle name="Dane wejściowe 2 28 8" xfId="11273"/>
    <cellStyle name="Dane wejściowe 2 28 8 2" xfId="11274"/>
    <cellStyle name="Dane wejściowe 2 28 8 3" xfId="11275"/>
    <cellStyle name="Dane wejściowe 2 28 8 4" xfId="11276"/>
    <cellStyle name="Dane wejściowe 2 28 9" xfId="11277"/>
    <cellStyle name="Dane wejściowe 2 28 9 2" xfId="11278"/>
    <cellStyle name="Dane wejściowe 2 28 9 3" xfId="11279"/>
    <cellStyle name="Dane wejściowe 2 28 9 4" xfId="11280"/>
    <cellStyle name="Dane wejściowe 2 29" xfId="11281"/>
    <cellStyle name="Dane wejściowe 2 29 2" xfId="11282"/>
    <cellStyle name="Dane wejściowe 2 29 3" xfId="11283"/>
    <cellStyle name="Dane wejściowe 2 29 4" xfId="11284"/>
    <cellStyle name="Dane wejściowe 2 3" xfId="11285"/>
    <cellStyle name="Dane wejściowe 2 3 10" xfId="11286"/>
    <cellStyle name="Dane wejściowe 2 3 10 2" xfId="11287"/>
    <cellStyle name="Dane wejściowe 2 3 10 3" xfId="11288"/>
    <cellStyle name="Dane wejściowe 2 3 10 4" xfId="11289"/>
    <cellStyle name="Dane wejściowe 2 3 11" xfId="11290"/>
    <cellStyle name="Dane wejściowe 2 3 11 2" xfId="11291"/>
    <cellStyle name="Dane wejściowe 2 3 11 3" xfId="11292"/>
    <cellStyle name="Dane wejściowe 2 3 11 4" xfId="11293"/>
    <cellStyle name="Dane wejściowe 2 3 12" xfId="11294"/>
    <cellStyle name="Dane wejściowe 2 3 12 2" xfId="11295"/>
    <cellStyle name="Dane wejściowe 2 3 12 3" xfId="11296"/>
    <cellStyle name="Dane wejściowe 2 3 12 4" xfId="11297"/>
    <cellStyle name="Dane wejściowe 2 3 13" xfId="11298"/>
    <cellStyle name="Dane wejściowe 2 3 13 2" xfId="11299"/>
    <cellStyle name="Dane wejściowe 2 3 13 3" xfId="11300"/>
    <cellStyle name="Dane wejściowe 2 3 13 4" xfId="11301"/>
    <cellStyle name="Dane wejściowe 2 3 14" xfId="11302"/>
    <cellStyle name="Dane wejściowe 2 3 14 2" xfId="11303"/>
    <cellStyle name="Dane wejściowe 2 3 14 3" xfId="11304"/>
    <cellStyle name="Dane wejściowe 2 3 14 4" xfId="11305"/>
    <cellStyle name="Dane wejściowe 2 3 15" xfId="11306"/>
    <cellStyle name="Dane wejściowe 2 3 15 2" xfId="11307"/>
    <cellStyle name="Dane wejściowe 2 3 15 3" xfId="11308"/>
    <cellStyle name="Dane wejściowe 2 3 15 4" xfId="11309"/>
    <cellStyle name="Dane wejściowe 2 3 16" xfId="11310"/>
    <cellStyle name="Dane wejściowe 2 3 16 2" xfId="11311"/>
    <cellStyle name="Dane wejściowe 2 3 16 3" xfId="11312"/>
    <cellStyle name="Dane wejściowe 2 3 16 4" xfId="11313"/>
    <cellStyle name="Dane wejściowe 2 3 17" xfId="11314"/>
    <cellStyle name="Dane wejściowe 2 3 17 2" xfId="11315"/>
    <cellStyle name="Dane wejściowe 2 3 17 3" xfId="11316"/>
    <cellStyle name="Dane wejściowe 2 3 17 4" xfId="11317"/>
    <cellStyle name="Dane wejściowe 2 3 18" xfId="11318"/>
    <cellStyle name="Dane wejściowe 2 3 18 2" xfId="11319"/>
    <cellStyle name="Dane wejściowe 2 3 18 3" xfId="11320"/>
    <cellStyle name="Dane wejściowe 2 3 18 4" xfId="11321"/>
    <cellStyle name="Dane wejściowe 2 3 19" xfId="11322"/>
    <cellStyle name="Dane wejściowe 2 3 19 2" xfId="11323"/>
    <cellStyle name="Dane wejściowe 2 3 19 3" xfId="11324"/>
    <cellStyle name="Dane wejściowe 2 3 19 4" xfId="11325"/>
    <cellStyle name="Dane wejściowe 2 3 2" xfId="11326"/>
    <cellStyle name="Dane wejściowe 2 3 2 2" xfId="11327"/>
    <cellStyle name="Dane wejściowe 2 3 2 3" xfId="11328"/>
    <cellStyle name="Dane wejściowe 2 3 2 4" xfId="11329"/>
    <cellStyle name="Dane wejściowe 2 3 20" xfId="11330"/>
    <cellStyle name="Dane wejściowe 2 3 20 2" xfId="11331"/>
    <cellStyle name="Dane wejściowe 2 3 20 3" xfId="11332"/>
    <cellStyle name="Dane wejściowe 2 3 20 4" xfId="11333"/>
    <cellStyle name="Dane wejściowe 2 3 21" xfId="11334"/>
    <cellStyle name="Dane wejściowe 2 3 21 2" xfId="11335"/>
    <cellStyle name="Dane wejściowe 2 3 21 3" xfId="11336"/>
    <cellStyle name="Dane wejściowe 2 3 22" xfId="11337"/>
    <cellStyle name="Dane wejściowe 2 3 22 2" xfId="11338"/>
    <cellStyle name="Dane wejściowe 2 3 22 3" xfId="11339"/>
    <cellStyle name="Dane wejściowe 2 3 23" xfId="11340"/>
    <cellStyle name="Dane wejściowe 2 3 23 2" xfId="11341"/>
    <cellStyle name="Dane wejściowe 2 3 23 3" xfId="11342"/>
    <cellStyle name="Dane wejściowe 2 3 24" xfId="11343"/>
    <cellStyle name="Dane wejściowe 2 3 24 2" xfId="11344"/>
    <cellStyle name="Dane wejściowe 2 3 24 3" xfId="11345"/>
    <cellStyle name="Dane wejściowe 2 3 25" xfId="11346"/>
    <cellStyle name="Dane wejściowe 2 3 25 2" xfId="11347"/>
    <cellStyle name="Dane wejściowe 2 3 25 3" xfId="11348"/>
    <cellStyle name="Dane wejściowe 2 3 26" xfId="11349"/>
    <cellStyle name="Dane wejściowe 2 3 26 2" xfId="11350"/>
    <cellStyle name="Dane wejściowe 2 3 26 3" xfId="11351"/>
    <cellStyle name="Dane wejściowe 2 3 27" xfId="11352"/>
    <cellStyle name="Dane wejściowe 2 3 27 2" xfId="11353"/>
    <cellStyle name="Dane wejściowe 2 3 27 3" xfId="11354"/>
    <cellStyle name="Dane wejściowe 2 3 28" xfId="11355"/>
    <cellStyle name="Dane wejściowe 2 3 28 2" xfId="11356"/>
    <cellStyle name="Dane wejściowe 2 3 28 3" xfId="11357"/>
    <cellStyle name="Dane wejściowe 2 3 29" xfId="11358"/>
    <cellStyle name="Dane wejściowe 2 3 29 2" xfId="11359"/>
    <cellStyle name="Dane wejściowe 2 3 29 3" xfId="11360"/>
    <cellStyle name="Dane wejściowe 2 3 3" xfId="11361"/>
    <cellStyle name="Dane wejściowe 2 3 3 2" xfId="11362"/>
    <cellStyle name="Dane wejściowe 2 3 3 3" xfId="11363"/>
    <cellStyle name="Dane wejściowe 2 3 3 4" xfId="11364"/>
    <cellStyle name="Dane wejściowe 2 3 30" xfId="11365"/>
    <cellStyle name="Dane wejściowe 2 3 30 2" xfId="11366"/>
    <cellStyle name="Dane wejściowe 2 3 30 3" xfId="11367"/>
    <cellStyle name="Dane wejściowe 2 3 31" xfId="11368"/>
    <cellStyle name="Dane wejściowe 2 3 31 2" xfId="11369"/>
    <cellStyle name="Dane wejściowe 2 3 31 3" xfId="11370"/>
    <cellStyle name="Dane wejściowe 2 3 32" xfId="11371"/>
    <cellStyle name="Dane wejściowe 2 3 32 2" xfId="11372"/>
    <cellStyle name="Dane wejściowe 2 3 32 3" xfId="11373"/>
    <cellStyle name="Dane wejściowe 2 3 33" xfId="11374"/>
    <cellStyle name="Dane wejściowe 2 3 33 2" xfId="11375"/>
    <cellStyle name="Dane wejściowe 2 3 33 3" xfId="11376"/>
    <cellStyle name="Dane wejściowe 2 3 34" xfId="11377"/>
    <cellStyle name="Dane wejściowe 2 3 34 2" xfId="11378"/>
    <cellStyle name="Dane wejściowe 2 3 34 3" xfId="11379"/>
    <cellStyle name="Dane wejściowe 2 3 35" xfId="11380"/>
    <cellStyle name="Dane wejściowe 2 3 35 2" xfId="11381"/>
    <cellStyle name="Dane wejściowe 2 3 35 3" xfId="11382"/>
    <cellStyle name="Dane wejściowe 2 3 36" xfId="11383"/>
    <cellStyle name="Dane wejściowe 2 3 36 2" xfId="11384"/>
    <cellStyle name="Dane wejściowe 2 3 36 3" xfId="11385"/>
    <cellStyle name="Dane wejściowe 2 3 37" xfId="11386"/>
    <cellStyle name="Dane wejściowe 2 3 37 2" xfId="11387"/>
    <cellStyle name="Dane wejściowe 2 3 37 3" xfId="11388"/>
    <cellStyle name="Dane wejściowe 2 3 38" xfId="11389"/>
    <cellStyle name="Dane wejściowe 2 3 38 2" xfId="11390"/>
    <cellStyle name="Dane wejściowe 2 3 38 3" xfId="11391"/>
    <cellStyle name="Dane wejściowe 2 3 39" xfId="11392"/>
    <cellStyle name="Dane wejściowe 2 3 39 2" xfId="11393"/>
    <cellStyle name="Dane wejściowe 2 3 39 3" xfId="11394"/>
    <cellStyle name="Dane wejściowe 2 3 4" xfId="11395"/>
    <cellStyle name="Dane wejściowe 2 3 4 2" xfId="11396"/>
    <cellStyle name="Dane wejściowe 2 3 4 3" xfId="11397"/>
    <cellStyle name="Dane wejściowe 2 3 4 4" xfId="11398"/>
    <cellStyle name="Dane wejściowe 2 3 40" xfId="11399"/>
    <cellStyle name="Dane wejściowe 2 3 40 2" xfId="11400"/>
    <cellStyle name="Dane wejściowe 2 3 40 3" xfId="11401"/>
    <cellStyle name="Dane wejściowe 2 3 41" xfId="11402"/>
    <cellStyle name="Dane wejściowe 2 3 41 2" xfId="11403"/>
    <cellStyle name="Dane wejściowe 2 3 41 3" xfId="11404"/>
    <cellStyle name="Dane wejściowe 2 3 42" xfId="11405"/>
    <cellStyle name="Dane wejściowe 2 3 42 2" xfId="11406"/>
    <cellStyle name="Dane wejściowe 2 3 42 3" xfId="11407"/>
    <cellStyle name="Dane wejściowe 2 3 43" xfId="11408"/>
    <cellStyle name="Dane wejściowe 2 3 43 2" xfId="11409"/>
    <cellStyle name="Dane wejściowe 2 3 43 3" xfId="11410"/>
    <cellStyle name="Dane wejściowe 2 3 44" xfId="11411"/>
    <cellStyle name="Dane wejściowe 2 3 44 2" xfId="11412"/>
    <cellStyle name="Dane wejściowe 2 3 44 3" xfId="11413"/>
    <cellStyle name="Dane wejściowe 2 3 45" xfId="11414"/>
    <cellStyle name="Dane wejściowe 2 3 45 2" xfId="11415"/>
    <cellStyle name="Dane wejściowe 2 3 45 3" xfId="11416"/>
    <cellStyle name="Dane wejściowe 2 3 46" xfId="11417"/>
    <cellStyle name="Dane wejściowe 2 3 46 2" xfId="11418"/>
    <cellStyle name="Dane wejściowe 2 3 46 3" xfId="11419"/>
    <cellStyle name="Dane wejściowe 2 3 47" xfId="11420"/>
    <cellStyle name="Dane wejściowe 2 3 47 2" xfId="11421"/>
    <cellStyle name="Dane wejściowe 2 3 47 3" xfId="11422"/>
    <cellStyle name="Dane wejściowe 2 3 48" xfId="11423"/>
    <cellStyle name="Dane wejściowe 2 3 48 2" xfId="11424"/>
    <cellStyle name="Dane wejściowe 2 3 48 3" xfId="11425"/>
    <cellStyle name="Dane wejściowe 2 3 49" xfId="11426"/>
    <cellStyle name="Dane wejściowe 2 3 49 2" xfId="11427"/>
    <cellStyle name="Dane wejściowe 2 3 49 3" xfId="11428"/>
    <cellStyle name="Dane wejściowe 2 3 5" xfId="11429"/>
    <cellStyle name="Dane wejściowe 2 3 5 2" xfId="11430"/>
    <cellStyle name="Dane wejściowe 2 3 5 3" xfId="11431"/>
    <cellStyle name="Dane wejściowe 2 3 5 4" xfId="11432"/>
    <cellStyle name="Dane wejściowe 2 3 50" xfId="11433"/>
    <cellStyle name="Dane wejściowe 2 3 50 2" xfId="11434"/>
    <cellStyle name="Dane wejściowe 2 3 50 3" xfId="11435"/>
    <cellStyle name="Dane wejściowe 2 3 51" xfId="11436"/>
    <cellStyle name="Dane wejściowe 2 3 51 2" xfId="11437"/>
    <cellStyle name="Dane wejściowe 2 3 51 3" xfId="11438"/>
    <cellStyle name="Dane wejściowe 2 3 52" xfId="11439"/>
    <cellStyle name="Dane wejściowe 2 3 52 2" xfId="11440"/>
    <cellStyle name="Dane wejściowe 2 3 52 3" xfId="11441"/>
    <cellStyle name="Dane wejściowe 2 3 53" xfId="11442"/>
    <cellStyle name="Dane wejściowe 2 3 53 2" xfId="11443"/>
    <cellStyle name="Dane wejściowe 2 3 53 3" xfId="11444"/>
    <cellStyle name="Dane wejściowe 2 3 54" xfId="11445"/>
    <cellStyle name="Dane wejściowe 2 3 54 2" xfId="11446"/>
    <cellStyle name="Dane wejściowe 2 3 54 3" xfId="11447"/>
    <cellStyle name="Dane wejściowe 2 3 55" xfId="11448"/>
    <cellStyle name="Dane wejściowe 2 3 55 2" xfId="11449"/>
    <cellStyle name="Dane wejściowe 2 3 55 3" xfId="11450"/>
    <cellStyle name="Dane wejściowe 2 3 56" xfId="11451"/>
    <cellStyle name="Dane wejściowe 2 3 56 2" xfId="11452"/>
    <cellStyle name="Dane wejściowe 2 3 56 3" xfId="11453"/>
    <cellStyle name="Dane wejściowe 2 3 57" xfId="11454"/>
    <cellStyle name="Dane wejściowe 2 3 58" xfId="11455"/>
    <cellStyle name="Dane wejściowe 2 3 6" xfId="11456"/>
    <cellStyle name="Dane wejściowe 2 3 6 2" xfId="11457"/>
    <cellStyle name="Dane wejściowe 2 3 6 3" xfId="11458"/>
    <cellStyle name="Dane wejściowe 2 3 6 4" xfId="11459"/>
    <cellStyle name="Dane wejściowe 2 3 7" xfId="11460"/>
    <cellStyle name="Dane wejściowe 2 3 7 2" xfId="11461"/>
    <cellStyle name="Dane wejściowe 2 3 7 3" xfId="11462"/>
    <cellStyle name="Dane wejściowe 2 3 7 4" xfId="11463"/>
    <cellStyle name="Dane wejściowe 2 3 8" xfId="11464"/>
    <cellStyle name="Dane wejściowe 2 3 8 2" xfId="11465"/>
    <cellStyle name="Dane wejściowe 2 3 8 3" xfId="11466"/>
    <cellStyle name="Dane wejściowe 2 3 8 4" xfId="11467"/>
    <cellStyle name="Dane wejściowe 2 3 9" xfId="11468"/>
    <cellStyle name="Dane wejściowe 2 3 9 2" xfId="11469"/>
    <cellStyle name="Dane wejściowe 2 3 9 3" xfId="11470"/>
    <cellStyle name="Dane wejściowe 2 3 9 4" xfId="11471"/>
    <cellStyle name="Dane wejściowe 2 30" xfId="11472"/>
    <cellStyle name="Dane wejściowe 2 30 2" xfId="11473"/>
    <cellStyle name="Dane wejściowe 2 30 3" xfId="11474"/>
    <cellStyle name="Dane wejściowe 2 30 4" xfId="11475"/>
    <cellStyle name="Dane wejściowe 2 31" xfId="11476"/>
    <cellStyle name="Dane wejściowe 2 31 2" xfId="11477"/>
    <cellStyle name="Dane wejściowe 2 31 3" xfId="11478"/>
    <cellStyle name="Dane wejściowe 2 31 4" xfId="11479"/>
    <cellStyle name="Dane wejściowe 2 32" xfId="11480"/>
    <cellStyle name="Dane wejściowe 2 32 2" xfId="11481"/>
    <cellStyle name="Dane wejściowe 2 32 3" xfId="11482"/>
    <cellStyle name="Dane wejściowe 2 32 4" xfId="11483"/>
    <cellStyle name="Dane wejściowe 2 33" xfId="11484"/>
    <cellStyle name="Dane wejściowe 2 33 2" xfId="11485"/>
    <cellStyle name="Dane wejściowe 2 33 3" xfId="11486"/>
    <cellStyle name="Dane wejściowe 2 33 4" xfId="11487"/>
    <cellStyle name="Dane wejściowe 2 34" xfId="11488"/>
    <cellStyle name="Dane wejściowe 2 34 2" xfId="11489"/>
    <cellStyle name="Dane wejściowe 2 34 3" xfId="11490"/>
    <cellStyle name="Dane wejściowe 2 34 4" xfId="11491"/>
    <cellStyle name="Dane wejściowe 2 35" xfId="11492"/>
    <cellStyle name="Dane wejściowe 2 35 2" xfId="11493"/>
    <cellStyle name="Dane wejściowe 2 35 3" xfId="11494"/>
    <cellStyle name="Dane wejściowe 2 35 4" xfId="11495"/>
    <cellStyle name="Dane wejściowe 2 36" xfId="11496"/>
    <cellStyle name="Dane wejściowe 2 36 2" xfId="11497"/>
    <cellStyle name="Dane wejściowe 2 36 3" xfId="11498"/>
    <cellStyle name="Dane wejściowe 2 36 4" xfId="11499"/>
    <cellStyle name="Dane wejściowe 2 37" xfId="11500"/>
    <cellStyle name="Dane wejściowe 2 37 2" xfId="11501"/>
    <cellStyle name="Dane wejściowe 2 37 3" xfId="11502"/>
    <cellStyle name="Dane wejściowe 2 37 4" xfId="11503"/>
    <cellStyle name="Dane wejściowe 2 38" xfId="11504"/>
    <cellStyle name="Dane wejściowe 2 38 2" xfId="11505"/>
    <cellStyle name="Dane wejściowe 2 38 3" xfId="11506"/>
    <cellStyle name="Dane wejściowe 2 38 4" xfId="11507"/>
    <cellStyle name="Dane wejściowe 2 39" xfId="11508"/>
    <cellStyle name="Dane wejściowe 2 39 2" xfId="11509"/>
    <cellStyle name="Dane wejściowe 2 39 3" xfId="11510"/>
    <cellStyle name="Dane wejściowe 2 39 4" xfId="11511"/>
    <cellStyle name="Dane wejściowe 2 4" xfId="11512"/>
    <cellStyle name="Dane wejściowe 2 4 10" xfId="11513"/>
    <cellStyle name="Dane wejściowe 2 4 10 2" xfId="11514"/>
    <cellStyle name="Dane wejściowe 2 4 10 3" xfId="11515"/>
    <cellStyle name="Dane wejściowe 2 4 10 4" xfId="11516"/>
    <cellStyle name="Dane wejściowe 2 4 11" xfId="11517"/>
    <cellStyle name="Dane wejściowe 2 4 11 2" xfId="11518"/>
    <cellStyle name="Dane wejściowe 2 4 11 3" xfId="11519"/>
    <cellStyle name="Dane wejściowe 2 4 11 4" xfId="11520"/>
    <cellStyle name="Dane wejściowe 2 4 12" xfId="11521"/>
    <cellStyle name="Dane wejściowe 2 4 12 2" xfId="11522"/>
    <cellStyle name="Dane wejściowe 2 4 12 3" xfId="11523"/>
    <cellStyle name="Dane wejściowe 2 4 12 4" xfId="11524"/>
    <cellStyle name="Dane wejściowe 2 4 13" xfId="11525"/>
    <cellStyle name="Dane wejściowe 2 4 13 2" xfId="11526"/>
    <cellStyle name="Dane wejściowe 2 4 13 3" xfId="11527"/>
    <cellStyle name="Dane wejściowe 2 4 13 4" xfId="11528"/>
    <cellStyle name="Dane wejściowe 2 4 14" xfId="11529"/>
    <cellStyle name="Dane wejściowe 2 4 14 2" xfId="11530"/>
    <cellStyle name="Dane wejściowe 2 4 14 3" xfId="11531"/>
    <cellStyle name="Dane wejściowe 2 4 14 4" xfId="11532"/>
    <cellStyle name="Dane wejściowe 2 4 15" xfId="11533"/>
    <cellStyle name="Dane wejściowe 2 4 15 2" xfId="11534"/>
    <cellStyle name="Dane wejściowe 2 4 15 3" xfId="11535"/>
    <cellStyle name="Dane wejściowe 2 4 15 4" xfId="11536"/>
    <cellStyle name="Dane wejściowe 2 4 16" xfId="11537"/>
    <cellStyle name="Dane wejściowe 2 4 16 2" xfId="11538"/>
    <cellStyle name="Dane wejściowe 2 4 16 3" xfId="11539"/>
    <cellStyle name="Dane wejściowe 2 4 16 4" xfId="11540"/>
    <cellStyle name="Dane wejściowe 2 4 17" xfId="11541"/>
    <cellStyle name="Dane wejściowe 2 4 17 2" xfId="11542"/>
    <cellStyle name="Dane wejściowe 2 4 17 3" xfId="11543"/>
    <cellStyle name="Dane wejściowe 2 4 17 4" xfId="11544"/>
    <cellStyle name="Dane wejściowe 2 4 18" xfId="11545"/>
    <cellStyle name="Dane wejściowe 2 4 18 2" xfId="11546"/>
    <cellStyle name="Dane wejściowe 2 4 18 3" xfId="11547"/>
    <cellStyle name="Dane wejściowe 2 4 18 4" xfId="11548"/>
    <cellStyle name="Dane wejściowe 2 4 19" xfId="11549"/>
    <cellStyle name="Dane wejściowe 2 4 19 2" xfId="11550"/>
    <cellStyle name="Dane wejściowe 2 4 19 3" xfId="11551"/>
    <cellStyle name="Dane wejściowe 2 4 19 4" xfId="11552"/>
    <cellStyle name="Dane wejściowe 2 4 2" xfId="11553"/>
    <cellStyle name="Dane wejściowe 2 4 2 2" xfId="11554"/>
    <cellStyle name="Dane wejściowe 2 4 2 3" xfId="11555"/>
    <cellStyle name="Dane wejściowe 2 4 2 4" xfId="11556"/>
    <cellStyle name="Dane wejściowe 2 4 20" xfId="11557"/>
    <cellStyle name="Dane wejściowe 2 4 20 2" xfId="11558"/>
    <cellStyle name="Dane wejściowe 2 4 20 3" xfId="11559"/>
    <cellStyle name="Dane wejściowe 2 4 20 4" xfId="11560"/>
    <cellStyle name="Dane wejściowe 2 4 21" xfId="11561"/>
    <cellStyle name="Dane wejściowe 2 4 21 2" xfId="11562"/>
    <cellStyle name="Dane wejściowe 2 4 21 3" xfId="11563"/>
    <cellStyle name="Dane wejściowe 2 4 22" xfId="11564"/>
    <cellStyle name="Dane wejściowe 2 4 22 2" xfId="11565"/>
    <cellStyle name="Dane wejściowe 2 4 22 3" xfId="11566"/>
    <cellStyle name="Dane wejściowe 2 4 23" xfId="11567"/>
    <cellStyle name="Dane wejściowe 2 4 23 2" xfId="11568"/>
    <cellStyle name="Dane wejściowe 2 4 23 3" xfId="11569"/>
    <cellStyle name="Dane wejściowe 2 4 24" xfId="11570"/>
    <cellStyle name="Dane wejściowe 2 4 24 2" xfId="11571"/>
    <cellStyle name="Dane wejściowe 2 4 24 3" xfId="11572"/>
    <cellStyle name="Dane wejściowe 2 4 25" xfId="11573"/>
    <cellStyle name="Dane wejściowe 2 4 25 2" xfId="11574"/>
    <cellStyle name="Dane wejściowe 2 4 25 3" xfId="11575"/>
    <cellStyle name="Dane wejściowe 2 4 26" xfId="11576"/>
    <cellStyle name="Dane wejściowe 2 4 26 2" xfId="11577"/>
    <cellStyle name="Dane wejściowe 2 4 26 3" xfId="11578"/>
    <cellStyle name="Dane wejściowe 2 4 27" xfId="11579"/>
    <cellStyle name="Dane wejściowe 2 4 27 2" xfId="11580"/>
    <cellStyle name="Dane wejściowe 2 4 27 3" xfId="11581"/>
    <cellStyle name="Dane wejściowe 2 4 28" xfId="11582"/>
    <cellStyle name="Dane wejściowe 2 4 28 2" xfId="11583"/>
    <cellStyle name="Dane wejściowe 2 4 28 3" xfId="11584"/>
    <cellStyle name="Dane wejściowe 2 4 29" xfId="11585"/>
    <cellStyle name="Dane wejściowe 2 4 29 2" xfId="11586"/>
    <cellStyle name="Dane wejściowe 2 4 29 3" xfId="11587"/>
    <cellStyle name="Dane wejściowe 2 4 3" xfId="11588"/>
    <cellStyle name="Dane wejściowe 2 4 3 2" xfId="11589"/>
    <cellStyle name="Dane wejściowe 2 4 3 3" xfId="11590"/>
    <cellStyle name="Dane wejściowe 2 4 3 4" xfId="11591"/>
    <cellStyle name="Dane wejściowe 2 4 30" xfId="11592"/>
    <cellStyle name="Dane wejściowe 2 4 30 2" xfId="11593"/>
    <cellStyle name="Dane wejściowe 2 4 30 3" xfId="11594"/>
    <cellStyle name="Dane wejściowe 2 4 31" xfId="11595"/>
    <cellStyle name="Dane wejściowe 2 4 31 2" xfId="11596"/>
    <cellStyle name="Dane wejściowe 2 4 31 3" xfId="11597"/>
    <cellStyle name="Dane wejściowe 2 4 32" xfId="11598"/>
    <cellStyle name="Dane wejściowe 2 4 32 2" xfId="11599"/>
    <cellStyle name="Dane wejściowe 2 4 32 3" xfId="11600"/>
    <cellStyle name="Dane wejściowe 2 4 33" xfId="11601"/>
    <cellStyle name="Dane wejściowe 2 4 33 2" xfId="11602"/>
    <cellStyle name="Dane wejściowe 2 4 33 3" xfId="11603"/>
    <cellStyle name="Dane wejściowe 2 4 34" xfId="11604"/>
    <cellStyle name="Dane wejściowe 2 4 34 2" xfId="11605"/>
    <cellStyle name="Dane wejściowe 2 4 34 3" xfId="11606"/>
    <cellStyle name="Dane wejściowe 2 4 35" xfId="11607"/>
    <cellStyle name="Dane wejściowe 2 4 35 2" xfId="11608"/>
    <cellStyle name="Dane wejściowe 2 4 35 3" xfId="11609"/>
    <cellStyle name="Dane wejściowe 2 4 36" xfId="11610"/>
    <cellStyle name="Dane wejściowe 2 4 36 2" xfId="11611"/>
    <cellStyle name="Dane wejściowe 2 4 36 3" xfId="11612"/>
    <cellStyle name="Dane wejściowe 2 4 37" xfId="11613"/>
    <cellStyle name="Dane wejściowe 2 4 37 2" xfId="11614"/>
    <cellStyle name="Dane wejściowe 2 4 37 3" xfId="11615"/>
    <cellStyle name="Dane wejściowe 2 4 38" xfId="11616"/>
    <cellStyle name="Dane wejściowe 2 4 38 2" xfId="11617"/>
    <cellStyle name="Dane wejściowe 2 4 38 3" xfId="11618"/>
    <cellStyle name="Dane wejściowe 2 4 39" xfId="11619"/>
    <cellStyle name="Dane wejściowe 2 4 39 2" xfId="11620"/>
    <cellStyle name="Dane wejściowe 2 4 39 3" xfId="11621"/>
    <cellStyle name="Dane wejściowe 2 4 4" xfId="11622"/>
    <cellStyle name="Dane wejściowe 2 4 4 2" xfId="11623"/>
    <cellStyle name="Dane wejściowe 2 4 4 3" xfId="11624"/>
    <cellStyle name="Dane wejściowe 2 4 4 4" xfId="11625"/>
    <cellStyle name="Dane wejściowe 2 4 40" xfId="11626"/>
    <cellStyle name="Dane wejściowe 2 4 40 2" xfId="11627"/>
    <cellStyle name="Dane wejściowe 2 4 40 3" xfId="11628"/>
    <cellStyle name="Dane wejściowe 2 4 41" xfId="11629"/>
    <cellStyle name="Dane wejściowe 2 4 41 2" xfId="11630"/>
    <cellStyle name="Dane wejściowe 2 4 41 3" xfId="11631"/>
    <cellStyle name="Dane wejściowe 2 4 42" xfId="11632"/>
    <cellStyle name="Dane wejściowe 2 4 42 2" xfId="11633"/>
    <cellStyle name="Dane wejściowe 2 4 42 3" xfId="11634"/>
    <cellStyle name="Dane wejściowe 2 4 43" xfId="11635"/>
    <cellStyle name="Dane wejściowe 2 4 43 2" xfId="11636"/>
    <cellStyle name="Dane wejściowe 2 4 43 3" xfId="11637"/>
    <cellStyle name="Dane wejściowe 2 4 44" xfId="11638"/>
    <cellStyle name="Dane wejściowe 2 4 44 2" xfId="11639"/>
    <cellStyle name="Dane wejściowe 2 4 44 3" xfId="11640"/>
    <cellStyle name="Dane wejściowe 2 4 45" xfId="11641"/>
    <cellStyle name="Dane wejściowe 2 4 45 2" xfId="11642"/>
    <cellStyle name="Dane wejściowe 2 4 45 3" xfId="11643"/>
    <cellStyle name="Dane wejściowe 2 4 46" xfId="11644"/>
    <cellStyle name="Dane wejściowe 2 4 46 2" xfId="11645"/>
    <cellStyle name="Dane wejściowe 2 4 46 3" xfId="11646"/>
    <cellStyle name="Dane wejściowe 2 4 47" xfId="11647"/>
    <cellStyle name="Dane wejściowe 2 4 47 2" xfId="11648"/>
    <cellStyle name="Dane wejściowe 2 4 47 3" xfId="11649"/>
    <cellStyle name="Dane wejściowe 2 4 48" xfId="11650"/>
    <cellStyle name="Dane wejściowe 2 4 48 2" xfId="11651"/>
    <cellStyle name="Dane wejściowe 2 4 48 3" xfId="11652"/>
    <cellStyle name="Dane wejściowe 2 4 49" xfId="11653"/>
    <cellStyle name="Dane wejściowe 2 4 49 2" xfId="11654"/>
    <cellStyle name="Dane wejściowe 2 4 49 3" xfId="11655"/>
    <cellStyle name="Dane wejściowe 2 4 5" xfId="11656"/>
    <cellStyle name="Dane wejściowe 2 4 5 2" xfId="11657"/>
    <cellStyle name="Dane wejściowe 2 4 5 3" xfId="11658"/>
    <cellStyle name="Dane wejściowe 2 4 5 4" xfId="11659"/>
    <cellStyle name="Dane wejściowe 2 4 50" xfId="11660"/>
    <cellStyle name="Dane wejściowe 2 4 50 2" xfId="11661"/>
    <cellStyle name="Dane wejściowe 2 4 50 3" xfId="11662"/>
    <cellStyle name="Dane wejściowe 2 4 51" xfId="11663"/>
    <cellStyle name="Dane wejściowe 2 4 51 2" xfId="11664"/>
    <cellStyle name="Dane wejściowe 2 4 51 3" xfId="11665"/>
    <cellStyle name="Dane wejściowe 2 4 52" xfId="11666"/>
    <cellStyle name="Dane wejściowe 2 4 52 2" xfId="11667"/>
    <cellStyle name="Dane wejściowe 2 4 52 3" xfId="11668"/>
    <cellStyle name="Dane wejściowe 2 4 53" xfId="11669"/>
    <cellStyle name="Dane wejściowe 2 4 53 2" xfId="11670"/>
    <cellStyle name="Dane wejściowe 2 4 53 3" xfId="11671"/>
    <cellStyle name="Dane wejściowe 2 4 54" xfId="11672"/>
    <cellStyle name="Dane wejściowe 2 4 54 2" xfId="11673"/>
    <cellStyle name="Dane wejściowe 2 4 54 3" xfId="11674"/>
    <cellStyle name="Dane wejściowe 2 4 55" xfId="11675"/>
    <cellStyle name="Dane wejściowe 2 4 55 2" xfId="11676"/>
    <cellStyle name="Dane wejściowe 2 4 55 3" xfId="11677"/>
    <cellStyle name="Dane wejściowe 2 4 56" xfId="11678"/>
    <cellStyle name="Dane wejściowe 2 4 56 2" xfId="11679"/>
    <cellStyle name="Dane wejściowe 2 4 56 3" xfId="11680"/>
    <cellStyle name="Dane wejściowe 2 4 57" xfId="11681"/>
    <cellStyle name="Dane wejściowe 2 4 58" xfId="11682"/>
    <cellStyle name="Dane wejściowe 2 4 6" xfId="11683"/>
    <cellStyle name="Dane wejściowe 2 4 6 2" xfId="11684"/>
    <cellStyle name="Dane wejściowe 2 4 6 3" xfId="11685"/>
    <cellStyle name="Dane wejściowe 2 4 6 4" xfId="11686"/>
    <cellStyle name="Dane wejściowe 2 4 7" xfId="11687"/>
    <cellStyle name="Dane wejściowe 2 4 7 2" xfId="11688"/>
    <cellStyle name="Dane wejściowe 2 4 7 3" xfId="11689"/>
    <cellStyle name="Dane wejściowe 2 4 7 4" xfId="11690"/>
    <cellStyle name="Dane wejściowe 2 4 8" xfId="11691"/>
    <cellStyle name="Dane wejściowe 2 4 8 2" xfId="11692"/>
    <cellStyle name="Dane wejściowe 2 4 8 3" xfId="11693"/>
    <cellStyle name="Dane wejściowe 2 4 8 4" xfId="11694"/>
    <cellStyle name="Dane wejściowe 2 4 9" xfId="11695"/>
    <cellStyle name="Dane wejściowe 2 4 9 2" xfId="11696"/>
    <cellStyle name="Dane wejściowe 2 4 9 3" xfId="11697"/>
    <cellStyle name="Dane wejściowe 2 4 9 4" xfId="11698"/>
    <cellStyle name="Dane wejściowe 2 40" xfId="11699"/>
    <cellStyle name="Dane wejściowe 2 40 2" xfId="11700"/>
    <cellStyle name="Dane wejściowe 2 40 3" xfId="11701"/>
    <cellStyle name="Dane wejściowe 2 40 4" xfId="11702"/>
    <cellStyle name="Dane wejściowe 2 41" xfId="11703"/>
    <cellStyle name="Dane wejściowe 2 41 2" xfId="11704"/>
    <cellStyle name="Dane wejściowe 2 41 3" xfId="11705"/>
    <cellStyle name="Dane wejściowe 2 41 4" xfId="11706"/>
    <cellStyle name="Dane wejściowe 2 42" xfId="11707"/>
    <cellStyle name="Dane wejściowe 2 42 2" xfId="11708"/>
    <cellStyle name="Dane wejściowe 2 42 3" xfId="11709"/>
    <cellStyle name="Dane wejściowe 2 42 4" xfId="11710"/>
    <cellStyle name="Dane wejściowe 2 43" xfId="11711"/>
    <cellStyle name="Dane wejściowe 2 43 2" xfId="11712"/>
    <cellStyle name="Dane wejściowe 2 43 3" xfId="11713"/>
    <cellStyle name="Dane wejściowe 2 43 4" xfId="11714"/>
    <cellStyle name="Dane wejściowe 2 44" xfId="11715"/>
    <cellStyle name="Dane wejściowe 2 44 2" xfId="11716"/>
    <cellStyle name="Dane wejściowe 2 44 3" xfId="11717"/>
    <cellStyle name="Dane wejściowe 2 44 4" xfId="11718"/>
    <cellStyle name="Dane wejściowe 2 45" xfId="11719"/>
    <cellStyle name="Dane wejściowe 2 45 2" xfId="11720"/>
    <cellStyle name="Dane wejściowe 2 45 3" xfId="11721"/>
    <cellStyle name="Dane wejściowe 2 45 4" xfId="11722"/>
    <cellStyle name="Dane wejściowe 2 46" xfId="11723"/>
    <cellStyle name="Dane wejściowe 2 46 2" xfId="11724"/>
    <cellStyle name="Dane wejściowe 2 46 3" xfId="11725"/>
    <cellStyle name="Dane wejściowe 2 46 4" xfId="11726"/>
    <cellStyle name="Dane wejściowe 2 47" xfId="11727"/>
    <cellStyle name="Dane wejściowe 2 47 2" xfId="11728"/>
    <cellStyle name="Dane wejściowe 2 47 3" xfId="11729"/>
    <cellStyle name="Dane wejściowe 2 47 4" xfId="11730"/>
    <cellStyle name="Dane wejściowe 2 48" xfId="11731"/>
    <cellStyle name="Dane wejściowe 2 48 2" xfId="11732"/>
    <cellStyle name="Dane wejściowe 2 48 3" xfId="11733"/>
    <cellStyle name="Dane wejściowe 2 49" xfId="11734"/>
    <cellStyle name="Dane wejściowe 2 49 2" xfId="11735"/>
    <cellStyle name="Dane wejściowe 2 49 3" xfId="11736"/>
    <cellStyle name="Dane wejściowe 2 5" xfId="11737"/>
    <cellStyle name="Dane wejściowe 2 5 10" xfId="11738"/>
    <cellStyle name="Dane wejściowe 2 5 10 2" xfId="11739"/>
    <cellStyle name="Dane wejściowe 2 5 10 3" xfId="11740"/>
    <cellStyle name="Dane wejściowe 2 5 10 4" xfId="11741"/>
    <cellStyle name="Dane wejściowe 2 5 11" xfId="11742"/>
    <cellStyle name="Dane wejściowe 2 5 11 2" xfId="11743"/>
    <cellStyle name="Dane wejściowe 2 5 11 3" xfId="11744"/>
    <cellStyle name="Dane wejściowe 2 5 11 4" xfId="11745"/>
    <cellStyle name="Dane wejściowe 2 5 12" xfId="11746"/>
    <cellStyle name="Dane wejściowe 2 5 12 2" xfId="11747"/>
    <cellStyle name="Dane wejściowe 2 5 12 3" xfId="11748"/>
    <cellStyle name="Dane wejściowe 2 5 12 4" xfId="11749"/>
    <cellStyle name="Dane wejściowe 2 5 13" xfId="11750"/>
    <cellStyle name="Dane wejściowe 2 5 13 2" xfId="11751"/>
    <cellStyle name="Dane wejściowe 2 5 13 3" xfId="11752"/>
    <cellStyle name="Dane wejściowe 2 5 13 4" xfId="11753"/>
    <cellStyle name="Dane wejściowe 2 5 14" xfId="11754"/>
    <cellStyle name="Dane wejściowe 2 5 14 2" xfId="11755"/>
    <cellStyle name="Dane wejściowe 2 5 14 3" xfId="11756"/>
    <cellStyle name="Dane wejściowe 2 5 14 4" xfId="11757"/>
    <cellStyle name="Dane wejściowe 2 5 15" xfId="11758"/>
    <cellStyle name="Dane wejściowe 2 5 15 2" xfId="11759"/>
    <cellStyle name="Dane wejściowe 2 5 15 3" xfId="11760"/>
    <cellStyle name="Dane wejściowe 2 5 15 4" xfId="11761"/>
    <cellStyle name="Dane wejściowe 2 5 16" xfId="11762"/>
    <cellStyle name="Dane wejściowe 2 5 16 2" xfId="11763"/>
    <cellStyle name="Dane wejściowe 2 5 16 3" xfId="11764"/>
    <cellStyle name="Dane wejściowe 2 5 16 4" xfId="11765"/>
    <cellStyle name="Dane wejściowe 2 5 17" xfId="11766"/>
    <cellStyle name="Dane wejściowe 2 5 17 2" xfId="11767"/>
    <cellStyle name="Dane wejściowe 2 5 17 3" xfId="11768"/>
    <cellStyle name="Dane wejściowe 2 5 17 4" xfId="11769"/>
    <cellStyle name="Dane wejściowe 2 5 18" xfId="11770"/>
    <cellStyle name="Dane wejściowe 2 5 18 2" xfId="11771"/>
    <cellStyle name="Dane wejściowe 2 5 18 3" xfId="11772"/>
    <cellStyle name="Dane wejściowe 2 5 18 4" xfId="11773"/>
    <cellStyle name="Dane wejściowe 2 5 19" xfId="11774"/>
    <cellStyle name="Dane wejściowe 2 5 19 2" xfId="11775"/>
    <cellStyle name="Dane wejściowe 2 5 19 3" xfId="11776"/>
    <cellStyle name="Dane wejściowe 2 5 19 4" xfId="11777"/>
    <cellStyle name="Dane wejściowe 2 5 2" xfId="11778"/>
    <cellStyle name="Dane wejściowe 2 5 2 2" xfId="11779"/>
    <cellStyle name="Dane wejściowe 2 5 2 3" xfId="11780"/>
    <cellStyle name="Dane wejściowe 2 5 2 4" xfId="11781"/>
    <cellStyle name="Dane wejściowe 2 5 20" xfId="11782"/>
    <cellStyle name="Dane wejściowe 2 5 20 2" xfId="11783"/>
    <cellStyle name="Dane wejściowe 2 5 20 3" xfId="11784"/>
    <cellStyle name="Dane wejściowe 2 5 20 4" xfId="11785"/>
    <cellStyle name="Dane wejściowe 2 5 21" xfId="11786"/>
    <cellStyle name="Dane wejściowe 2 5 21 2" xfId="11787"/>
    <cellStyle name="Dane wejściowe 2 5 21 3" xfId="11788"/>
    <cellStyle name="Dane wejściowe 2 5 22" xfId="11789"/>
    <cellStyle name="Dane wejściowe 2 5 22 2" xfId="11790"/>
    <cellStyle name="Dane wejściowe 2 5 22 3" xfId="11791"/>
    <cellStyle name="Dane wejściowe 2 5 23" xfId="11792"/>
    <cellStyle name="Dane wejściowe 2 5 23 2" xfId="11793"/>
    <cellStyle name="Dane wejściowe 2 5 23 3" xfId="11794"/>
    <cellStyle name="Dane wejściowe 2 5 24" xfId="11795"/>
    <cellStyle name="Dane wejściowe 2 5 24 2" xfId="11796"/>
    <cellStyle name="Dane wejściowe 2 5 24 3" xfId="11797"/>
    <cellStyle name="Dane wejściowe 2 5 25" xfId="11798"/>
    <cellStyle name="Dane wejściowe 2 5 25 2" xfId="11799"/>
    <cellStyle name="Dane wejściowe 2 5 25 3" xfId="11800"/>
    <cellStyle name="Dane wejściowe 2 5 26" xfId="11801"/>
    <cellStyle name="Dane wejściowe 2 5 26 2" xfId="11802"/>
    <cellStyle name="Dane wejściowe 2 5 26 3" xfId="11803"/>
    <cellStyle name="Dane wejściowe 2 5 27" xfId="11804"/>
    <cellStyle name="Dane wejściowe 2 5 27 2" xfId="11805"/>
    <cellStyle name="Dane wejściowe 2 5 27 3" xfId="11806"/>
    <cellStyle name="Dane wejściowe 2 5 28" xfId="11807"/>
    <cellStyle name="Dane wejściowe 2 5 28 2" xfId="11808"/>
    <cellStyle name="Dane wejściowe 2 5 28 3" xfId="11809"/>
    <cellStyle name="Dane wejściowe 2 5 29" xfId="11810"/>
    <cellStyle name="Dane wejściowe 2 5 29 2" xfId="11811"/>
    <cellStyle name="Dane wejściowe 2 5 29 3" xfId="11812"/>
    <cellStyle name="Dane wejściowe 2 5 3" xfId="11813"/>
    <cellStyle name="Dane wejściowe 2 5 3 2" xfId="11814"/>
    <cellStyle name="Dane wejściowe 2 5 3 3" xfId="11815"/>
    <cellStyle name="Dane wejściowe 2 5 3 4" xfId="11816"/>
    <cellStyle name="Dane wejściowe 2 5 30" xfId="11817"/>
    <cellStyle name="Dane wejściowe 2 5 30 2" xfId="11818"/>
    <cellStyle name="Dane wejściowe 2 5 30 3" xfId="11819"/>
    <cellStyle name="Dane wejściowe 2 5 31" xfId="11820"/>
    <cellStyle name="Dane wejściowe 2 5 31 2" xfId="11821"/>
    <cellStyle name="Dane wejściowe 2 5 31 3" xfId="11822"/>
    <cellStyle name="Dane wejściowe 2 5 32" xfId="11823"/>
    <cellStyle name="Dane wejściowe 2 5 32 2" xfId="11824"/>
    <cellStyle name="Dane wejściowe 2 5 32 3" xfId="11825"/>
    <cellStyle name="Dane wejściowe 2 5 33" xfId="11826"/>
    <cellStyle name="Dane wejściowe 2 5 33 2" xfId="11827"/>
    <cellStyle name="Dane wejściowe 2 5 33 3" xfId="11828"/>
    <cellStyle name="Dane wejściowe 2 5 34" xfId="11829"/>
    <cellStyle name="Dane wejściowe 2 5 34 2" xfId="11830"/>
    <cellStyle name="Dane wejściowe 2 5 34 3" xfId="11831"/>
    <cellStyle name="Dane wejściowe 2 5 35" xfId="11832"/>
    <cellStyle name="Dane wejściowe 2 5 35 2" xfId="11833"/>
    <cellStyle name="Dane wejściowe 2 5 35 3" xfId="11834"/>
    <cellStyle name="Dane wejściowe 2 5 36" xfId="11835"/>
    <cellStyle name="Dane wejściowe 2 5 36 2" xfId="11836"/>
    <cellStyle name="Dane wejściowe 2 5 36 3" xfId="11837"/>
    <cellStyle name="Dane wejściowe 2 5 37" xfId="11838"/>
    <cellStyle name="Dane wejściowe 2 5 37 2" xfId="11839"/>
    <cellStyle name="Dane wejściowe 2 5 37 3" xfId="11840"/>
    <cellStyle name="Dane wejściowe 2 5 38" xfId="11841"/>
    <cellStyle name="Dane wejściowe 2 5 38 2" xfId="11842"/>
    <cellStyle name="Dane wejściowe 2 5 38 3" xfId="11843"/>
    <cellStyle name="Dane wejściowe 2 5 39" xfId="11844"/>
    <cellStyle name="Dane wejściowe 2 5 39 2" xfId="11845"/>
    <cellStyle name="Dane wejściowe 2 5 39 3" xfId="11846"/>
    <cellStyle name="Dane wejściowe 2 5 4" xfId="11847"/>
    <cellStyle name="Dane wejściowe 2 5 4 2" xfId="11848"/>
    <cellStyle name="Dane wejściowe 2 5 4 3" xfId="11849"/>
    <cellStyle name="Dane wejściowe 2 5 4 4" xfId="11850"/>
    <cellStyle name="Dane wejściowe 2 5 40" xfId="11851"/>
    <cellStyle name="Dane wejściowe 2 5 40 2" xfId="11852"/>
    <cellStyle name="Dane wejściowe 2 5 40 3" xfId="11853"/>
    <cellStyle name="Dane wejściowe 2 5 41" xfId="11854"/>
    <cellStyle name="Dane wejściowe 2 5 41 2" xfId="11855"/>
    <cellStyle name="Dane wejściowe 2 5 41 3" xfId="11856"/>
    <cellStyle name="Dane wejściowe 2 5 42" xfId="11857"/>
    <cellStyle name="Dane wejściowe 2 5 42 2" xfId="11858"/>
    <cellStyle name="Dane wejściowe 2 5 42 3" xfId="11859"/>
    <cellStyle name="Dane wejściowe 2 5 43" xfId="11860"/>
    <cellStyle name="Dane wejściowe 2 5 43 2" xfId="11861"/>
    <cellStyle name="Dane wejściowe 2 5 43 3" xfId="11862"/>
    <cellStyle name="Dane wejściowe 2 5 44" xfId="11863"/>
    <cellStyle name="Dane wejściowe 2 5 44 2" xfId="11864"/>
    <cellStyle name="Dane wejściowe 2 5 44 3" xfId="11865"/>
    <cellStyle name="Dane wejściowe 2 5 45" xfId="11866"/>
    <cellStyle name="Dane wejściowe 2 5 45 2" xfId="11867"/>
    <cellStyle name="Dane wejściowe 2 5 45 3" xfId="11868"/>
    <cellStyle name="Dane wejściowe 2 5 46" xfId="11869"/>
    <cellStyle name="Dane wejściowe 2 5 46 2" xfId="11870"/>
    <cellStyle name="Dane wejściowe 2 5 46 3" xfId="11871"/>
    <cellStyle name="Dane wejściowe 2 5 47" xfId="11872"/>
    <cellStyle name="Dane wejściowe 2 5 47 2" xfId="11873"/>
    <cellStyle name="Dane wejściowe 2 5 47 3" xfId="11874"/>
    <cellStyle name="Dane wejściowe 2 5 48" xfId="11875"/>
    <cellStyle name="Dane wejściowe 2 5 48 2" xfId="11876"/>
    <cellStyle name="Dane wejściowe 2 5 48 3" xfId="11877"/>
    <cellStyle name="Dane wejściowe 2 5 49" xfId="11878"/>
    <cellStyle name="Dane wejściowe 2 5 49 2" xfId="11879"/>
    <cellStyle name="Dane wejściowe 2 5 49 3" xfId="11880"/>
    <cellStyle name="Dane wejściowe 2 5 5" xfId="11881"/>
    <cellStyle name="Dane wejściowe 2 5 5 2" xfId="11882"/>
    <cellStyle name="Dane wejściowe 2 5 5 3" xfId="11883"/>
    <cellStyle name="Dane wejściowe 2 5 5 4" xfId="11884"/>
    <cellStyle name="Dane wejściowe 2 5 50" xfId="11885"/>
    <cellStyle name="Dane wejściowe 2 5 50 2" xfId="11886"/>
    <cellStyle name="Dane wejściowe 2 5 50 3" xfId="11887"/>
    <cellStyle name="Dane wejściowe 2 5 51" xfId="11888"/>
    <cellStyle name="Dane wejściowe 2 5 51 2" xfId="11889"/>
    <cellStyle name="Dane wejściowe 2 5 51 3" xfId="11890"/>
    <cellStyle name="Dane wejściowe 2 5 52" xfId="11891"/>
    <cellStyle name="Dane wejściowe 2 5 52 2" xfId="11892"/>
    <cellStyle name="Dane wejściowe 2 5 52 3" xfId="11893"/>
    <cellStyle name="Dane wejściowe 2 5 53" xfId="11894"/>
    <cellStyle name="Dane wejściowe 2 5 53 2" xfId="11895"/>
    <cellStyle name="Dane wejściowe 2 5 53 3" xfId="11896"/>
    <cellStyle name="Dane wejściowe 2 5 54" xfId="11897"/>
    <cellStyle name="Dane wejściowe 2 5 54 2" xfId="11898"/>
    <cellStyle name="Dane wejściowe 2 5 54 3" xfId="11899"/>
    <cellStyle name="Dane wejściowe 2 5 55" xfId="11900"/>
    <cellStyle name="Dane wejściowe 2 5 55 2" xfId="11901"/>
    <cellStyle name="Dane wejściowe 2 5 55 3" xfId="11902"/>
    <cellStyle name="Dane wejściowe 2 5 56" xfId="11903"/>
    <cellStyle name="Dane wejściowe 2 5 56 2" xfId="11904"/>
    <cellStyle name="Dane wejściowe 2 5 56 3" xfId="11905"/>
    <cellStyle name="Dane wejściowe 2 5 57" xfId="11906"/>
    <cellStyle name="Dane wejściowe 2 5 58" xfId="11907"/>
    <cellStyle name="Dane wejściowe 2 5 6" xfId="11908"/>
    <cellStyle name="Dane wejściowe 2 5 6 2" xfId="11909"/>
    <cellStyle name="Dane wejściowe 2 5 6 3" xfId="11910"/>
    <cellStyle name="Dane wejściowe 2 5 6 4" xfId="11911"/>
    <cellStyle name="Dane wejściowe 2 5 7" xfId="11912"/>
    <cellStyle name="Dane wejściowe 2 5 7 2" xfId="11913"/>
    <cellStyle name="Dane wejściowe 2 5 7 3" xfId="11914"/>
    <cellStyle name="Dane wejściowe 2 5 7 4" xfId="11915"/>
    <cellStyle name="Dane wejściowe 2 5 8" xfId="11916"/>
    <cellStyle name="Dane wejściowe 2 5 8 2" xfId="11917"/>
    <cellStyle name="Dane wejściowe 2 5 8 3" xfId="11918"/>
    <cellStyle name="Dane wejściowe 2 5 8 4" xfId="11919"/>
    <cellStyle name="Dane wejściowe 2 5 9" xfId="11920"/>
    <cellStyle name="Dane wejściowe 2 5 9 2" xfId="11921"/>
    <cellStyle name="Dane wejściowe 2 5 9 3" xfId="11922"/>
    <cellStyle name="Dane wejściowe 2 5 9 4" xfId="11923"/>
    <cellStyle name="Dane wejściowe 2 50" xfId="11924"/>
    <cellStyle name="Dane wejściowe 2 50 2" xfId="11925"/>
    <cellStyle name="Dane wejściowe 2 50 3" xfId="11926"/>
    <cellStyle name="Dane wejściowe 2 51" xfId="11927"/>
    <cellStyle name="Dane wejściowe 2 51 2" xfId="11928"/>
    <cellStyle name="Dane wejściowe 2 51 3" xfId="11929"/>
    <cellStyle name="Dane wejściowe 2 52" xfId="11930"/>
    <cellStyle name="Dane wejściowe 2 52 2" xfId="11931"/>
    <cellStyle name="Dane wejściowe 2 52 3" xfId="11932"/>
    <cellStyle name="Dane wejściowe 2 53" xfId="11933"/>
    <cellStyle name="Dane wejściowe 2 53 2" xfId="11934"/>
    <cellStyle name="Dane wejściowe 2 53 3" xfId="11935"/>
    <cellStyle name="Dane wejściowe 2 54" xfId="11936"/>
    <cellStyle name="Dane wejściowe 2 54 2" xfId="11937"/>
    <cellStyle name="Dane wejściowe 2 54 3" xfId="11938"/>
    <cellStyle name="Dane wejściowe 2 55" xfId="11939"/>
    <cellStyle name="Dane wejściowe 2 55 2" xfId="11940"/>
    <cellStyle name="Dane wejściowe 2 55 3" xfId="11941"/>
    <cellStyle name="Dane wejściowe 2 56" xfId="11942"/>
    <cellStyle name="Dane wejściowe 2 56 2" xfId="11943"/>
    <cellStyle name="Dane wejściowe 2 56 3" xfId="11944"/>
    <cellStyle name="Dane wejściowe 2 57" xfId="11945"/>
    <cellStyle name="Dane wejściowe 2 57 2" xfId="11946"/>
    <cellStyle name="Dane wejściowe 2 57 3" xfId="11947"/>
    <cellStyle name="Dane wejściowe 2 58" xfId="11948"/>
    <cellStyle name="Dane wejściowe 2 58 2" xfId="11949"/>
    <cellStyle name="Dane wejściowe 2 58 3" xfId="11950"/>
    <cellStyle name="Dane wejściowe 2 59" xfId="11951"/>
    <cellStyle name="Dane wejściowe 2 59 2" xfId="11952"/>
    <cellStyle name="Dane wejściowe 2 59 3" xfId="11953"/>
    <cellStyle name="Dane wejściowe 2 6" xfId="11954"/>
    <cellStyle name="Dane wejściowe 2 6 10" xfId="11955"/>
    <cellStyle name="Dane wejściowe 2 6 10 2" xfId="11956"/>
    <cellStyle name="Dane wejściowe 2 6 10 3" xfId="11957"/>
    <cellStyle name="Dane wejściowe 2 6 10 4" xfId="11958"/>
    <cellStyle name="Dane wejściowe 2 6 11" xfId="11959"/>
    <cellStyle name="Dane wejściowe 2 6 11 2" xfId="11960"/>
    <cellStyle name="Dane wejściowe 2 6 11 3" xfId="11961"/>
    <cellStyle name="Dane wejściowe 2 6 11 4" xfId="11962"/>
    <cellStyle name="Dane wejściowe 2 6 12" xfId="11963"/>
    <cellStyle name="Dane wejściowe 2 6 12 2" xfId="11964"/>
    <cellStyle name="Dane wejściowe 2 6 12 3" xfId="11965"/>
    <cellStyle name="Dane wejściowe 2 6 12 4" xfId="11966"/>
    <cellStyle name="Dane wejściowe 2 6 13" xfId="11967"/>
    <cellStyle name="Dane wejściowe 2 6 13 2" xfId="11968"/>
    <cellStyle name="Dane wejściowe 2 6 13 3" xfId="11969"/>
    <cellStyle name="Dane wejściowe 2 6 13 4" xfId="11970"/>
    <cellStyle name="Dane wejściowe 2 6 14" xfId="11971"/>
    <cellStyle name="Dane wejściowe 2 6 14 2" xfId="11972"/>
    <cellStyle name="Dane wejściowe 2 6 14 3" xfId="11973"/>
    <cellStyle name="Dane wejściowe 2 6 14 4" xfId="11974"/>
    <cellStyle name="Dane wejściowe 2 6 15" xfId="11975"/>
    <cellStyle name="Dane wejściowe 2 6 15 2" xfId="11976"/>
    <cellStyle name="Dane wejściowe 2 6 15 3" xfId="11977"/>
    <cellStyle name="Dane wejściowe 2 6 15 4" xfId="11978"/>
    <cellStyle name="Dane wejściowe 2 6 16" xfId="11979"/>
    <cellStyle name="Dane wejściowe 2 6 16 2" xfId="11980"/>
    <cellStyle name="Dane wejściowe 2 6 16 3" xfId="11981"/>
    <cellStyle name="Dane wejściowe 2 6 16 4" xfId="11982"/>
    <cellStyle name="Dane wejściowe 2 6 17" xfId="11983"/>
    <cellStyle name="Dane wejściowe 2 6 17 2" xfId="11984"/>
    <cellStyle name="Dane wejściowe 2 6 17 3" xfId="11985"/>
    <cellStyle name="Dane wejściowe 2 6 17 4" xfId="11986"/>
    <cellStyle name="Dane wejściowe 2 6 18" xfId="11987"/>
    <cellStyle name="Dane wejściowe 2 6 18 2" xfId="11988"/>
    <cellStyle name="Dane wejściowe 2 6 18 3" xfId="11989"/>
    <cellStyle name="Dane wejściowe 2 6 18 4" xfId="11990"/>
    <cellStyle name="Dane wejściowe 2 6 19" xfId="11991"/>
    <cellStyle name="Dane wejściowe 2 6 19 2" xfId="11992"/>
    <cellStyle name="Dane wejściowe 2 6 19 3" xfId="11993"/>
    <cellStyle name="Dane wejściowe 2 6 19 4" xfId="11994"/>
    <cellStyle name="Dane wejściowe 2 6 2" xfId="11995"/>
    <cellStyle name="Dane wejściowe 2 6 2 2" xfId="11996"/>
    <cellStyle name="Dane wejściowe 2 6 2 3" xfId="11997"/>
    <cellStyle name="Dane wejściowe 2 6 2 4" xfId="11998"/>
    <cellStyle name="Dane wejściowe 2 6 20" xfId="11999"/>
    <cellStyle name="Dane wejściowe 2 6 20 2" xfId="12000"/>
    <cellStyle name="Dane wejściowe 2 6 20 3" xfId="12001"/>
    <cellStyle name="Dane wejściowe 2 6 20 4" xfId="12002"/>
    <cellStyle name="Dane wejściowe 2 6 21" xfId="12003"/>
    <cellStyle name="Dane wejściowe 2 6 21 2" xfId="12004"/>
    <cellStyle name="Dane wejściowe 2 6 21 3" xfId="12005"/>
    <cellStyle name="Dane wejściowe 2 6 22" xfId="12006"/>
    <cellStyle name="Dane wejściowe 2 6 22 2" xfId="12007"/>
    <cellStyle name="Dane wejściowe 2 6 22 3" xfId="12008"/>
    <cellStyle name="Dane wejściowe 2 6 23" xfId="12009"/>
    <cellStyle name="Dane wejściowe 2 6 23 2" xfId="12010"/>
    <cellStyle name="Dane wejściowe 2 6 23 3" xfId="12011"/>
    <cellStyle name="Dane wejściowe 2 6 24" xfId="12012"/>
    <cellStyle name="Dane wejściowe 2 6 24 2" xfId="12013"/>
    <cellStyle name="Dane wejściowe 2 6 24 3" xfId="12014"/>
    <cellStyle name="Dane wejściowe 2 6 25" xfId="12015"/>
    <cellStyle name="Dane wejściowe 2 6 25 2" xfId="12016"/>
    <cellStyle name="Dane wejściowe 2 6 25 3" xfId="12017"/>
    <cellStyle name="Dane wejściowe 2 6 26" xfId="12018"/>
    <cellStyle name="Dane wejściowe 2 6 26 2" xfId="12019"/>
    <cellStyle name="Dane wejściowe 2 6 26 3" xfId="12020"/>
    <cellStyle name="Dane wejściowe 2 6 27" xfId="12021"/>
    <cellStyle name="Dane wejściowe 2 6 27 2" xfId="12022"/>
    <cellStyle name="Dane wejściowe 2 6 27 3" xfId="12023"/>
    <cellStyle name="Dane wejściowe 2 6 28" xfId="12024"/>
    <cellStyle name="Dane wejściowe 2 6 28 2" xfId="12025"/>
    <cellStyle name="Dane wejściowe 2 6 28 3" xfId="12026"/>
    <cellStyle name="Dane wejściowe 2 6 29" xfId="12027"/>
    <cellStyle name="Dane wejściowe 2 6 29 2" xfId="12028"/>
    <cellStyle name="Dane wejściowe 2 6 29 3" xfId="12029"/>
    <cellStyle name="Dane wejściowe 2 6 3" xfId="12030"/>
    <cellStyle name="Dane wejściowe 2 6 3 2" xfId="12031"/>
    <cellStyle name="Dane wejściowe 2 6 3 3" xfId="12032"/>
    <cellStyle name="Dane wejściowe 2 6 3 4" xfId="12033"/>
    <cellStyle name="Dane wejściowe 2 6 30" xfId="12034"/>
    <cellStyle name="Dane wejściowe 2 6 30 2" xfId="12035"/>
    <cellStyle name="Dane wejściowe 2 6 30 3" xfId="12036"/>
    <cellStyle name="Dane wejściowe 2 6 31" xfId="12037"/>
    <cellStyle name="Dane wejściowe 2 6 31 2" xfId="12038"/>
    <cellStyle name="Dane wejściowe 2 6 31 3" xfId="12039"/>
    <cellStyle name="Dane wejściowe 2 6 32" xfId="12040"/>
    <cellStyle name="Dane wejściowe 2 6 32 2" xfId="12041"/>
    <cellStyle name="Dane wejściowe 2 6 32 3" xfId="12042"/>
    <cellStyle name="Dane wejściowe 2 6 33" xfId="12043"/>
    <cellStyle name="Dane wejściowe 2 6 33 2" xfId="12044"/>
    <cellStyle name="Dane wejściowe 2 6 33 3" xfId="12045"/>
    <cellStyle name="Dane wejściowe 2 6 34" xfId="12046"/>
    <cellStyle name="Dane wejściowe 2 6 34 2" xfId="12047"/>
    <cellStyle name="Dane wejściowe 2 6 34 3" xfId="12048"/>
    <cellStyle name="Dane wejściowe 2 6 35" xfId="12049"/>
    <cellStyle name="Dane wejściowe 2 6 35 2" xfId="12050"/>
    <cellStyle name="Dane wejściowe 2 6 35 3" xfId="12051"/>
    <cellStyle name="Dane wejściowe 2 6 36" xfId="12052"/>
    <cellStyle name="Dane wejściowe 2 6 36 2" xfId="12053"/>
    <cellStyle name="Dane wejściowe 2 6 36 3" xfId="12054"/>
    <cellStyle name="Dane wejściowe 2 6 37" xfId="12055"/>
    <cellStyle name="Dane wejściowe 2 6 37 2" xfId="12056"/>
    <cellStyle name="Dane wejściowe 2 6 37 3" xfId="12057"/>
    <cellStyle name="Dane wejściowe 2 6 38" xfId="12058"/>
    <cellStyle name="Dane wejściowe 2 6 38 2" xfId="12059"/>
    <cellStyle name="Dane wejściowe 2 6 38 3" xfId="12060"/>
    <cellStyle name="Dane wejściowe 2 6 39" xfId="12061"/>
    <cellStyle name="Dane wejściowe 2 6 39 2" xfId="12062"/>
    <cellStyle name="Dane wejściowe 2 6 39 3" xfId="12063"/>
    <cellStyle name="Dane wejściowe 2 6 4" xfId="12064"/>
    <cellStyle name="Dane wejściowe 2 6 4 2" xfId="12065"/>
    <cellStyle name="Dane wejściowe 2 6 4 3" xfId="12066"/>
    <cellStyle name="Dane wejściowe 2 6 4 4" xfId="12067"/>
    <cellStyle name="Dane wejściowe 2 6 40" xfId="12068"/>
    <cellStyle name="Dane wejściowe 2 6 40 2" xfId="12069"/>
    <cellStyle name="Dane wejściowe 2 6 40 3" xfId="12070"/>
    <cellStyle name="Dane wejściowe 2 6 41" xfId="12071"/>
    <cellStyle name="Dane wejściowe 2 6 41 2" xfId="12072"/>
    <cellStyle name="Dane wejściowe 2 6 41 3" xfId="12073"/>
    <cellStyle name="Dane wejściowe 2 6 42" xfId="12074"/>
    <cellStyle name="Dane wejściowe 2 6 42 2" xfId="12075"/>
    <cellStyle name="Dane wejściowe 2 6 42 3" xfId="12076"/>
    <cellStyle name="Dane wejściowe 2 6 43" xfId="12077"/>
    <cellStyle name="Dane wejściowe 2 6 43 2" xfId="12078"/>
    <cellStyle name="Dane wejściowe 2 6 43 3" xfId="12079"/>
    <cellStyle name="Dane wejściowe 2 6 44" xfId="12080"/>
    <cellStyle name="Dane wejściowe 2 6 44 2" xfId="12081"/>
    <cellStyle name="Dane wejściowe 2 6 44 3" xfId="12082"/>
    <cellStyle name="Dane wejściowe 2 6 45" xfId="12083"/>
    <cellStyle name="Dane wejściowe 2 6 45 2" xfId="12084"/>
    <cellStyle name="Dane wejściowe 2 6 45 3" xfId="12085"/>
    <cellStyle name="Dane wejściowe 2 6 46" xfId="12086"/>
    <cellStyle name="Dane wejściowe 2 6 46 2" xfId="12087"/>
    <cellStyle name="Dane wejściowe 2 6 46 3" xfId="12088"/>
    <cellStyle name="Dane wejściowe 2 6 47" xfId="12089"/>
    <cellStyle name="Dane wejściowe 2 6 47 2" xfId="12090"/>
    <cellStyle name="Dane wejściowe 2 6 47 3" xfId="12091"/>
    <cellStyle name="Dane wejściowe 2 6 48" xfId="12092"/>
    <cellStyle name="Dane wejściowe 2 6 48 2" xfId="12093"/>
    <cellStyle name="Dane wejściowe 2 6 48 3" xfId="12094"/>
    <cellStyle name="Dane wejściowe 2 6 49" xfId="12095"/>
    <cellStyle name="Dane wejściowe 2 6 49 2" xfId="12096"/>
    <cellStyle name="Dane wejściowe 2 6 49 3" xfId="12097"/>
    <cellStyle name="Dane wejściowe 2 6 5" xfId="12098"/>
    <cellStyle name="Dane wejściowe 2 6 5 2" xfId="12099"/>
    <cellStyle name="Dane wejściowe 2 6 5 3" xfId="12100"/>
    <cellStyle name="Dane wejściowe 2 6 5 4" xfId="12101"/>
    <cellStyle name="Dane wejściowe 2 6 50" xfId="12102"/>
    <cellStyle name="Dane wejściowe 2 6 50 2" xfId="12103"/>
    <cellStyle name="Dane wejściowe 2 6 50 3" xfId="12104"/>
    <cellStyle name="Dane wejściowe 2 6 51" xfId="12105"/>
    <cellStyle name="Dane wejściowe 2 6 51 2" xfId="12106"/>
    <cellStyle name="Dane wejściowe 2 6 51 3" xfId="12107"/>
    <cellStyle name="Dane wejściowe 2 6 52" xfId="12108"/>
    <cellStyle name="Dane wejściowe 2 6 52 2" xfId="12109"/>
    <cellStyle name="Dane wejściowe 2 6 52 3" xfId="12110"/>
    <cellStyle name="Dane wejściowe 2 6 53" xfId="12111"/>
    <cellStyle name="Dane wejściowe 2 6 53 2" xfId="12112"/>
    <cellStyle name="Dane wejściowe 2 6 53 3" xfId="12113"/>
    <cellStyle name="Dane wejściowe 2 6 54" xfId="12114"/>
    <cellStyle name="Dane wejściowe 2 6 54 2" xfId="12115"/>
    <cellStyle name="Dane wejściowe 2 6 54 3" xfId="12116"/>
    <cellStyle name="Dane wejściowe 2 6 55" xfId="12117"/>
    <cellStyle name="Dane wejściowe 2 6 55 2" xfId="12118"/>
    <cellStyle name="Dane wejściowe 2 6 55 3" xfId="12119"/>
    <cellStyle name="Dane wejściowe 2 6 56" xfId="12120"/>
    <cellStyle name="Dane wejściowe 2 6 56 2" xfId="12121"/>
    <cellStyle name="Dane wejściowe 2 6 56 3" xfId="12122"/>
    <cellStyle name="Dane wejściowe 2 6 57" xfId="12123"/>
    <cellStyle name="Dane wejściowe 2 6 58" xfId="12124"/>
    <cellStyle name="Dane wejściowe 2 6 6" xfId="12125"/>
    <cellStyle name="Dane wejściowe 2 6 6 2" xfId="12126"/>
    <cellStyle name="Dane wejściowe 2 6 6 3" xfId="12127"/>
    <cellStyle name="Dane wejściowe 2 6 6 4" xfId="12128"/>
    <cellStyle name="Dane wejściowe 2 6 7" xfId="12129"/>
    <cellStyle name="Dane wejściowe 2 6 7 2" xfId="12130"/>
    <cellStyle name="Dane wejściowe 2 6 7 3" xfId="12131"/>
    <cellStyle name="Dane wejściowe 2 6 7 4" xfId="12132"/>
    <cellStyle name="Dane wejściowe 2 6 8" xfId="12133"/>
    <cellStyle name="Dane wejściowe 2 6 8 2" xfId="12134"/>
    <cellStyle name="Dane wejściowe 2 6 8 3" xfId="12135"/>
    <cellStyle name="Dane wejściowe 2 6 8 4" xfId="12136"/>
    <cellStyle name="Dane wejściowe 2 6 9" xfId="12137"/>
    <cellStyle name="Dane wejściowe 2 6 9 2" xfId="12138"/>
    <cellStyle name="Dane wejściowe 2 6 9 3" xfId="12139"/>
    <cellStyle name="Dane wejściowe 2 6 9 4" xfId="12140"/>
    <cellStyle name="Dane wejściowe 2 60" xfId="12141"/>
    <cellStyle name="Dane wejściowe 2 60 2" xfId="12142"/>
    <cellStyle name="Dane wejściowe 2 60 3" xfId="12143"/>
    <cellStyle name="Dane wejściowe 2 61" xfId="12144"/>
    <cellStyle name="Dane wejściowe 2 61 2" xfId="12145"/>
    <cellStyle name="Dane wejściowe 2 61 3" xfId="12146"/>
    <cellStyle name="Dane wejściowe 2 62" xfId="12147"/>
    <cellStyle name="Dane wejściowe 2 62 2" xfId="12148"/>
    <cellStyle name="Dane wejściowe 2 62 3" xfId="12149"/>
    <cellStyle name="Dane wejściowe 2 63" xfId="12150"/>
    <cellStyle name="Dane wejściowe 2 63 2" xfId="12151"/>
    <cellStyle name="Dane wejściowe 2 63 3" xfId="12152"/>
    <cellStyle name="Dane wejściowe 2 64" xfId="12153"/>
    <cellStyle name="Dane wejściowe 2 64 2" xfId="12154"/>
    <cellStyle name="Dane wejściowe 2 64 3" xfId="12155"/>
    <cellStyle name="Dane wejściowe 2 65" xfId="12156"/>
    <cellStyle name="Dane wejściowe 2 65 2" xfId="12157"/>
    <cellStyle name="Dane wejściowe 2 65 3" xfId="12158"/>
    <cellStyle name="Dane wejściowe 2 66" xfId="12159"/>
    <cellStyle name="Dane wejściowe 2 66 2" xfId="12160"/>
    <cellStyle name="Dane wejściowe 2 66 3" xfId="12161"/>
    <cellStyle name="Dane wejściowe 2 67" xfId="12162"/>
    <cellStyle name="Dane wejściowe 2 67 2" xfId="12163"/>
    <cellStyle name="Dane wejściowe 2 67 3" xfId="12164"/>
    <cellStyle name="Dane wejściowe 2 68" xfId="12165"/>
    <cellStyle name="Dane wejściowe 2 68 2" xfId="12166"/>
    <cellStyle name="Dane wejściowe 2 68 3" xfId="12167"/>
    <cellStyle name="Dane wejściowe 2 69" xfId="12168"/>
    <cellStyle name="Dane wejściowe 2 69 2" xfId="12169"/>
    <cellStyle name="Dane wejściowe 2 69 3" xfId="12170"/>
    <cellStyle name="Dane wejściowe 2 7" xfId="12171"/>
    <cellStyle name="Dane wejściowe 2 7 10" xfId="12172"/>
    <cellStyle name="Dane wejściowe 2 7 10 2" xfId="12173"/>
    <cellStyle name="Dane wejściowe 2 7 10 3" xfId="12174"/>
    <cellStyle name="Dane wejściowe 2 7 10 4" xfId="12175"/>
    <cellStyle name="Dane wejściowe 2 7 11" xfId="12176"/>
    <cellStyle name="Dane wejściowe 2 7 11 2" xfId="12177"/>
    <cellStyle name="Dane wejściowe 2 7 11 3" xfId="12178"/>
    <cellStyle name="Dane wejściowe 2 7 11 4" xfId="12179"/>
    <cellStyle name="Dane wejściowe 2 7 12" xfId="12180"/>
    <cellStyle name="Dane wejściowe 2 7 12 2" xfId="12181"/>
    <cellStyle name="Dane wejściowe 2 7 12 3" xfId="12182"/>
    <cellStyle name="Dane wejściowe 2 7 12 4" xfId="12183"/>
    <cellStyle name="Dane wejściowe 2 7 13" xfId="12184"/>
    <cellStyle name="Dane wejściowe 2 7 13 2" xfId="12185"/>
    <cellStyle name="Dane wejściowe 2 7 13 3" xfId="12186"/>
    <cellStyle name="Dane wejściowe 2 7 13 4" xfId="12187"/>
    <cellStyle name="Dane wejściowe 2 7 14" xfId="12188"/>
    <cellStyle name="Dane wejściowe 2 7 14 2" xfId="12189"/>
    <cellStyle name="Dane wejściowe 2 7 14 3" xfId="12190"/>
    <cellStyle name="Dane wejściowe 2 7 14 4" xfId="12191"/>
    <cellStyle name="Dane wejściowe 2 7 15" xfId="12192"/>
    <cellStyle name="Dane wejściowe 2 7 15 2" xfId="12193"/>
    <cellStyle name="Dane wejściowe 2 7 15 3" xfId="12194"/>
    <cellStyle name="Dane wejściowe 2 7 15 4" xfId="12195"/>
    <cellStyle name="Dane wejściowe 2 7 16" xfId="12196"/>
    <cellStyle name="Dane wejściowe 2 7 16 2" xfId="12197"/>
    <cellStyle name="Dane wejściowe 2 7 16 3" xfId="12198"/>
    <cellStyle name="Dane wejściowe 2 7 16 4" xfId="12199"/>
    <cellStyle name="Dane wejściowe 2 7 17" xfId="12200"/>
    <cellStyle name="Dane wejściowe 2 7 17 2" xfId="12201"/>
    <cellStyle name="Dane wejściowe 2 7 17 3" xfId="12202"/>
    <cellStyle name="Dane wejściowe 2 7 17 4" xfId="12203"/>
    <cellStyle name="Dane wejściowe 2 7 18" xfId="12204"/>
    <cellStyle name="Dane wejściowe 2 7 18 2" xfId="12205"/>
    <cellStyle name="Dane wejściowe 2 7 18 3" xfId="12206"/>
    <cellStyle name="Dane wejściowe 2 7 18 4" xfId="12207"/>
    <cellStyle name="Dane wejściowe 2 7 19" xfId="12208"/>
    <cellStyle name="Dane wejściowe 2 7 19 2" xfId="12209"/>
    <cellStyle name="Dane wejściowe 2 7 19 3" xfId="12210"/>
    <cellStyle name="Dane wejściowe 2 7 19 4" xfId="12211"/>
    <cellStyle name="Dane wejściowe 2 7 2" xfId="12212"/>
    <cellStyle name="Dane wejściowe 2 7 2 2" xfId="12213"/>
    <cellStyle name="Dane wejściowe 2 7 2 3" xfId="12214"/>
    <cellStyle name="Dane wejściowe 2 7 2 4" xfId="12215"/>
    <cellStyle name="Dane wejściowe 2 7 20" xfId="12216"/>
    <cellStyle name="Dane wejściowe 2 7 20 2" xfId="12217"/>
    <cellStyle name="Dane wejściowe 2 7 20 3" xfId="12218"/>
    <cellStyle name="Dane wejściowe 2 7 20 4" xfId="12219"/>
    <cellStyle name="Dane wejściowe 2 7 21" xfId="12220"/>
    <cellStyle name="Dane wejściowe 2 7 21 2" xfId="12221"/>
    <cellStyle name="Dane wejściowe 2 7 21 3" xfId="12222"/>
    <cellStyle name="Dane wejściowe 2 7 22" xfId="12223"/>
    <cellStyle name="Dane wejściowe 2 7 22 2" xfId="12224"/>
    <cellStyle name="Dane wejściowe 2 7 22 3" xfId="12225"/>
    <cellStyle name="Dane wejściowe 2 7 23" xfId="12226"/>
    <cellStyle name="Dane wejściowe 2 7 23 2" xfId="12227"/>
    <cellStyle name="Dane wejściowe 2 7 23 3" xfId="12228"/>
    <cellStyle name="Dane wejściowe 2 7 24" xfId="12229"/>
    <cellStyle name="Dane wejściowe 2 7 24 2" xfId="12230"/>
    <cellStyle name="Dane wejściowe 2 7 24 3" xfId="12231"/>
    <cellStyle name="Dane wejściowe 2 7 25" xfId="12232"/>
    <cellStyle name="Dane wejściowe 2 7 25 2" xfId="12233"/>
    <cellStyle name="Dane wejściowe 2 7 25 3" xfId="12234"/>
    <cellStyle name="Dane wejściowe 2 7 26" xfId="12235"/>
    <cellStyle name="Dane wejściowe 2 7 26 2" xfId="12236"/>
    <cellStyle name="Dane wejściowe 2 7 26 3" xfId="12237"/>
    <cellStyle name="Dane wejściowe 2 7 27" xfId="12238"/>
    <cellStyle name="Dane wejściowe 2 7 27 2" xfId="12239"/>
    <cellStyle name="Dane wejściowe 2 7 27 3" xfId="12240"/>
    <cellStyle name="Dane wejściowe 2 7 28" xfId="12241"/>
    <cellStyle name="Dane wejściowe 2 7 28 2" xfId="12242"/>
    <cellStyle name="Dane wejściowe 2 7 28 3" xfId="12243"/>
    <cellStyle name="Dane wejściowe 2 7 29" xfId="12244"/>
    <cellStyle name="Dane wejściowe 2 7 29 2" xfId="12245"/>
    <cellStyle name="Dane wejściowe 2 7 29 3" xfId="12246"/>
    <cellStyle name="Dane wejściowe 2 7 3" xfId="12247"/>
    <cellStyle name="Dane wejściowe 2 7 3 2" xfId="12248"/>
    <cellStyle name="Dane wejściowe 2 7 3 3" xfId="12249"/>
    <cellStyle name="Dane wejściowe 2 7 3 4" xfId="12250"/>
    <cellStyle name="Dane wejściowe 2 7 30" xfId="12251"/>
    <cellStyle name="Dane wejściowe 2 7 30 2" xfId="12252"/>
    <cellStyle name="Dane wejściowe 2 7 30 3" xfId="12253"/>
    <cellStyle name="Dane wejściowe 2 7 31" xfId="12254"/>
    <cellStyle name="Dane wejściowe 2 7 31 2" xfId="12255"/>
    <cellStyle name="Dane wejściowe 2 7 31 3" xfId="12256"/>
    <cellStyle name="Dane wejściowe 2 7 32" xfId="12257"/>
    <cellStyle name="Dane wejściowe 2 7 32 2" xfId="12258"/>
    <cellStyle name="Dane wejściowe 2 7 32 3" xfId="12259"/>
    <cellStyle name="Dane wejściowe 2 7 33" xfId="12260"/>
    <cellStyle name="Dane wejściowe 2 7 33 2" xfId="12261"/>
    <cellStyle name="Dane wejściowe 2 7 33 3" xfId="12262"/>
    <cellStyle name="Dane wejściowe 2 7 34" xfId="12263"/>
    <cellStyle name="Dane wejściowe 2 7 34 2" xfId="12264"/>
    <cellStyle name="Dane wejściowe 2 7 34 3" xfId="12265"/>
    <cellStyle name="Dane wejściowe 2 7 35" xfId="12266"/>
    <cellStyle name="Dane wejściowe 2 7 35 2" xfId="12267"/>
    <cellStyle name="Dane wejściowe 2 7 35 3" xfId="12268"/>
    <cellStyle name="Dane wejściowe 2 7 36" xfId="12269"/>
    <cellStyle name="Dane wejściowe 2 7 36 2" xfId="12270"/>
    <cellStyle name="Dane wejściowe 2 7 36 3" xfId="12271"/>
    <cellStyle name="Dane wejściowe 2 7 37" xfId="12272"/>
    <cellStyle name="Dane wejściowe 2 7 37 2" xfId="12273"/>
    <cellStyle name="Dane wejściowe 2 7 37 3" xfId="12274"/>
    <cellStyle name="Dane wejściowe 2 7 38" xfId="12275"/>
    <cellStyle name="Dane wejściowe 2 7 38 2" xfId="12276"/>
    <cellStyle name="Dane wejściowe 2 7 38 3" xfId="12277"/>
    <cellStyle name="Dane wejściowe 2 7 39" xfId="12278"/>
    <cellStyle name="Dane wejściowe 2 7 39 2" xfId="12279"/>
    <cellStyle name="Dane wejściowe 2 7 39 3" xfId="12280"/>
    <cellStyle name="Dane wejściowe 2 7 4" xfId="12281"/>
    <cellStyle name="Dane wejściowe 2 7 4 2" xfId="12282"/>
    <cellStyle name="Dane wejściowe 2 7 4 3" xfId="12283"/>
    <cellStyle name="Dane wejściowe 2 7 4 4" xfId="12284"/>
    <cellStyle name="Dane wejściowe 2 7 40" xfId="12285"/>
    <cellStyle name="Dane wejściowe 2 7 40 2" xfId="12286"/>
    <cellStyle name="Dane wejściowe 2 7 40 3" xfId="12287"/>
    <cellStyle name="Dane wejściowe 2 7 41" xfId="12288"/>
    <cellStyle name="Dane wejściowe 2 7 41 2" xfId="12289"/>
    <cellStyle name="Dane wejściowe 2 7 41 3" xfId="12290"/>
    <cellStyle name="Dane wejściowe 2 7 42" xfId="12291"/>
    <cellStyle name="Dane wejściowe 2 7 42 2" xfId="12292"/>
    <cellStyle name="Dane wejściowe 2 7 42 3" xfId="12293"/>
    <cellStyle name="Dane wejściowe 2 7 43" xfId="12294"/>
    <cellStyle name="Dane wejściowe 2 7 43 2" xfId="12295"/>
    <cellStyle name="Dane wejściowe 2 7 43 3" xfId="12296"/>
    <cellStyle name="Dane wejściowe 2 7 44" xfId="12297"/>
    <cellStyle name="Dane wejściowe 2 7 44 2" xfId="12298"/>
    <cellStyle name="Dane wejściowe 2 7 44 3" xfId="12299"/>
    <cellStyle name="Dane wejściowe 2 7 45" xfId="12300"/>
    <cellStyle name="Dane wejściowe 2 7 45 2" xfId="12301"/>
    <cellStyle name="Dane wejściowe 2 7 45 3" xfId="12302"/>
    <cellStyle name="Dane wejściowe 2 7 46" xfId="12303"/>
    <cellStyle name="Dane wejściowe 2 7 46 2" xfId="12304"/>
    <cellStyle name="Dane wejściowe 2 7 46 3" xfId="12305"/>
    <cellStyle name="Dane wejściowe 2 7 47" xfId="12306"/>
    <cellStyle name="Dane wejściowe 2 7 47 2" xfId="12307"/>
    <cellStyle name="Dane wejściowe 2 7 47 3" xfId="12308"/>
    <cellStyle name="Dane wejściowe 2 7 48" xfId="12309"/>
    <cellStyle name="Dane wejściowe 2 7 48 2" xfId="12310"/>
    <cellStyle name="Dane wejściowe 2 7 48 3" xfId="12311"/>
    <cellStyle name="Dane wejściowe 2 7 49" xfId="12312"/>
    <cellStyle name="Dane wejściowe 2 7 49 2" xfId="12313"/>
    <cellStyle name="Dane wejściowe 2 7 49 3" xfId="12314"/>
    <cellStyle name="Dane wejściowe 2 7 5" xfId="12315"/>
    <cellStyle name="Dane wejściowe 2 7 5 2" xfId="12316"/>
    <cellStyle name="Dane wejściowe 2 7 5 3" xfId="12317"/>
    <cellStyle name="Dane wejściowe 2 7 5 4" xfId="12318"/>
    <cellStyle name="Dane wejściowe 2 7 50" xfId="12319"/>
    <cellStyle name="Dane wejściowe 2 7 50 2" xfId="12320"/>
    <cellStyle name="Dane wejściowe 2 7 50 3" xfId="12321"/>
    <cellStyle name="Dane wejściowe 2 7 51" xfId="12322"/>
    <cellStyle name="Dane wejściowe 2 7 51 2" xfId="12323"/>
    <cellStyle name="Dane wejściowe 2 7 51 3" xfId="12324"/>
    <cellStyle name="Dane wejściowe 2 7 52" xfId="12325"/>
    <cellStyle name="Dane wejściowe 2 7 52 2" xfId="12326"/>
    <cellStyle name="Dane wejściowe 2 7 52 3" xfId="12327"/>
    <cellStyle name="Dane wejściowe 2 7 53" xfId="12328"/>
    <cellStyle name="Dane wejściowe 2 7 53 2" xfId="12329"/>
    <cellStyle name="Dane wejściowe 2 7 53 3" xfId="12330"/>
    <cellStyle name="Dane wejściowe 2 7 54" xfId="12331"/>
    <cellStyle name="Dane wejściowe 2 7 54 2" xfId="12332"/>
    <cellStyle name="Dane wejściowe 2 7 54 3" xfId="12333"/>
    <cellStyle name="Dane wejściowe 2 7 55" xfId="12334"/>
    <cellStyle name="Dane wejściowe 2 7 55 2" xfId="12335"/>
    <cellStyle name="Dane wejściowe 2 7 55 3" xfId="12336"/>
    <cellStyle name="Dane wejściowe 2 7 56" xfId="12337"/>
    <cellStyle name="Dane wejściowe 2 7 56 2" xfId="12338"/>
    <cellStyle name="Dane wejściowe 2 7 56 3" xfId="12339"/>
    <cellStyle name="Dane wejściowe 2 7 57" xfId="12340"/>
    <cellStyle name="Dane wejściowe 2 7 58" xfId="12341"/>
    <cellStyle name="Dane wejściowe 2 7 6" xfId="12342"/>
    <cellStyle name="Dane wejściowe 2 7 6 2" xfId="12343"/>
    <cellStyle name="Dane wejściowe 2 7 6 3" xfId="12344"/>
    <cellStyle name="Dane wejściowe 2 7 6 4" xfId="12345"/>
    <cellStyle name="Dane wejściowe 2 7 7" xfId="12346"/>
    <cellStyle name="Dane wejściowe 2 7 7 2" xfId="12347"/>
    <cellStyle name="Dane wejściowe 2 7 7 3" xfId="12348"/>
    <cellStyle name="Dane wejściowe 2 7 7 4" xfId="12349"/>
    <cellStyle name="Dane wejściowe 2 7 8" xfId="12350"/>
    <cellStyle name="Dane wejściowe 2 7 8 2" xfId="12351"/>
    <cellStyle name="Dane wejściowe 2 7 8 3" xfId="12352"/>
    <cellStyle name="Dane wejściowe 2 7 8 4" xfId="12353"/>
    <cellStyle name="Dane wejściowe 2 7 9" xfId="12354"/>
    <cellStyle name="Dane wejściowe 2 7 9 2" xfId="12355"/>
    <cellStyle name="Dane wejściowe 2 7 9 3" xfId="12356"/>
    <cellStyle name="Dane wejściowe 2 7 9 4" xfId="12357"/>
    <cellStyle name="Dane wejściowe 2 70" xfId="12358"/>
    <cellStyle name="Dane wejściowe 2 70 2" xfId="12359"/>
    <cellStyle name="Dane wejściowe 2 70 3" xfId="12360"/>
    <cellStyle name="Dane wejściowe 2 71" xfId="12361"/>
    <cellStyle name="Dane wejściowe 2 71 2" xfId="12362"/>
    <cellStyle name="Dane wejściowe 2 71 3" xfId="12363"/>
    <cellStyle name="Dane wejściowe 2 72" xfId="12364"/>
    <cellStyle name="Dane wejściowe 2 72 2" xfId="12365"/>
    <cellStyle name="Dane wejściowe 2 72 3" xfId="12366"/>
    <cellStyle name="Dane wejściowe 2 73" xfId="12367"/>
    <cellStyle name="Dane wejściowe 2 73 2" xfId="12368"/>
    <cellStyle name="Dane wejściowe 2 73 3" xfId="12369"/>
    <cellStyle name="Dane wejściowe 2 74" xfId="12370"/>
    <cellStyle name="Dane wejściowe 2 74 2" xfId="12371"/>
    <cellStyle name="Dane wejściowe 2 74 3" xfId="12372"/>
    <cellStyle name="Dane wejściowe 2 75" xfId="12373"/>
    <cellStyle name="Dane wejściowe 2 75 2" xfId="12374"/>
    <cellStyle name="Dane wejściowe 2 75 3" xfId="12375"/>
    <cellStyle name="Dane wejściowe 2 76" xfId="12376"/>
    <cellStyle name="Dane wejściowe 2 76 2" xfId="12377"/>
    <cellStyle name="Dane wejściowe 2 76 3" xfId="12378"/>
    <cellStyle name="Dane wejściowe 2 77" xfId="12379"/>
    <cellStyle name="Dane wejściowe 2 77 2" xfId="12380"/>
    <cellStyle name="Dane wejściowe 2 77 3" xfId="12381"/>
    <cellStyle name="Dane wejściowe 2 78" xfId="12382"/>
    <cellStyle name="Dane wejściowe 2 78 2" xfId="12383"/>
    <cellStyle name="Dane wejściowe 2 78 3" xfId="12384"/>
    <cellStyle name="Dane wejściowe 2 79" xfId="12385"/>
    <cellStyle name="Dane wejściowe 2 79 2" xfId="12386"/>
    <cellStyle name="Dane wejściowe 2 79 3" xfId="12387"/>
    <cellStyle name="Dane wejściowe 2 8" xfId="12388"/>
    <cellStyle name="Dane wejściowe 2 8 10" xfId="12389"/>
    <cellStyle name="Dane wejściowe 2 8 10 2" xfId="12390"/>
    <cellStyle name="Dane wejściowe 2 8 10 3" xfId="12391"/>
    <cellStyle name="Dane wejściowe 2 8 10 4" xfId="12392"/>
    <cellStyle name="Dane wejściowe 2 8 11" xfId="12393"/>
    <cellStyle name="Dane wejściowe 2 8 11 2" xfId="12394"/>
    <cellStyle name="Dane wejściowe 2 8 11 3" xfId="12395"/>
    <cellStyle name="Dane wejściowe 2 8 11 4" xfId="12396"/>
    <cellStyle name="Dane wejściowe 2 8 12" xfId="12397"/>
    <cellStyle name="Dane wejściowe 2 8 12 2" xfId="12398"/>
    <cellStyle name="Dane wejściowe 2 8 12 3" xfId="12399"/>
    <cellStyle name="Dane wejściowe 2 8 12 4" xfId="12400"/>
    <cellStyle name="Dane wejściowe 2 8 13" xfId="12401"/>
    <cellStyle name="Dane wejściowe 2 8 13 2" xfId="12402"/>
    <cellStyle name="Dane wejściowe 2 8 13 3" xfId="12403"/>
    <cellStyle name="Dane wejściowe 2 8 13 4" xfId="12404"/>
    <cellStyle name="Dane wejściowe 2 8 14" xfId="12405"/>
    <cellStyle name="Dane wejściowe 2 8 14 2" xfId="12406"/>
    <cellStyle name="Dane wejściowe 2 8 14 3" xfId="12407"/>
    <cellStyle name="Dane wejściowe 2 8 14 4" xfId="12408"/>
    <cellStyle name="Dane wejściowe 2 8 15" xfId="12409"/>
    <cellStyle name="Dane wejściowe 2 8 15 2" xfId="12410"/>
    <cellStyle name="Dane wejściowe 2 8 15 3" xfId="12411"/>
    <cellStyle name="Dane wejściowe 2 8 15 4" xfId="12412"/>
    <cellStyle name="Dane wejściowe 2 8 16" xfId="12413"/>
    <cellStyle name="Dane wejściowe 2 8 16 2" xfId="12414"/>
    <cellStyle name="Dane wejściowe 2 8 16 3" xfId="12415"/>
    <cellStyle name="Dane wejściowe 2 8 16 4" xfId="12416"/>
    <cellStyle name="Dane wejściowe 2 8 17" xfId="12417"/>
    <cellStyle name="Dane wejściowe 2 8 17 2" xfId="12418"/>
    <cellStyle name="Dane wejściowe 2 8 17 3" xfId="12419"/>
    <cellStyle name="Dane wejściowe 2 8 17 4" xfId="12420"/>
    <cellStyle name="Dane wejściowe 2 8 18" xfId="12421"/>
    <cellStyle name="Dane wejściowe 2 8 18 2" xfId="12422"/>
    <cellStyle name="Dane wejściowe 2 8 18 3" xfId="12423"/>
    <cellStyle name="Dane wejściowe 2 8 18 4" xfId="12424"/>
    <cellStyle name="Dane wejściowe 2 8 19" xfId="12425"/>
    <cellStyle name="Dane wejściowe 2 8 19 2" xfId="12426"/>
    <cellStyle name="Dane wejściowe 2 8 19 3" xfId="12427"/>
    <cellStyle name="Dane wejściowe 2 8 19 4" xfId="12428"/>
    <cellStyle name="Dane wejściowe 2 8 2" xfId="12429"/>
    <cellStyle name="Dane wejściowe 2 8 2 2" xfId="12430"/>
    <cellStyle name="Dane wejściowe 2 8 2 3" xfId="12431"/>
    <cellStyle name="Dane wejściowe 2 8 2 4" xfId="12432"/>
    <cellStyle name="Dane wejściowe 2 8 20" xfId="12433"/>
    <cellStyle name="Dane wejściowe 2 8 20 2" xfId="12434"/>
    <cellStyle name="Dane wejściowe 2 8 20 3" xfId="12435"/>
    <cellStyle name="Dane wejściowe 2 8 20 4" xfId="12436"/>
    <cellStyle name="Dane wejściowe 2 8 21" xfId="12437"/>
    <cellStyle name="Dane wejściowe 2 8 21 2" xfId="12438"/>
    <cellStyle name="Dane wejściowe 2 8 21 3" xfId="12439"/>
    <cellStyle name="Dane wejściowe 2 8 22" xfId="12440"/>
    <cellStyle name="Dane wejściowe 2 8 22 2" xfId="12441"/>
    <cellStyle name="Dane wejściowe 2 8 22 3" xfId="12442"/>
    <cellStyle name="Dane wejściowe 2 8 23" xfId="12443"/>
    <cellStyle name="Dane wejściowe 2 8 23 2" xfId="12444"/>
    <cellStyle name="Dane wejściowe 2 8 23 3" xfId="12445"/>
    <cellStyle name="Dane wejściowe 2 8 24" xfId="12446"/>
    <cellStyle name="Dane wejściowe 2 8 24 2" xfId="12447"/>
    <cellStyle name="Dane wejściowe 2 8 24 3" xfId="12448"/>
    <cellStyle name="Dane wejściowe 2 8 25" xfId="12449"/>
    <cellStyle name="Dane wejściowe 2 8 25 2" xfId="12450"/>
    <cellStyle name="Dane wejściowe 2 8 25 3" xfId="12451"/>
    <cellStyle name="Dane wejściowe 2 8 26" xfId="12452"/>
    <cellStyle name="Dane wejściowe 2 8 26 2" xfId="12453"/>
    <cellStyle name="Dane wejściowe 2 8 26 3" xfId="12454"/>
    <cellStyle name="Dane wejściowe 2 8 27" xfId="12455"/>
    <cellStyle name="Dane wejściowe 2 8 27 2" xfId="12456"/>
    <cellStyle name="Dane wejściowe 2 8 27 3" xfId="12457"/>
    <cellStyle name="Dane wejściowe 2 8 28" xfId="12458"/>
    <cellStyle name="Dane wejściowe 2 8 28 2" xfId="12459"/>
    <cellStyle name="Dane wejściowe 2 8 28 3" xfId="12460"/>
    <cellStyle name="Dane wejściowe 2 8 29" xfId="12461"/>
    <cellStyle name="Dane wejściowe 2 8 29 2" xfId="12462"/>
    <cellStyle name="Dane wejściowe 2 8 29 3" xfId="12463"/>
    <cellStyle name="Dane wejściowe 2 8 3" xfId="12464"/>
    <cellStyle name="Dane wejściowe 2 8 3 2" xfId="12465"/>
    <cellStyle name="Dane wejściowe 2 8 3 3" xfId="12466"/>
    <cellStyle name="Dane wejściowe 2 8 3 4" xfId="12467"/>
    <cellStyle name="Dane wejściowe 2 8 30" xfId="12468"/>
    <cellStyle name="Dane wejściowe 2 8 30 2" xfId="12469"/>
    <cellStyle name="Dane wejściowe 2 8 30 3" xfId="12470"/>
    <cellStyle name="Dane wejściowe 2 8 31" xfId="12471"/>
    <cellStyle name="Dane wejściowe 2 8 31 2" xfId="12472"/>
    <cellStyle name="Dane wejściowe 2 8 31 3" xfId="12473"/>
    <cellStyle name="Dane wejściowe 2 8 32" xfId="12474"/>
    <cellStyle name="Dane wejściowe 2 8 32 2" xfId="12475"/>
    <cellStyle name="Dane wejściowe 2 8 32 3" xfId="12476"/>
    <cellStyle name="Dane wejściowe 2 8 33" xfId="12477"/>
    <cellStyle name="Dane wejściowe 2 8 33 2" xfId="12478"/>
    <cellStyle name="Dane wejściowe 2 8 33 3" xfId="12479"/>
    <cellStyle name="Dane wejściowe 2 8 34" xfId="12480"/>
    <cellStyle name="Dane wejściowe 2 8 34 2" xfId="12481"/>
    <cellStyle name="Dane wejściowe 2 8 34 3" xfId="12482"/>
    <cellStyle name="Dane wejściowe 2 8 35" xfId="12483"/>
    <cellStyle name="Dane wejściowe 2 8 35 2" xfId="12484"/>
    <cellStyle name="Dane wejściowe 2 8 35 3" xfId="12485"/>
    <cellStyle name="Dane wejściowe 2 8 36" xfId="12486"/>
    <cellStyle name="Dane wejściowe 2 8 36 2" xfId="12487"/>
    <cellStyle name="Dane wejściowe 2 8 36 3" xfId="12488"/>
    <cellStyle name="Dane wejściowe 2 8 37" xfId="12489"/>
    <cellStyle name="Dane wejściowe 2 8 37 2" xfId="12490"/>
    <cellStyle name="Dane wejściowe 2 8 37 3" xfId="12491"/>
    <cellStyle name="Dane wejściowe 2 8 38" xfId="12492"/>
    <cellStyle name="Dane wejściowe 2 8 38 2" xfId="12493"/>
    <cellStyle name="Dane wejściowe 2 8 38 3" xfId="12494"/>
    <cellStyle name="Dane wejściowe 2 8 39" xfId="12495"/>
    <cellStyle name="Dane wejściowe 2 8 39 2" xfId="12496"/>
    <cellStyle name="Dane wejściowe 2 8 39 3" xfId="12497"/>
    <cellStyle name="Dane wejściowe 2 8 4" xfId="12498"/>
    <cellStyle name="Dane wejściowe 2 8 4 2" xfId="12499"/>
    <cellStyle name="Dane wejściowe 2 8 4 3" xfId="12500"/>
    <cellStyle name="Dane wejściowe 2 8 4 4" xfId="12501"/>
    <cellStyle name="Dane wejściowe 2 8 40" xfId="12502"/>
    <cellStyle name="Dane wejściowe 2 8 40 2" xfId="12503"/>
    <cellStyle name="Dane wejściowe 2 8 40 3" xfId="12504"/>
    <cellStyle name="Dane wejściowe 2 8 41" xfId="12505"/>
    <cellStyle name="Dane wejściowe 2 8 41 2" xfId="12506"/>
    <cellStyle name="Dane wejściowe 2 8 41 3" xfId="12507"/>
    <cellStyle name="Dane wejściowe 2 8 42" xfId="12508"/>
    <cellStyle name="Dane wejściowe 2 8 42 2" xfId="12509"/>
    <cellStyle name="Dane wejściowe 2 8 42 3" xfId="12510"/>
    <cellStyle name="Dane wejściowe 2 8 43" xfId="12511"/>
    <cellStyle name="Dane wejściowe 2 8 43 2" xfId="12512"/>
    <cellStyle name="Dane wejściowe 2 8 43 3" xfId="12513"/>
    <cellStyle name="Dane wejściowe 2 8 44" xfId="12514"/>
    <cellStyle name="Dane wejściowe 2 8 44 2" xfId="12515"/>
    <cellStyle name="Dane wejściowe 2 8 44 3" xfId="12516"/>
    <cellStyle name="Dane wejściowe 2 8 45" xfId="12517"/>
    <cellStyle name="Dane wejściowe 2 8 45 2" xfId="12518"/>
    <cellStyle name="Dane wejściowe 2 8 45 3" xfId="12519"/>
    <cellStyle name="Dane wejściowe 2 8 46" xfId="12520"/>
    <cellStyle name="Dane wejściowe 2 8 46 2" xfId="12521"/>
    <cellStyle name="Dane wejściowe 2 8 46 3" xfId="12522"/>
    <cellStyle name="Dane wejściowe 2 8 47" xfId="12523"/>
    <cellStyle name="Dane wejściowe 2 8 47 2" xfId="12524"/>
    <cellStyle name="Dane wejściowe 2 8 47 3" xfId="12525"/>
    <cellStyle name="Dane wejściowe 2 8 48" xfId="12526"/>
    <cellStyle name="Dane wejściowe 2 8 48 2" xfId="12527"/>
    <cellStyle name="Dane wejściowe 2 8 48 3" xfId="12528"/>
    <cellStyle name="Dane wejściowe 2 8 49" xfId="12529"/>
    <cellStyle name="Dane wejściowe 2 8 49 2" xfId="12530"/>
    <cellStyle name="Dane wejściowe 2 8 49 3" xfId="12531"/>
    <cellStyle name="Dane wejściowe 2 8 5" xfId="12532"/>
    <cellStyle name="Dane wejściowe 2 8 5 2" xfId="12533"/>
    <cellStyle name="Dane wejściowe 2 8 5 3" xfId="12534"/>
    <cellStyle name="Dane wejściowe 2 8 5 4" xfId="12535"/>
    <cellStyle name="Dane wejściowe 2 8 50" xfId="12536"/>
    <cellStyle name="Dane wejściowe 2 8 50 2" xfId="12537"/>
    <cellStyle name="Dane wejściowe 2 8 50 3" xfId="12538"/>
    <cellStyle name="Dane wejściowe 2 8 51" xfId="12539"/>
    <cellStyle name="Dane wejściowe 2 8 51 2" xfId="12540"/>
    <cellStyle name="Dane wejściowe 2 8 51 3" xfId="12541"/>
    <cellStyle name="Dane wejściowe 2 8 52" xfId="12542"/>
    <cellStyle name="Dane wejściowe 2 8 52 2" xfId="12543"/>
    <cellStyle name="Dane wejściowe 2 8 52 3" xfId="12544"/>
    <cellStyle name="Dane wejściowe 2 8 53" xfId="12545"/>
    <cellStyle name="Dane wejściowe 2 8 53 2" xfId="12546"/>
    <cellStyle name="Dane wejściowe 2 8 53 3" xfId="12547"/>
    <cellStyle name="Dane wejściowe 2 8 54" xfId="12548"/>
    <cellStyle name="Dane wejściowe 2 8 54 2" xfId="12549"/>
    <cellStyle name="Dane wejściowe 2 8 54 3" xfId="12550"/>
    <cellStyle name="Dane wejściowe 2 8 55" xfId="12551"/>
    <cellStyle name="Dane wejściowe 2 8 55 2" xfId="12552"/>
    <cellStyle name="Dane wejściowe 2 8 55 3" xfId="12553"/>
    <cellStyle name="Dane wejściowe 2 8 56" xfId="12554"/>
    <cellStyle name="Dane wejściowe 2 8 56 2" xfId="12555"/>
    <cellStyle name="Dane wejściowe 2 8 56 3" xfId="12556"/>
    <cellStyle name="Dane wejściowe 2 8 57" xfId="12557"/>
    <cellStyle name="Dane wejściowe 2 8 58" xfId="12558"/>
    <cellStyle name="Dane wejściowe 2 8 6" xfId="12559"/>
    <cellStyle name="Dane wejściowe 2 8 6 2" xfId="12560"/>
    <cellStyle name="Dane wejściowe 2 8 6 3" xfId="12561"/>
    <cellStyle name="Dane wejściowe 2 8 6 4" xfId="12562"/>
    <cellStyle name="Dane wejściowe 2 8 7" xfId="12563"/>
    <cellStyle name="Dane wejściowe 2 8 7 2" xfId="12564"/>
    <cellStyle name="Dane wejściowe 2 8 7 3" xfId="12565"/>
    <cellStyle name="Dane wejściowe 2 8 7 4" xfId="12566"/>
    <cellStyle name="Dane wejściowe 2 8 8" xfId="12567"/>
    <cellStyle name="Dane wejściowe 2 8 8 2" xfId="12568"/>
    <cellStyle name="Dane wejściowe 2 8 8 3" xfId="12569"/>
    <cellStyle name="Dane wejściowe 2 8 8 4" xfId="12570"/>
    <cellStyle name="Dane wejściowe 2 8 9" xfId="12571"/>
    <cellStyle name="Dane wejściowe 2 8 9 2" xfId="12572"/>
    <cellStyle name="Dane wejściowe 2 8 9 3" xfId="12573"/>
    <cellStyle name="Dane wejściowe 2 8 9 4" xfId="12574"/>
    <cellStyle name="Dane wejściowe 2 80" xfId="12575"/>
    <cellStyle name="Dane wejściowe 2 80 2" xfId="12576"/>
    <cellStyle name="Dane wejściowe 2 80 3" xfId="12577"/>
    <cellStyle name="Dane wejściowe 2 81" xfId="12578"/>
    <cellStyle name="Dane wejściowe 2 81 2" xfId="12579"/>
    <cellStyle name="Dane wejściowe 2 81 3" xfId="12580"/>
    <cellStyle name="Dane wejściowe 2 82" xfId="12581"/>
    <cellStyle name="Dane wejściowe 2 82 2" xfId="12582"/>
    <cellStyle name="Dane wejściowe 2 82 3" xfId="12583"/>
    <cellStyle name="Dane wejściowe 2 83" xfId="12584"/>
    <cellStyle name="Dane wejściowe 2 83 2" xfId="12585"/>
    <cellStyle name="Dane wejściowe 2 83 3" xfId="12586"/>
    <cellStyle name="Dane wejściowe 2 84" xfId="12587"/>
    <cellStyle name="Dane wejściowe 2 84 2" xfId="12588"/>
    <cellStyle name="Dane wejściowe 2 84 3" xfId="12589"/>
    <cellStyle name="Dane wejściowe 2 85" xfId="12590"/>
    <cellStyle name="Dane wejściowe 2 85 2" xfId="12591"/>
    <cellStyle name="Dane wejściowe 2 85 3" xfId="12592"/>
    <cellStyle name="Dane wejściowe 2 86" xfId="12593"/>
    <cellStyle name="Dane wejściowe 2 86 2" xfId="12594"/>
    <cellStyle name="Dane wejściowe 2 86 3" xfId="12595"/>
    <cellStyle name="Dane wejściowe 2 87" xfId="12596"/>
    <cellStyle name="Dane wejściowe 2 87 2" xfId="12597"/>
    <cellStyle name="Dane wejściowe 2 87 3" xfId="12598"/>
    <cellStyle name="Dane wejściowe 2 88" xfId="12599"/>
    <cellStyle name="Dane wejściowe 2 9" xfId="12600"/>
    <cellStyle name="Dane wejściowe 2 9 10" xfId="12601"/>
    <cellStyle name="Dane wejściowe 2 9 10 2" xfId="12602"/>
    <cellStyle name="Dane wejściowe 2 9 10 3" xfId="12603"/>
    <cellStyle name="Dane wejściowe 2 9 10 4" xfId="12604"/>
    <cellStyle name="Dane wejściowe 2 9 11" xfId="12605"/>
    <cellStyle name="Dane wejściowe 2 9 11 2" xfId="12606"/>
    <cellStyle name="Dane wejściowe 2 9 11 3" xfId="12607"/>
    <cellStyle name="Dane wejściowe 2 9 11 4" xfId="12608"/>
    <cellStyle name="Dane wejściowe 2 9 12" xfId="12609"/>
    <cellStyle name="Dane wejściowe 2 9 12 2" xfId="12610"/>
    <cellStyle name="Dane wejściowe 2 9 12 3" xfId="12611"/>
    <cellStyle name="Dane wejściowe 2 9 12 4" xfId="12612"/>
    <cellStyle name="Dane wejściowe 2 9 13" xfId="12613"/>
    <cellStyle name="Dane wejściowe 2 9 13 2" xfId="12614"/>
    <cellStyle name="Dane wejściowe 2 9 13 3" xfId="12615"/>
    <cellStyle name="Dane wejściowe 2 9 13 4" xfId="12616"/>
    <cellStyle name="Dane wejściowe 2 9 14" xfId="12617"/>
    <cellStyle name="Dane wejściowe 2 9 14 2" xfId="12618"/>
    <cellStyle name="Dane wejściowe 2 9 14 3" xfId="12619"/>
    <cellStyle name="Dane wejściowe 2 9 14 4" xfId="12620"/>
    <cellStyle name="Dane wejściowe 2 9 15" xfId="12621"/>
    <cellStyle name="Dane wejściowe 2 9 15 2" xfId="12622"/>
    <cellStyle name="Dane wejściowe 2 9 15 3" xfId="12623"/>
    <cellStyle name="Dane wejściowe 2 9 15 4" xfId="12624"/>
    <cellStyle name="Dane wejściowe 2 9 16" xfId="12625"/>
    <cellStyle name="Dane wejściowe 2 9 16 2" xfId="12626"/>
    <cellStyle name="Dane wejściowe 2 9 16 3" xfId="12627"/>
    <cellStyle name="Dane wejściowe 2 9 16 4" xfId="12628"/>
    <cellStyle name="Dane wejściowe 2 9 17" xfId="12629"/>
    <cellStyle name="Dane wejściowe 2 9 17 2" xfId="12630"/>
    <cellStyle name="Dane wejściowe 2 9 17 3" xfId="12631"/>
    <cellStyle name="Dane wejściowe 2 9 17 4" xfId="12632"/>
    <cellStyle name="Dane wejściowe 2 9 18" xfId="12633"/>
    <cellStyle name="Dane wejściowe 2 9 18 2" xfId="12634"/>
    <cellStyle name="Dane wejściowe 2 9 18 3" xfId="12635"/>
    <cellStyle name="Dane wejściowe 2 9 18 4" xfId="12636"/>
    <cellStyle name="Dane wejściowe 2 9 19" xfId="12637"/>
    <cellStyle name="Dane wejściowe 2 9 19 2" xfId="12638"/>
    <cellStyle name="Dane wejściowe 2 9 19 3" xfId="12639"/>
    <cellStyle name="Dane wejściowe 2 9 19 4" xfId="12640"/>
    <cellStyle name="Dane wejściowe 2 9 2" xfId="12641"/>
    <cellStyle name="Dane wejściowe 2 9 2 2" xfId="12642"/>
    <cellStyle name="Dane wejściowe 2 9 2 3" xfId="12643"/>
    <cellStyle name="Dane wejściowe 2 9 2 4" xfId="12644"/>
    <cellStyle name="Dane wejściowe 2 9 20" xfId="12645"/>
    <cellStyle name="Dane wejściowe 2 9 20 2" xfId="12646"/>
    <cellStyle name="Dane wejściowe 2 9 20 3" xfId="12647"/>
    <cellStyle name="Dane wejściowe 2 9 20 4" xfId="12648"/>
    <cellStyle name="Dane wejściowe 2 9 21" xfId="12649"/>
    <cellStyle name="Dane wejściowe 2 9 21 2" xfId="12650"/>
    <cellStyle name="Dane wejściowe 2 9 21 3" xfId="12651"/>
    <cellStyle name="Dane wejściowe 2 9 22" xfId="12652"/>
    <cellStyle name="Dane wejściowe 2 9 22 2" xfId="12653"/>
    <cellStyle name="Dane wejściowe 2 9 22 3" xfId="12654"/>
    <cellStyle name="Dane wejściowe 2 9 23" xfId="12655"/>
    <cellStyle name="Dane wejściowe 2 9 23 2" xfId="12656"/>
    <cellStyle name="Dane wejściowe 2 9 23 3" xfId="12657"/>
    <cellStyle name="Dane wejściowe 2 9 24" xfId="12658"/>
    <cellStyle name="Dane wejściowe 2 9 24 2" xfId="12659"/>
    <cellStyle name="Dane wejściowe 2 9 24 3" xfId="12660"/>
    <cellStyle name="Dane wejściowe 2 9 25" xfId="12661"/>
    <cellStyle name="Dane wejściowe 2 9 25 2" xfId="12662"/>
    <cellStyle name="Dane wejściowe 2 9 25 3" xfId="12663"/>
    <cellStyle name="Dane wejściowe 2 9 26" xfId="12664"/>
    <cellStyle name="Dane wejściowe 2 9 26 2" xfId="12665"/>
    <cellStyle name="Dane wejściowe 2 9 26 3" xfId="12666"/>
    <cellStyle name="Dane wejściowe 2 9 27" xfId="12667"/>
    <cellStyle name="Dane wejściowe 2 9 27 2" xfId="12668"/>
    <cellStyle name="Dane wejściowe 2 9 27 3" xfId="12669"/>
    <cellStyle name="Dane wejściowe 2 9 28" xfId="12670"/>
    <cellStyle name="Dane wejściowe 2 9 28 2" xfId="12671"/>
    <cellStyle name="Dane wejściowe 2 9 28 3" xfId="12672"/>
    <cellStyle name="Dane wejściowe 2 9 29" xfId="12673"/>
    <cellStyle name="Dane wejściowe 2 9 29 2" xfId="12674"/>
    <cellStyle name="Dane wejściowe 2 9 29 3" xfId="12675"/>
    <cellStyle name="Dane wejściowe 2 9 3" xfId="12676"/>
    <cellStyle name="Dane wejściowe 2 9 3 2" xfId="12677"/>
    <cellStyle name="Dane wejściowe 2 9 3 3" xfId="12678"/>
    <cellStyle name="Dane wejściowe 2 9 3 4" xfId="12679"/>
    <cellStyle name="Dane wejściowe 2 9 30" xfId="12680"/>
    <cellStyle name="Dane wejściowe 2 9 30 2" xfId="12681"/>
    <cellStyle name="Dane wejściowe 2 9 30 3" xfId="12682"/>
    <cellStyle name="Dane wejściowe 2 9 31" xfId="12683"/>
    <cellStyle name="Dane wejściowe 2 9 31 2" xfId="12684"/>
    <cellStyle name="Dane wejściowe 2 9 31 3" xfId="12685"/>
    <cellStyle name="Dane wejściowe 2 9 32" xfId="12686"/>
    <cellStyle name="Dane wejściowe 2 9 32 2" xfId="12687"/>
    <cellStyle name="Dane wejściowe 2 9 32 3" xfId="12688"/>
    <cellStyle name="Dane wejściowe 2 9 33" xfId="12689"/>
    <cellStyle name="Dane wejściowe 2 9 33 2" xfId="12690"/>
    <cellStyle name="Dane wejściowe 2 9 33 3" xfId="12691"/>
    <cellStyle name="Dane wejściowe 2 9 34" xfId="12692"/>
    <cellStyle name="Dane wejściowe 2 9 34 2" xfId="12693"/>
    <cellStyle name="Dane wejściowe 2 9 34 3" xfId="12694"/>
    <cellStyle name="Dane wejściowe 2 9 35" xfId="12695"/>
    <cellStyle name="Dane wejściowe 2 9 35 2" xfId="12696"/>
    <cellStyle name="Dane wejściowe 2 9 35 3" xfId="12697"/>
    <cellStyle name="Dane wejściowe 2 9 36" xfId="12698"/>
    <cellStyle name="Dane wejściowe 2 9 36 2" xfId="12699"/>
    <cellStyle name="Dane wejściowe 2 9 36 3" xfId="12700"/>
    <cellStyle name="Dane wejściowe 2 9 37" xfId="12701"/>
    <cellStyle name="Dane wejściowe 2 9 37 2" xfId="12702"/>
    <cellStyle name="Dane wejściowe 2 9 37 3" xfId="12703"/>
    <cellStyle name="Dane wejściowe 2 9 38" xfId="12704"/>
    <cellStyle name="Dane wejściowe 2 9 38 2" xfId="12705"/>
    <cellStyle name="Dane wejściowe 2 9 38 3" xfId="12706"/>
    <cellStyle name="Dane wejściowe 2 9 39" xfId="12707"/>
    <cellStyle name="Dane wejściowe 2 9 39 2" xfId="12708"/>
    <cellStyle name="Dane wejściowe 2 9 39 3" xfId="12709"/>
    <cellStyle name="Dane wejściowe 2 9 4" xfId="12710"/>
    <cellStyle name="Dane wejściowe 2 9 4 2" xfId="12711"/>
    <cellStyle name="Dane wejściowe 2 9 4 3" xfId="12712"/>
    <cellStyle name="Dane wejściowe 2 9 4 4" xfId="12713"/>
    <cellStyle name="Dane wejściowe 2 9 40" xfId="12714"/>
    <cellStyle name="Dane wejściowe 2 9 40 2" xfId="12715"/>
    <cellStyle name="Dane wejściowe 2 9 40 3" xfId="12716"/>
    <cellStyle name="Dane wejściowe 2 9 41" xfId="12717"/>
    <cellStyle name="Dane wejściowe 2 9 41 2" xfId="12718"/>
    <cellStyle name="Dane wejściowe 2 9 41 3" xfId="12719"/>
    <cellStyle name="Dane wejściowe 2 9 42" xfId="12720"/>
    <cellStyle name="Dane wejściowe 2 9 42 2" xfId="12721"/>
    <cellStyle name="Dane wejściowe 2 9 42 3" xfId="12722"/>
    <cellStyle name="Dane wejściowe 2 9 43" xfId="12723"/>
    <cellStyle name="Dane wejściowe 2 9 43 2" xfId="12724"/>
    <cellStyle name="Dane wejściowe 2 9 43 3" xfId="12725"/>
    <cellStyle name="Dane wejściowe 2 9 44" xfId="12726"/>
    <cellStyle name="Dane wejściowe 2 9 44 2" xfId="12727"/>
    <cellStyle name="Dane wejściowe 2 9 44 3" xfId="12728"/>
    <cellStyle name="Dane wejściowe 2 9 45" xfId="12729"/>
    <cellStyle name="Dane wejściowe 2 9 45 2" xfId="12730"/>
    <cellStyle name="Dane wejściowe 2 9 45 3" xfId="12731"/>
    <cellStyle name="Dane wejściowe 2 9 46" xfId="12732"/>
    <cellStyle name="Dane wejściowe 2 9 46 2" xfId="12733"/>
    <cellStyle name="Dane wejściowe 2 9 46 3" xfId="12734"/>
    <cellStyle name="Dane wejściowe 2 9 47" xfId="12735"/>
    <cellStyle name="Dane wejściowe 2 9 47 2" xfId="12736"/>
    <cellStyle name="Dane wejściowe 2 9 47 3" xfId="12737"/>
    <cellStyle name="Dane wejściowe 2 9 48" xfId="12738"/>
    <cellStyle name="Dane wejściowe 2 9 48 2" xfId="12739"/>
    <cellStyle name="Dane wejściowe 2 9 48 3" xfId="12740"/>
    <cellStyle name="Dane wejściowe 2 9 49" xfId="12741"/>
    <cellStyle name="Dane wejściowe 2 9 49 2" xfId="12742"/>
    <cellStyle name="Dane wejściowe 2 9 49 3" xfId="12743"/>
    <cellStyle name="Dane wejściowe 2 9 5" xfId="12744"/>
    <cellStyle name="Dane wejściowe 2 9 5 2" xfId="12745"/>
    <cellStyle name="Dane wejściowe 2 9 5 3" xfId="12746"/>
    <cellStyle name="Dane wejściowe 2 9 5 4" xfId="12747"/>
    <cellStyle name="Dane wejściowe 2 9 50" xfId="12748"/>
    <cellStyle name="Dane wejściowe 2 9 50 2" xfId="12749"/>
    <cellStyle name="Dane wejściowe 2 9 50 3" xfId="12750"/>
    <cellStyle name="Dane wejściowe 2 9 51" xfId="12751"/>
    <cellStyle name="Dane wejściowe 2 9 51 2" xfId="12752"/>
    <cellStyle name="Dane wejściowe 2 9 51 3" xfId="12753"/>
    <cellStyle name="Dane wejściowe 2 9 52" xfId="12754"/>
    <cellStyle name="Dane wejściowe 2 9 52 2" xfId="12755"/>
    <cellStyle name="Dane wejściowe 2 9 52 3" xfId="12756"/>
    <cellStyle name="Dane wejściowe 2 9 53" xfId="12757"/>
    <cellStyle name="Dane wejściowe 2 9 53 2" xfId="12758"/>
    <cellStyle name="Dane wejściowe 2 9 53 3" xfId="12759"/>
    <cellStyle name="Dane wejściowe 2 9 54" xfId="12760"/>
    <cellStyle name="Dane wejściowe 2 9 54 2" xfId="12761"/>
    <cellStyle name="Dane wejściowe 2 9 54 3" xfId="12762"/>
    <cellStyle name="Dane wejściowe 2 9 55" xfId="12763"/>
    <cellStyle name="Dane wejściowe 2 9 55 2" xfId="12764"/>
    <cellStyle name="Dane wejściowe 2 9 55 3" xfId="12765"/>
    <cellStyle name="Dane wejściowe 2 9 56" xfId="12766"/>
    <cellStyle name="Dane wejściowe 2 9 56 2" xfId="12767"/>
    <cellStyle name="Dane wejściowe 2 9 56 3" xfId="12768"/>
    <cellStyle name="Dane wejściowe 2 9 57" xfId="12769"/>
    <cellStyle name="Dane wejściowe 2 9 58" xfId="12770"/>
    <cellStyle name="Dane wejściowe 2 9 6" xfId="12771"/>
    <cellStyle name="Dane wejściowe 2 9 6 2" xfId="12772"/>
    <cellStyle name="Dane wejściowe 2 9 6 3" xfId="12773"/>
    <cellStyle name="Dane wejściowe 2 9 6 4" xfId="12774"/>
    <cellStyle name="Dane wejściowe 2 9 7" xfId="12775"/>
    <cellStyle name="Dane wejściowe 2 9 7 2" xfId="12776"/>
    <cellStyle name="Dane wejściowe 2 9 7 3" xfId="12777"/>
    <cellStyle name="Dane wejściowe 2 9 7 4" xfId="12778"/>
    <cellStyle name="Dane wejściowe 2 9 8" xfId="12779"/>
    <cellStyle name="Dane wejściowe 2 9 8 2" xfId="12780"/>
    <cellStyle name="Dane wejściowe 2 9 8 3" xfId="12781"/>
    <cellStyle name="Dane wejściowe 2 9 8 4" xfId="12782"/>
    <cellStyle name="Dane wejściowe 2 9 9" xfId="12783"/>
    <cellStyle name="Dane wejściowe 2 9 9 2" xfId="12784"/>
    <cellStyle name="Dane wejściowe 2 9 9 3" xfId="12785"/>
    <cellStyle name="Dane wejściowe 2 9 9 4" xfId="12786"/>
    <cellStyle name="Dane wejściowe 3" xfId="12787"/>
    <cellStyle name="Dane wejściowe 3 2" xfId="12788"/>
    <cellStyle name="Dane wejściowe 3 2 2" xfId="12789"/>
    <cellStyle name="Dane wejściowe 3 3" xfId="12790"/>
    <cellStyle name="Dane wejściowe 3 4" xfId="12791"/>
    <cellStyle name="Dane wejściowe 3 5" xfId="12792"/>
    <cellStyle name="Dane wejściowe 3 6" xfId="12793"/>
    <cellStyle name="Dane wejściowe 3 7" xfId="12794"/>
    <cellStyle name="Dane wejściowe 3 8" xfId="12795"/>
    <cellStyle name="Dane wejściowe 3 9" xfId="12796"/>
    <cellStyle name="Dane wejściowe 4" xfId="12797"/>
    <cellStyle name="Dane wejściowe 4 2" xfId="12798"/>
    <cellStyle name="Dane wejściowe 4 3" xfId="12799"/>
    <cellStyle name="Dane wejściowe 4 4" xfId="12800"/>
    <cellStyle name="Dane wejściowe 4 5" xfId="12801"/>
    <cellStyle name="Dane wejściowe 4 6" xfId="12802"/>
    <cellStyle name="Dane wejściowe 4 7" xfId="12803"/>
    <cellStyle name="Dane wejściowe 4 8" xfId="12804"/>
    <cellStyle name="Dane wejściowe 4 9" xfId="12805"/>
    <cellStyle name="Dane wejściowe 5" xfId="12806"/>
    <cellStyle name="Dane wejściowe 5 2" xfId="12807"/>
    <cellStyle name="Dane wejściowe 6" xfId="12808"/>
    <cellStyle name="Dane wejściowe 7" xfId="12809"/>
    <cellStyle name="Dane wyjściowe 2" xfId="12810"/>
    <cellStyle name="Dane wyjściowe 2 10" xfId="12811"/>
    <cellStyle name="Dane wyjściowe 2 10 10" xfId="12812"/>
    <cellStyle name="Dane wyjściowe 2 10 10 2" xfId="12813"/>
    <cellStyle name="Dane wyjściowe 2 10 10 3" xfId="12814"/>
    <cellStyle name="Dane wyjściowe 2 10 10 4" xfId="12815"/>
    <cellStyle name="Dane wyjściowe 2 10 11" xfId="12816"/>
    <cellStyle name="Dane wyjściowe 2 10 11 2" xfId="12817"/>
    <cellStyle name="Dane wyjściowe 2 10 11 3" xfId="12818"/>
    <cellStyle name="Dane wyjściowe 2 10 11 4" xfId="12819"/>
    <cellStyle name="Dane wyjściowe 2 10 12" xfId="12820"/>
    <cellStyle name="Dane wyjściowe 2 10 12 2" xfId="12821"/>
    <cellStyle name="Dane wyjściowe 2 10 12 3" xfId="12822"/>
    <cellStyle name="Dane wyjściowe 2 10 12 4" xfId="12823"/>
    <cellStyle name="Dane wyjściowe 2 10 13" xfId="12824"/>
    <cellStyle name="Dane wyjściowe 2 10 13 2" xfId="12825"/>
    <cellStyle name="Dane wyjściowe 2 10 13 3" xfId="12826"/>
    <cellStyle name="Dane wyjściowe 2 10 13 4" xfId="12827"/>
    <cellStyle name="Dane wyjściowe 2 10 14" xfId="12828"/>
    <cellStyle name="Dane wyjściowe 2 10 14 2" xfId="12829"/>
    <cellStyle name="Dane wyjściowe 2 10 14 3" xfId="12830"/>
    <cellStyle name="Dane wyjściowe 2 10 14 4" xfId="12831"/>
    <cellStyle name="Dane wyjściowe 2 10 15" xfId="12832"/>
    <cellStyle name="Dane wyjściowe 2 10 15 2" xfId="12833"/>
    <cellStyle name="Dane wyjściowe 2 10 15 3" xfId="12834"/>
    <cellStyle name="Dane wyjściowe 2 10 15 4" xfId="12835"/>
    <cellStyle name="Dane wyjściowe 2 10 16" xfId="12836"/>
    <cellStyle name="Dane wyjściowe 2 10 16 2" xfId="12837"/>
    <cellStyle name="Dane wyjściowe 2 10 16 3" xfId="12838"/>
    <cellStyle name="Dane wyjściowe 2 10 16 4" xfId="12839"/>
    <cellStyle name="Dane wyjściowe 2 10 17" xfId="12840"/>
    <cellStyle name="Dane wyjściowe 2 10 17 2" xfId="12841"/>
    <cellStyle name="Dane wyjściowe 2 10 17 3" xfId="12842"/>
    <cellStyle name="Dane wyjściowe 2 10 17 4" xfId="12843"/>
    <cellStyle name="Dane wyjściowe 2 10 18" xfId="12844"/>
    <cellStyle name="Dane wyjściowe 2 10 18 2" xfId="12845"/>
    <cellStyle name="Dane wyjściowe 2 10 18 3" xfId="12846"/>
    <cellStyle name="Dane wyjściowe 2 10 18 4" xfId="12847"/>
    <cellStyle name="Dane wyjściowe 2 10 19" xfId="12848"/>
    <cellStyle name="Dane wyjściowe 2 10 19 2" xfId="12849"/>
    <cellStyle name="Dane wyjściowe 2 10 19 3" xfId="12850"/>
    <cellStyle name="Dane wyjściowe 2 10 19 4" xfId="12851"/>
    <cellStyle name="Dane wyjściowe 2 10 2" xfId="12852"/>
    <cellStyle name="Dane wyjściowe 2 10 2 2" xfId="12853"/>
    <cellStyle name="Dane wyjściowe 2 10 2 3" xfId="12854"/>
    <cellStyle name="Dane wyjściowe 2 10 2 4" xfId="12855"/>
    <cellStyle name="Dane wyjściowe 2 10 20" xfId="12856"/>
    <cellStyle name="Dane wyjściowe 2 10 20 2" xfId="12857"/>
    <cellStyle name="Dane wyjściowe 2 10 20 3" xfId="12858"/>
    <cellStyle name="Dane wyjściowe 2 10 20 4" xfId="12859"/>
    <cellStyle name="Dane wyjściowe 2 10 21" xfId="12860"/>
    <cellStyle name="Dane wyjściowe 2 10 21 2" xfId="12861"/>
    <cellStyle name="Dane wyjściowe 2 10 21 3" xfId="12862"/>
    <cellStyle name="Dane wyjściowe 2 10 22" xfId="12863"/>
    <cellStyle name="Dane wyjściowe 2 10 22 2" xfId="12864"/>
    <cellStyle name="Dane wyjściowe 2 10 22 3" xfId="12865"/>
    <cellStyle name="Dane wyjściowe 2 10 23" xfId="12866"/>
    <cellStyle name="Dane wyjściowe 2 10 23 2" xfId="12867"/>
    <cellStyle name="Dane wyjściowe 2 10 23 3" xfId="12868"/>
    <cellStyle name="Dane wyjściowe 2 10 24" xfId="12869"/>
    <cellStyle name="Dane wyjściowe 2 10 24 2" xfId="12870"/>
    <cellStyle name="Dane wyjściowe 2 10 24 3" xfId="12871"/>
    <cellStyle name="Dane wyjściowe 2 10 25" xfId="12872"/>
    <cellStyle name="Dane wyjściowe 2 10 25 2" xfId="12873"/>
    <cellStyle name="Dane wyjściowe 2 10 25 3" xfId="12874"/>
    <cellStyle name="Dane wyjściowe 2 10 26" xfId="12875"/>
    <cellStyle name="Dane wyjściowe 2 10 26 2" xfId="12876"/>
    <cellStyle name="Dane wyjściowe 2 10 26 3" xfId="12877"/>
    <cellStyle name="Dane wyjściowe 2 10 27" xfId="12878"/>
    <cellStyle name="Dane wyjściowe 2 10 27 2" xfId="12879"/>
    <cellStyle name="Dane wyjściowe 2 10 27 3" xfId="12880"/>
    <cellStyle name="Dane wyjściowe 2 10 28" xfId="12881"/>
    <cellStyle name="Dane wyjściowe 2 10 28 2" xfId="12882"/>
    <cellStyle name="Dane wyjściowe 2 10 28 3" xfId="12883"/>
    <cellStyle name="Dane wyjściowe 2 10 29" xfId="12884"/>
    <cellStyle name="Dane wyjściowe 2 10 29 2" xfId="12885"/>
    <cellStyle name="Dane wyjściowe 2 10 29 3" xfId="12886"/>
    <cellStyle name="Dane wyjściowe 2 10 3" xfId="12887"/>
    <cellStyle name="Dane wyjściowe 2 10 3 2" xfId="12888"/>
    <cellStyle name="Dane wyjściowe 2 10 3 3" xfId="12889"/>
    <cellStyle name="Dane wyjściowe 2 10 3 4" xfId="12890"/>
    <cellStyle name="Dane wyjściowe 2 10 30" xfId="12891"/>
    <cellStyle name="Dane wyjściowe 2 10 30 2" xfId="12892"/>
    <cellStyle name="Dane wyjściowe 2 10 30 3" xfId="12893"/>
    <cellStyle name="Dane wyjściowe 2 10 31" xfId="12894"/>
    <cellStyle name="Dane wyjściowe 2 10 31 2" xfId="12895"/>
    <cellStyle name="Dane wyjściowe 2 10 31 3" xfId="12896"/>
    <cellStyle name="Dane wyjściowe 2 10 32" xfId="12897"/>
    <cellStyle name="Dane wyjściowe 2 10 32 2" xfId="12898"/>
    <cellStyle name="Dane wyjściowe 2 10 32 3" xfId="12899"/>
    <cellStyle name="Dane wyjściowe 2 10 33" xfId="12900"/>
    <cellStyle name="Dane wyjściowe 2 10 33 2" xfId="12901"/>
    <cellStyle name="Dane wyjściowe 2 10 33 3" xfId="12902"/>
    <cellStyle name="Dane wyjściowe 2 10 34" xfId="12903"/>
    <cellStyle name="Dane wyjściowe 2 10 34 2" xfId="12904"/>
    <cellStyle name="Dane wyjściowe 2 10 34 3" xfId="12905"/>
    <cellStyle name="Dane wyjściowe 2 10 35" xfId="12906"/>
    <cellStyle name="Dane wyjściowe 2 10 35 2" xfId="12907"/>
    <cellStyle name="Dane wyjściowe 2 10 35 3" xfId="12908"/>
    <cellStyle name="Dane wyjściowe 2 10 36" xfId="12909"/>
    <cellStyle name="Dane wyjściowe 2 10 36 2" xfId="12910"/>
    <cellStyle name="Dane wyjściowe 2 10 36 3" xfId="12911"/>
    <cellStyle name="Dane wyjściowe 2 10 37" xfId="12912"/>
    <cellStyle name="Dane wyjściowe 2 10 37 2" xfId="12913"/>
    <cellStyle name="Dane wyjściowe 2 10 37 3" xfId="12914"/>
    <cellStyle name="Dane wyjściowe 2 10 38" xfId="12915"/>
    <cellStyle name="Dane wyjściowe 2 10 38 2" xfId="12916"/>
    <cellStyle name="Dane wyjściowe 2 10 38 3" xfId="12917"/>
    <cellStyle name="Dane wyjściowe 2 10 39" xfId="12918"/>
    <cellStyle name="Dane wyjściowe 2 10 39 2" xfId="12919"/>
    <cellStyle name="Dane wyjściowe 2 10 39 3" xfId="12920"/>
    <cellStyle name="Dane wyjściowe 2 10 4" xfId="12921"/>
    <cellStyle name="Dane wyjściowe 2 10 4 2" xfId="12922"/>
    <cellStyle name="Dane wyjściowe 2 10 4 3" xfId="12923"/>
    <cellStyle name="Dane wyjściowe 2 10 4 4" xfId="12924"/>
    <cellStyle name="Dane wyjściowe 2 10 40" xfId="12925"/>
    <cellStyle name="Dane wyjściowe 2 10 40 2" xfId="12926"/>
    <cellStyle name="Dane wyjściowe 2 10 40 3" xfId="12927"/>
    <cellStyle name="Dane wyjściowe 2 10 41" xfId="12928"/>
    <cellStyle name="Dane wyjściowe 2 10 41 2" xfId="12929"/>
    <cellStyle name="Dane wyjściowe 2 10 41 3" xfId="12930"/>
    <cellStyle name="Dane wyjściowe 2 10 42" xfId="12931"/>
    <cellStyle name="Dane wyjściowe 2 10 42 2" xfId="12932"/>
    <cellStyle name="Dane wyjściowe 2 10 42 3" xfId="12933"/>
    <cellStyle name="Dane wyjściowe 2 10 43" xfId="12934"/>
    <cellStyle name="Dane wyjściowe 2 10 43 2" xfId="12935"/>
    <cellStyle name="Dane wyjściowe 2 10 43 3" xfId="12936"/>
    <cellStyle name="Dane wyjściowe 2 10 44" xfId="12937"/>
    <cellStyle name="Dane wyjściowe 2 10 44 2" xfId="12938"/>
    <cellStyle name="Dane wyjściowe 2 10 44 3" xfId="12939"/>
    <cellStyle name="Dane wyjściowe 2 10 45" xfId="12940"/>
    <cellStyle name="Dane wyjściowe 2 10 45 2" xfId="12941"/>
    <cellStyle name="Dane wyjściowe 2 10 45 3" xfId="12942"/>
    <cellStyle name="Dane wyjściowe 2 10 46" xfId="12943"/>
    <cellStyle name="Dane wyjściowe 2 10 46 2" xfId="12944"/>
    <cellStyle name="Dane wyjściowe 2 10 46 3" xfId="12945"/>
    <cellStyle name="Dane wyjściowe 2 10 47" xfId="12946"/>
    <cellStyle name="Dane wyjściowe 2 10 47 2" xfId="12947"/>
    <cellStyle name="Dane wyjściowe 2 10 47 3" xfId="12948"/>
    <cellStyle name="Dane wyjściowe 2 10 48" xfId="12949"/>
    <cellStyle name="Dane wyjściowe 2 10 48 2" xfId="12950"/>
    <cellStyle name="Dane wyjściowe 2 10 48 3" xfId="12951"/>
    <cellStyle name="Dane wyjściowe 2 10 49" xfId="12952"/>
    <cellStyle name="Dane wyjściowe 2 10 49 2" xfId="12953"/>
    <cellStyle name="Dane wyjściowe 2 10 49 3" xfId="12954"/>
    <cellStyle name="Dane wyjściowe 2 10 5" xfId="12955"/>
    <cellStyle name="Dane wyjściowe 2 10 5 2" xfId="12956"/>
    <cellStyle name="Dane wyjściowe 2 10 5 3" xfId="12957"/>
    <cellStyle name="Dane wyjściowe 2 10 5 4" xfId="12958"/>
    <cellStyle name="Dane wyjściowe 2 10 50" xfId="12959"/>
    <cellStyle name="Dane wyjściowe 2 10 50 2" xfId="12960"/>
    <cellStyle name="Dane wyjściowe 2 10 50 3" xfId="12961"/>
    <cellStyle name="Dane wyjściowe 2 10 51" xfId="12962"/>
    <cellStyle name="Dane wyjściowe 2 10 51 2" xfId="12963"/>
    <cellStyle name="Dane wyjściowe 2 10 51 3" xfId="12964"/>
    <cellStyle name="Dane wyjściowe 2 10 52" xfId="12965"/>
    <cellStyle name="Dane wyjściowe 2 10 52 2" xfId="12966"/>
    <cellStyle name="Dane wyjściowe 2 10 52 3" xfId="12967"/>
    <cellStyle name="Dane wyjściowe 2 10 53" xfId="12968"/>
    <cellStyle name="Dane wyjściowe 2 10 53 2" xfId="12969"/>
    <cellStyle name="Dane wyjściowe 2 10 53 3" xfId="12970"/>
    <cellStyle name="Dane wyjściowe 2 10 54" xfId="12971"/>
    <cellStyle name="Dane wyjściowe 2 10 54 2" xfId="12972"/>
    <cellStyle name="Dane wyjściowe 2 10 54 3" xfId="12973"/>
    <cellStyle name="Dane wyjściowe 2 10 55" xfId="12974"/>
    <cellStyle name="Dane wyjściowe 2 10 55 2" xfId="12975"/>
    <cellStyle name="Dane wyjściowe 2 10 55 3" xfId="12976"/>
    <cellStyle name="Dane wyjściowe 2 10 56" xfId="12977"/>
    <cellStyle name="Dane wyjściowe 2 10 56 2" xfId="12978"/>
    <cellStyle name="Dane wyjściowe 2 10 56 3" xfId="12979"/>
    <cellStyle name="Dane wyjściowe 2 10 57" xfId="12980"/>
    <cellStyle name="Dane wyjściowe 2 10 58" xfId="12981"/>
    <cellStyle name="Dane wyjściowe 2 10 6" xfId="12982"/>
    <cellStyle name="Dane wyjściowe 2 10 6 2" xfId="12983"/>
    <cellStyle name="Dane wyjściowe 2 10 6 3" xfId="12984"/>
    <cellStyle name="Dane wyjściowe 2 10 6 4" xfId="12985"/>
    <cellStyle name="Dane wyjściowe 2 10 7" xfId="12986"/>
    <cellStyle name="Dane wyjściowe 2 10 7 2" xfId="12987"/>
    <cellStyle name="Dane wyjściowe 2 10 7 3" xfId="12988"/>
    <cellStyle name="Dane wyjściowe 2 10 7 4" xfId="12989"/>
    <cellStyle name="Dane wyjściowe 2 10 8" xfId="12990"/>
    <cellStyle name="Dane wyjściowe 2 10 8 2" xfId="12991"/>
    <cellStyle name="Dane wyjściowe 2 10 8 3" xfId="12992"/>
    <cellStyle name="Dane wyjściowe 2 10 8 4" xfId="12993"/>
    <cellStyle name="Dane wyjściowe 2 10 9" xfId="12994"/>
    <cellStyle name="Dane wyjściowe 2 10 9 2" xfId="12995"/>
    <cellStyle name="Dane wyjściowe 2 10 9 3" xfId="12996"/>
    <cellStyle name="Dane wyjściowe 2 10 9 4" xfId="12997"/>
    <cellStyle name="Dane wyjściowe 2 11" xfId="12998"/>
    <cellStyle name="Dane wyjściowe 2 11 10" xfId="12999"/>
    <cellStyle name="Dane wyjściowe 2 11 10 2" xfId="13000"/>
    <cellStyle name="Dane wyjściowe 2 11 10 3" xfId="13001"/>
    <cellStyle name="Dane wyjściowe 2 11 10 4" xfId="13002"/>
    <cellStyle name="Dane wyjściowe 2 11 11" xfId="13003"/>
    <cellStyle name="Dane wyjściowe 2 11 11 2" xfId="13004"/>
    <cellStyle name="Dane wyjściowe 2 11 11 3" xfId="13005"/>
    <cellStyle name="Dane wyjściowe 2 11 11 4" xfId="13006"/>
    <cellStyle name="Dane wyjściowe 2 11 12" xfId="13007"/>
    <cellStyle name="Dane wyjściowe 2 11 12 2" xfId="13008"/>
    <cellStyle name="Dane wyjściowe 2 11 12 3" xfId="13009"/>
    <cellStyle name="Dane wyjściowe 2 11 12 4" xfId="13010"/>
    <cellStyle name="Dane wyjściowe 2 11 13" xfId="13011"/>
    <cellStyle name="Dane wyjściowe 2 11 13 2" xfId="13012"/>
    <cellStyle name="Dane wyjściowe 2 11 13 3" xfId="13013"/>
    <cellStyle name="Dane wyjściowe 2 11 13 4" xfId="13014"/>
    <cellStyle name="Dane wyjściowe 2 11 14" xfId="13015"/>
    <cellStyle name="Dane wyjściowe 2 11 14 2" xfId="13016"/>
    <cellStyle name="Dane wyjściowe 2 11 14 3" xfId="13017"/>
    <cellStyle name="Dane wyjściowe 2 11 14 4" xfId="13018"/>
    <cellStyle name="Dane wyjściowe 2 11 15" xfId="13019"/>
    <cellStyle name="Dane wyjściowe 2 11 15 2" xfId="13020"/>
    <cellStyle name="Dane wyjściowe 2 11 15 3" xfId="13021"/>
    <cellStyle name="Dane wyjściowe 2 11 15 4" xfId="13022"/>
    <cellStyle name="Dane wyjściowe 2 11 16" xfId="13023"/>
    <cellStyle name="Dane wyjściowe 2 11 16 2" xfId="13024"/>
    <cellStyle name="Dane wyjściowe 2 11 16 3" xfId="13025"/>
    <cellStyle name="Dane wyjściowe 2 11 16 4" xfId="13026"/>
    <cellStyle name="Dane wyjściowe 2 11 17" xfId="13027"/>
    <cellStyle name="Dane wyjściowe 2 11 17 2" xfId="13028"/>
    <cellStyle name="Dane wyjściowe 2 11 17 3" xfId="13029"/>
    <cellStyle name="Dane wyjściowe 2 11 17 4" xfId="13030"/>
    <cellStyle name="Dane wyjściowe 2 11 18" xfId="13031"/>
    <cellStyle name="Dane wyjściowe 2 11 18 2" xfId="13032"/>
    <cellStyle name="Dane wyjściowe 2 11 18 3" xfId="13033"/>
    <cellStyle name="Dane wyjściowe 2 11 18 4" xfId="13034"/>
    <cellStyle name="Dane wyjściowe 2 11 19" xfId="13035"/>
    <cellStyle name="Dane wyjściowe 2 11 19 2" xfId="13036"/>
    <cellStyle name="Dane wyjściowe 2 11 19 3" xfId="13037"/>
    <cellStyle name="Dane wyjściowe 2 11 19 4" xfId="13038"/>
    <cellStyle name="Dane wyjściowe 2 11 2" xfId="13039"/>
    <cellStyle name="Dane wyjściowe 2 11 2 2" xfId="13040"/>
    <cellStyle name="Dane wyjściowe 2 11 2 3" xfId="13041"/>
    <cellStyle name="Dane wyjściowe 2 11 2 4" xfId="13042"/>
    <cellStyle name="Dane wyjściowe 2 11 20" xfId="13043"/>
    <cellStyle name="Dane wyjściowe 2 11 20 2" xfId="13044"/>
    <cellStyle name="Dane wyjściowe 2 11 20 3" xfId="13045"/>
    <cellStyle name="Dane wyjściowe 2 11 20 4" xfId="13046"/>
    <cellStyle name="Dane wyjściowe 2 11 21" xfId="13047"/>
    <cellStyle name="Dane wyjściowe 2 11 21 2" xfId="13048"/>
    <cellStyle name="Dane wyjściowe 2 11 21 3" xfId="13049"/>
    <cellStyle name="Dane wyjściowe 2 11 22" xfId="13050"/>
    <cellStyle name="Dane wyjściowe 2 11 22 2" xfId="13051"/>
    <cellStyle name="Dane wyjściowe 2 11 22 3" xfId="13052"/>
    <cellStyle name="Dane wyjściowe 2 11 23" xfId="13053"/>
    <cellStyle name="Dane wyjściowe 2 11 23 2" xfId="13054"/>
    <cellStyle name="Dane wyjściowe 2 11 23 3" xfId="13055"/>
    <cellStyle name="Dane wyjściowe 2 11 24" xfId="13056"/>
    <cellStyle name="Dane wyjściowe 2 11 24 2" xfId="13057"/>
    <cellStyle name="Dane wyjściowe 2 11 24 3" xfId="13058"/>
    <cellStyle name="Dane wyjściowe 2 11 25" xfId="13059"/>
    <cellStyle name="Dane wyjściowe 2 11 25 2" xfId="13060"/>
    <cellStyle name="Dane wyjściowe 2 11 25 3" xfId="13061"/>
    <cellStyle name="Dane wyjściowe 2 11 26" xfId="13062"/>
    <cellStyle name="Dane wyjściowe 2 11 26 2" xfId="13063"/>
    <cellStyle name="Dane wyjściowe 2 11 26 3" xfId="13064"/>
    <cellStyle name="Dane wyjściowe 2 11 27" xfId="13065"/>
    <cellStyle name="Dane wyjściowe 2 11 27 2" xfId="13066"/>
    <cellStyle name="Dane wyjściowe 2 11 27 3" xfId="13067"/>
    <cellStyle name="Dane wyjściowe 2 11 28" xfId="13068"/>
    <cellStyle name="Dane wyjściowe 2 11 28 2" xfId="13069"/>
    <cellStyle name="Dane wyjściowe 2 11 28 3" xfId="13070"/>
    <cellStyle name="Dane wyjściowe 2 11 29" xfId="13071"/>
    <cellStyle name="Dane wyjściowe 2 11 29 2" xfId="13072"/>
    <cellStyle name="Dane wyjściowe 2 11 29 3" xfId="13073"/>
    <cellStyle name="Dane wyjściowe 2 11 3" xfId="13074"/>
    <cellStyle name="Dane wyjściowe 2 11 3 2" xfId="13075"/>
    <cellStyle name="Dane wyjściowe 2 11 3 3" xfId="13076"/>
    <cellStyle name="Dane wyjściowe 2 11 3 4" xfId="13077"/>
    <cellStyle name="Dane wyjściowe 2 11 30" xfId="13078"/>
    <cellStyle name="Dane wyjściowe 2 11 30 2" xfId="13079"/>
    <cellStyle name="Dane wyjściowe 2 11 30 3" xfId="13080"/>
    <cellStyle name="Dane wyjściowe 2 11 31" xfId="13081"/>
    <cellStyle name="Dane wyjściowe 2 11 31 2" xfId="13082"/>
    <cellStyle name="Dane wyjściowe 2 11 31 3" xfId="13083"/>
    <cellStyle name="Dane wyjściowe 2 11 32" xfId="13084"/>
    <cellStyle name="Dane wyjściowe 2 11 32 2" xfId="13085"/>
    <cellStyle name="Dane wyjściowe 2 11 32 3" xfId="13086"/>
    <cellStyle name="Dane wyjściowe 2 11 33" xfId="13087"/>
    <cellStyle name="Dane wyjściowe 2 11 33 2" xfId="13088"/>
    <cellStyle name="Dane wyjściowe 2 11 33 3" xfId="13089"/>
    <cellStyle name="Dane wyjściowe 2 11 34" xfId="13090"/>
    <cellStyle name="Dane wyjściowe 2 11 34 2" xfId="13091"/>
    <cellStyle name="Dane wyjściowe 2 11 34 3" xfId="13092"/>
    <cellStyle name="Dane wyjściowe 2 11 35" xfId="13093"/>
    <cellStyle name="Dane wyjściowe 2 11 35 2" xfId="13094"/>
    <cellStyle name="Dane wyjściowe 2 11 35 3" xfId="13095"/>
    <cellStyle name="Dane wyjściowe 2 11 36" xfId="13096"/>
    <cellStyle name="Dane wyjściowe 2 11 36 2" xfId="13097"/>
    <cellStyle name="Dane wyjściowe 2 11 36 3" xfId="13098"/>
    <cellStyle name="Dane wyjściowe 2 11 37" xfId="13099"/>
    <cellStyle name="Dane wyjściowe 2 11 37 2" xfId="13100"/>
    <cellStyle name="Dane wyjściowe 2 11 37 3" xfId="13101"/>
    <cellStyle name="Dane wyjściowe 2 11 38" xfId="13102"/>
    <cellStyle name="Dane wyjściowe 2 11 38 2" xfId="13103"/>
    <cellStyle name="Dane wyjściowe 2 11 38 3" xfId="13104"/>
    <cellStyle name="Dane wyjściowe 2 11 39" xfId="13105"/>
    <cellStyle name="Dane wyjściowe 2 11 39 2" xfId="13106"/>
    <cellStyle name="Dane wyjściowe 2 11 39 3" xfId="13107"/>
    <cellStyle name="Dane wyjściowe 2 11 4" xfId="13108"/>
    <cellStyle name="Dane wyjściowe 2 11 4 2" xfId="13109"/>
    <cellStyle name="Dane wyjściowe 2 11 4 3" xfId="13110"/>
    <cellStyle name="Dane wyjściowe 2 11 4 4" xfId="13111"/>
    <cellStyle name="Dane wyjściowe 2 11 40" xfId="13112"/>
    <cellStyle name="Dane wyjściowe 2 11 40 2" xfId="13113"/>
    <cellStyle name="Dane wyjściowe 2 11 40 3" xfId="13114"/>
    <cellStyle name="Dane wyjściowe 2 11 41" xfId="13115"/>
    <cellStyle name="Dane wyjściowe 2 11 41 2" xfId="13116"/>
    <cellStyle name="Dane wyjściowe 2 11 41 3" xfId="13117"/>
    <cellStyle name="Dane wyjściowe 2 11 42" xfId="13118"/>
    <cellStyle name="Dane wyjściowe 2 11 42 2" xfId="13119"/>
    <cellStyle name="Dane wyjściowe 2 11 42 3" xfId="13120"/>
    <cellStyle name="Dane wyjściowe 2 11 43" xfId="13121"/>
    <cellStyle name="Dane wyjściowe 2 11 43 2" xfId="13122"/>
    <cellStyle name="Dane wyjściowe 2 11 43 3" xfId="13123"/>
    <cellStyle name="Dane wyjściowe 2 11 44" xfId="13124"/>
    <cellStyle name="Dane wyjściowe 2 11 44 2" xfId="13125"/>
    <cellStyle name="Dane wyjściowe 2 11 44 3" xfId="13126"/>
    <cellStyle name="Dane wyjściowe 2 11 45" xfId="13127"/>
    <cellStyle name="Dane wyjściowe 2 11 45 2" xfId="13128"/>
    <cellStyle name="Dane wyjściowe 2 11 45 3" xfId="13129"/>
    <cellStyle name="Dane wyjściowe 2 11 46" xfId="13130"/>
    <cellStyle name="Dane wyjściowe 2 11 46 2" xfId="13131"/>
    <cellStyle name="Dane wyjściowe 2 11 46 3" xfId="13132"/>
    <cellStyle name="Dane wyjściowe 2 11 47" xfId="13133"/>
    <cellStyle name="Dane wyjściowe 2 11 47 2" xfId="13134"/>
    <cellStyle name="Dane wyjściowe 2 11 47 3" xfId="13135"/>
    <cellStyle name="Dane wyjściowe 2 11 48" xfId="13136"/>
    <cellStyle name="Dane wyjściowe 2 11 48 2" xfId="13137"/>
    <cellStyle name="Dane wyjściowe 2 11 48 3" xfId="13138"/>
    <cellStyle name="Dane wyjściowe 2 11 49" xfId="13139"/>
    <cellStyle name="Dane wyjściowe 2 11 49 2" xfId="13140"/>
    <cellStyle name="Dane wyjściowe 2 11 49 3" xfId="13141"/>
    <cellStyle name="Dane wyjściowe 2 11 5" xfId="13142"/>
    <cellStyle name="Dane wyjściowe 2 11 5 2" xfId="13143"/>
    <cellStyle name="Dane wyjściowe 2 11 5 3" xfId="13144"/>
    <cellStyle name="Dane wyjściowe 2 11 5 4" xfId="13145"/>
    <cellStyle name="Dane wyjściowe 2 11 50" xfId="13146"/>
    <cellStyle name="Dane wyjściowe 2 11 50 2" xfId="13147"/>
    <cellStyle name="Dane wyjściowe 2 11 50 3" xfId="13148"/>
    <cellStyle name="Dane wyjściowe 2 11 51" xfId="13149"/>
    <cellStyle name="Dane wyjściowe 2 11 51 2" xfId="13150"/>
    <cellStyle name="Dane wyjściowe 2 11 51 3" xfId="13151"/>
    <cellStyle name="Dane wyjściowe 2 11 52" xfId="13152"/>
    <cellStyle name="Dane wyjściowe 2 11 52 2" xfId="13153"/>
    <cellStyle name="Dane wyjściowe 2 11 52 3" xfId="13154"/>
    <cellStyle name="Dane wyjściowe 2 11 53" xfId="13155"/>
    <cellStyle name="Dane wyjściowe 2 11 53 2" xfId="13156"/>
    <cellStyle name="Dane wyjściowe 2 11 53 3" xfId="13157"/>
    <cellStyle name="Dane wyjściowe 2 11 54" xfId="13158"/>
    <cellStyle name="Dane wyjściowe 2 11 54 2" xfId="13159"/>
    <cellStyle name="Dane wyjściowe 2 11 54 3" xfId="13160"/>
    <cellStyle name="Dane wyjściowe 2 11 55" xfId="13161"/>
    <cellStyle name="Dane wyjściowe 2 11 55 2" xfId="13162"/>
    <cellStyle name="Dane wyjściowe 2 11 55 3" xfId="13163"/>
    <cellStyle name="Dane wyjściowe 2 11 56" xfId="13164"/>
    <cellStyle name="Dane wyjściowe 2 11 56 2" xfId="13165"/>
    <cellStyle name="Dane wyjściowe 2 11 56 3" xfId="13166"/>
    <cellStyle name="Dane wyjściowe 2 11 57" xfId="13167"/>
    <cellStyle name="Dane wyjściowe 2 11 58" xfId="13168"/>
    <cellStyle name="Dane wyjściowe 2 11 6" xfId="13169"/>
    <cellStyle name="Dane wyjściowe 2 11 6 2" xfId="13170"/>
    <cellStyle name="Dane wyjściowe 2 11 6 3" xfId="13171"/>
    <cellStyle name="Dane wyjściowe 2 11 6 4" xfId="13172"/>
    <cellStyle name="Dane wyjściowe 2 11 7" xfId="13173"/>
    <cellStyle name="Dane wyjściowe 2 11 7 2" xfId="13174"/>
    <cellStyle name="Dane wyjściowe 2 11 7 3" xfId="13175"/>
    <cellStyle name="Dane wyjściowe 2 11 7 4" xfId="13176"/>
    <cellStyle name="Dane wyjściowe 2 11 8" xfId="13177"/>
    <cellStyle name="Dane wyjściowe 2 11 8 2" xfId="13178"/>
    <cellStyle name="Dane wyjściowe 2 11 8 3" xfId="13179"/>
    <cellStyle name="Dane wyjściowe 2 11 8 4" xfId="13180"/>
    <cellStyle name="Dane wyjściowe 2 11 9" xfId="13181"/>
    <cellStyle name="Dane wyjściowe 2 11 9 2" xfId="13182"/>
    <cellStyle name="Dane wyjściowe 2 11 9 3" xfId="13183"/>
    <cellStyle name="Dane wyjściowe 2 11 9 4" xfId="13184"/>
    <cellStyle name="Dane wyjściowe 2 12" xfId="13185"/>
    <cellStyle name="Dane wyjściowe 2 12 10" xfId="13186"/>
    <cellStyle name="Dane wyjściowe 2 12 10 2" xfId="13187"/>
    <cellStyle name="Dane wyjściowe 2 12 10 3" xfId="13188"/>
    <cellStyle name="Dane wyjściowe 2 12 10 4" xfId="13189"/>
    <cellStyle name="Dane wyjściowe 2 12 11" xfId="13190"/>
    <cellStyle name="Dane wyjściowe 2 12 11 2" xfId="13191"/>
    <cellStyle name="Dane wyjściowe 2 12 11 3" xfId="13192"/>
    <cellStyle name="Dane wyjściowe 2 12 11 4" xfId="13193"/>
    <cellStyle name="Dane wyjściowe 2 12 12" xfId="13194"/>
    <cellStyle name="Dane wyjściowe 2 12 12 2" xfId="13195"/>
    <cellStyle name="Dane wyjściowe 2 12 12 3" xfId="13196"/>
    <cellStyle name="Dane wyjściowe 2 12 12 4" xfId="13197"/>
    <cellStyle name="Dane wyjściowe 2 12 13" xfId="13198"/>
    <cellStyle name="Dane wyjściowe 2 12 13 2" xfId="13199"/>
    <cellStyle name="Dane wyjściowe 2 12 13 3" xfId="13200"/>
    <cellStyle name="Dane wyjściowe 2 12 13 4" xfId="13201"/>
    <cellStyle name="Dane wyjściowe 2 12 14" xfId="13202"/>
    <cellStyle name="Dane wyjściowe 2 12 14 2" xfId="13203"/>
    <cellStyle name="Dane wyjściowe 2 12 14 3" xfId="13204"/>
    <cellStyle name="Dane wyjściowe 2 12 14 4" xfId="13205"/>
    <cellStyle name="Dane wyjściowe 2 12 15" xfId="13206"/>
    <cellStyle name="Dane wyjściowe 2 12 15 2" xfId="13207"/>
    <cellStyle name="Dane wyjściowe 2 12 15 3" xfId="13208"/>
    <cellStyle name="Dane wyjściowe 2 12 15 4" xfId="13209"/>
    <cellStyle name="Dane wyjściowe 2 12 16" xfId="13210"/>
    <cellStyle name="Dane wyjściowe 2 12 16 2" xfId="13211"/>
    <cellStyle name="Dane wyjściowe 2 12 16 3" xfId="13212"/>
    <cellStyle name="Dane wyjściowe 2 12 16 4" xfId="13213"/>
    <cellStyle name="Dane wyjściowe 2 12 17" xfId="13214"/>
    <cellStyle name="Dane wyjściowe 2 12 17 2" xfId="13215"/>
    <cellStyle name="Dane wyjściowe 2 12 17 3" xfId="13216"/>
    <cellStyle name="Dane wyjściowe 2 12 17 4" xfId="13217"/>
    <cellStyle name="Dane wyjściowe 2 12 18" xfId="13218"/>
    <cellStyle name="Dane wyjściowe 2 12 18 2" xfId="13219"/>
    <cellStyle name="Dane wyjściowe 2 12 18 3" xfId="13220"/>
    <cellStyle name="Dane wyjściowe 2 12 18 4" xfId="13221"/>
    <cellStyle name="Dane wyjściowe 2 12 19" xfId="13222"/>
    <cellStyle name="Dane wyjściowe 2 12 19 2" xfId="13223"/>
    <cellStyle name="Dane wyjściowe 2 12 19 3" xfId="13224"/>
    <cellStyle name="Dane wyjściowe 2 12 19 4" xfId="13225"/>
    <cellStyle name="Dane wyjściowe 2 12 2" xfId="13226"/>
    <cellStyle name="Dane wyjściowe 2 12 2 2" xfId="13227"/>
    <cellStyle name="Dane wyjściowe 2 12 2 3" xfId="13228"/>
    <cellStyle name="Dane wyjściowe 2 12 2 4" xfId="13229"/>
    <cellStyle name="Dane wyjściowe 2 12 20" xfId="13230"/>
    <cellStyle name="Dane wyjściowe 2 12 20 2" xfId="13231"/>
    <cellStyle name="Dane wyjściowe 2 12 20 3" xfId="13232"/>
    <cellStyle name="Dane wyjściowe 2 12 20 4" xfId="13233"/>
    <cellStyle name="Dane wyjściowe 2 12 21" xfId="13234"/>
    <cellStyle name="Dane wyjściowe 2 12 21 2" xfId="13235"/>
    <cellStyle name="Dane wyjściowe 2 12 21 3" xfId="13236"/>
    <cellStyle name="Dane wyjściowe 2 12 22" xfId="13237"/>
    <cellStyle name="Dane wyjściowe 2 12 22 2" xfId="13238"/>
    <cellStyle name="Dane wyjściowe 2 12 22 3" xfId="13239"/>
    <cellStyle name="Dane wyjściowe 2 12 23" xfId="13240"/>
    <cellStyle name="Dane wyjściowe 2 12 23 2" xfId="13241"/>
    <cellStyle name="Dane wyjściowe 2 12 23 3" xfId="13242"/>
    <cellStyle name="Dane wyjściowe 2 12 24" xfId="13243"/>
    <cellStyle name="Dane wyjściowe 2 12 24 2" xfId="13244"/>
    <cellStyle name="Dane wyjściowe 2 12 24 3" xfId="13245"/>
    <cellStyle name="Dane wyjściowe 2 12 25" xfId="13246"/>
    <cellStyle name="Dane wyjściowe 2 12 25 2" xfId="13247"/>
    <cellStyle name="Dane wyjściowe 2 12 25 3" xfId="13248"/>
    <cellStyle name="Dane wyjściowe 2 12 26" xfId="13249"/>
    <cellStyle name="Dane wyjściowe 2 12 26 2" xfId="13250"/>
    <cellStyle name="Dane wyjściowe 2 12 26 3" xfId="13251"/>
    <cellStyle name="Dane wyjściowe 2 12 27" xfId="13252"/>
    <cellStyle name="Dane wyjściowe 2 12 27 2" xfId="13253"/>
    <cellStyle name="Dane wyjściowe 2 12 27 3" xfId="13254"/>
    <cellStyle name="Dane wyjściowe 2 12 28" xfId="13255"/>
    <cellStyle name="Dane wyjściowe 2 12 28 2" xfId="13256"/>
    <cellStyle name="Dane wyjściowe 2 12 28 3" xfId="13257"/>
    <cellStyle name="Dane wyjściowe 2 12 29" xfId="13258"/>
    <cellStyle name="Dane wyjściowe 2 12 29 2" xfId="13259"/>
    <cellStyle name="Dane wyjściowe 2 12 29 3" xfId="13260"/>
    <cellStyle name="Dane wyjściowe 2 12 3" xfId="13261"/>
    <cellStyle name="Dane wyjściowe 2 12 3 2" xfId="13262"/>
    <cellStyle name="Dane wyjściowe 2 12 3 3" xfId="13263"/>
    <cellStyle name="Dane wyjściowe 2 12 3 4" xfId="13264"/>
    <cellStyle name="Dane wyjściowe 2 12 30" xfId="13265"/>
    <cellStyle name="Dane wyjściowe 2 12 30 2" xfId="13266"/>
    <cellStyle name="Dane wyjściowe 2 12 30 3" xfId="13267"/>
    <cellStyle name="Dane wyjściowe 2 12 31" xfId="13268"/>
    <cellStyle name="Dane wyjściowe 2 12 31 2" xfId="13269"/>
    <cellStyle name="Dane wyjściowe 2 12 31 3" xfId="13270"/>
    <cellStyle name="Dane wyjściowe 2 12 32" xfId="13271"/>
    <cellStyle name="Dane wyjściowe 2 12 32 2" xfId="13272"/>
    <cellStyle name="Dane wyjściowe 2 12 32 3" xfId="13273"/>
    <cellStyle name="Dane wyjściowe 2 12 33" xfId="13274"/>
    <cellStyle name="Dane wyjściowe 2 12 33 2" xfId="13275"/>
    <cellStyle name="Dane wyjściowe 2 12 33 3" xfId="13276"/>
    <cellStyle name="Dane wyjściowe 2 12 34" xfId="13277"/>
    <cellStyle name="Dane wyjściowe 2 12 34 2" xfId="13278"/>
    <cellStyle name="Dane wyjściowe 2 12 34 3" xfId="13279"/>
    <cellStyle name="Dane wyjściowe 2 12 35" xfId="13280"/>
    <cellStyle name="Dane wyjściowe 2 12 35 2" xfId="13281"/>
    <cellStyle name="Dane wyjściowe 2 12 35 3" xfId="13282"/>
    <cellStyle name="Dane wyjściowe 2 12 36" xfId="13283"/>
    <cellStyle name="Dane wyjściowe 2 12 36 2" xfId="13284"/>
    <cellStyle name="Dane wyjściowe 2 12 36 3" xfId="13285"/>
    <cellStyle name="Dane wyjściowe 2 12 37" xfId="13286"/>
    <cellStyle name="Dane wyjściowe 2 12 37 2" xfId="13287"/>
    <cellStyle name="Dane wyjściowe 2 12 37 3" xfId="13288"/>
    <cellStyle name="Dane wyjściowe 2 12 38" xfId="13289"/>
    <cellStyle name="Dane wyjściowe 2 12 38 2" xfId="13290"/>
    <cellStyle name="Dane wyjściowe 2 12 38 3" xfId="13291"/>
    <cellStyle name="Dane wyjściowe 2 12 39" xfId="13292"/>
    <cellStyle name="Dane wyjściowe 2 12 39 2" xfId="13293"/>
    <cellStyle name="Dane wyjściowe 2 12 39 3" xfId="13294"/>
    <cellStyle name="Dane wyjściowe 2 12 4" xfId="13295"/>
    <cellStyle name="Dane wyjściowe 2 12 4 2" xfId="13296"/>
    <cellStyle name="Dane wyjściowe 2 12 4 3" xfId="13297"/>
    <cellStyle name="Dane wyjściowe 2 12 4 4" xfId="13298"/>
    <cellStyle name="Dane wyjściowe 2 12 40" xfId="13299"/>
    <cellStyle name="Dane wyjściowe 2 12 40 2" xfId="13300"/>
    <cellStyle name="Dane wyjściowe 2 12 40 3" xfId="13301"/>
    <cellStyle name="Dane wyjściowe 2 12 41" xfId="13302"/>
    <cellStyle name="Dane wyjściowe 2 12 41 2" xfId="13303"/>
    <cellStyle name="Dane wyjściowe 2 12 41 3" xfId="13304"/>
    <cellStyle name="Dane wyjściowe 2 12 42" xfId="13305"/>
    <cellStyle name="Dane wyjściowe 2 12 42 2" xfId="13306"/>
    <cellStyle name="Dane wyjściowe 2 12 42 3" xfId="13307"/>
    <cellStyle name="Dane wyjściowe 2 12 43" xfId="13308"/>
    <cellStyle name="Dane wyjściowe 2 12 43 2" xfId="13309"/>
    <cellStyle name="Dane wyjściowe 2 12 43 3" xfId="13310"/>
    <cellStyle name="Dane wyjściowe 2 12 44" xfId="13311"/>
    <cellStyle name="Dane wyjściowe 2 12 44 2" xfId="13312"/>
    <cellStyle name="Dane wyjściowe 2 12 44 3" xfId="13313"/>
    <cellStyle name="Dane wyjściowe 2 12 45" xfId="13314"/>
    <cellStyle name="Dane wyjściowe 2 12 45 2" xfId="13315"/>
    <cellStyle name="Dane wyjściowe 2 12 45 3" xfId="13316"/>
    <cellStyle name="Dane wyjściowe 2 12 46" xfId="13317"/>
    <cellStyle name="Dane wyjściowe 2 12 46 2" xfId="13318"/>
    <cellStyle name="Dane wyjściowe 2 12 46 3" xfId="13319"/>
    <cellStyle name="Dane wyjściowe 2 12 47" xfId="13320"/>
    <cellStyle name="Dane wyjściowe 2 12 47 2" xfId="13321"/>
    <cellStyle name="Dane wyjściowe 2 12 47 3" xfId="13322"/>
    <cellStyle name="Dane wyjściowe 2 12 48" xfId="13323"/>
    <cellStyle name="Dane wyjściowe 2 12 48 2" xfId="13324"/>
    <cellStyle name="Dane wyjściowe 2 12 48 3" xfId="13325"/>
    <cellStyle name="Dane wyjściowe 2 12 49" xfId="13326"/>
    <cellStyle name="Dane wyjściowe 2 12 49 2" xfId="13327"/>
    <cellStyle name="Dane wyjściowe 2 12 49 3" xfId="13328"/>
    <cellStyle name="Dane wyjściowe 2 12 5" xfId="13329"/>
    <cellStyle name="Dane wyjściowe 2 12 5 2" xfId="13330"/>
    <cellStyle name="Dane wyjściowe 2 12 5 3" xfId="13331"/>
    <cellStyle name="Dane wyjściowe 2 12 5 4" xfId="13332"/>
    <cellStyle name="Dane wyjściowe 2 12 50" xfId="13333"/>
    <cellStyle name="Dane wyjściowe 2 12 50 2" xfId="13334"/>
    <cellStyle name="Dane wyjściowe 2 12 50 3" xfId="13335"/>
    <cellStyle name="Dane wyjściowe 2 12 51" xfId="13336"/>
    <cellStyle name="Dane wyjściowe 2 12 51 2" xfId="13337"/>
    <cellStyle name="Dane wyjściowe 2 12 51 3" xfId="13338"/>
    <cellStyle name="Dane wyjściowe 2 12 52" xfId="13339"/>
    <cellStyle name="Dane wyjściowe 2 12 52 2" xfId="13340"/>
    <cellStyle name="Dane wyjściowe 2 12 52 3" xfId="13341"/>
    <cellStyle name="Dane wyjściowe 2 12 53" xfId="13342"/>
    <cellStyle name="Dane wyjściowe 2 12 53 2" xfId="13343"/>
    <cellStyle name="Dane wyjściowe 2 12 53 3" xfId="13344"/>
    <cellStyle name="Dane wyjściowe 2 12 54" xfId="13345"/>
    <cellStyle name="Dane wyjściowe 2 12 54 2" xfId="13346"/>
    <cellStyle name="Dane wyjściowe 2 12 54 3" xfId="13347"/>
    <cellStyle name="Dane wyjściowe 2 12 55" xfId="13348"/>
    <cellStyle name="Dane wyjściowe 2 12 55 2" xfId="13349"/>
    <cellStyle name="Dane wyjściowe 2 12 55 3" xfId="13350"/>
    <cellStyle name="Dane wyjściowe 2 12 56" xfId="13351"/>
    <cellStyle name="Dane wyjściowe 2 12 56 2" xfId="13352"/>
    <cellStyle name="Dane wyjściowe 2 12 56 3" xfId="13353"/>
    <cellStyle name="Dane wyjściowe 2 12 57" xfId="13354"/>
    <cellStyle name="Dane wyjściowe 2 12 58" xfId="13355"/>
    <cellStyle name="Dane wyjściowe 2 12 6" xfId="13356"/>
    <cellStyle name="Dane wyjściowe 2 12 6 2" xfId="13357"/>
    <cellStyle name="Dane wyjściowe 2 12 6 3" xfId="13358"/>
    <cellStyle name="Dane wyjściowe 2 12 6 4" xfId="13359"/>
    <cellStyle name="Dane wyjściowe 2 12 7" xfId="13360"/>
    <cellStyle name="Dane wyjściowe 2 12 7 2" xfId="13361"/>
    <cellStyle name="Dane wyjściowe 2 12 7 3" xfId="13362"/>
    <cellStyle name="Dane wyjściowe 2 12 7 4" xfId="13363"/>
    <cellStyle name="Dane wyjściowe 2 12 8" xfId="13364"/>
    <cellStyle name="Dane wyjściowe 2 12 8 2" xfId="13365"/>
    <cellStyle name="Dane wyjściowe 2 12 8 3" xfId="13366"/>
    <cellStyle name="Dane wyjściowe 2 12 8 4" xfId="13367"/>
    <cellStyle name="Dane wyjściowe 2 12 9" xfId="13368"/>
    <cellStyle name="Dane wyjściowe 2 12 9 2" xfId="13369"/>
    <cellStyle name="Dane wyjściowe 2 12 9 3" xfId="13370"/>
    <cellStyle name="Dane wyjściowe 2 12 9 4" xfId="13371"/>
    <cellStyle name="Dane wyjściowe 2 13" xfId="13372"/>
    <cellStyle name="Dane wyjściowe 2 13 10" xfId="13373"/>
    <cellStyle name="Dane wyjściowe 2 13 10 2" xfId="13374"/>
    <cellStyle name="Dane wyjściowe 2 13 10 3" xfId="13375"/>
    <cellStyle name="Dane wyjściowe 2 13 10 4" xfId="13376"/>
    <cellStyle name="Dane wyjściowe 2 13 11" xfId="13377"/>
    <cellStyle name="Dane wyjściowe 2 13 11 2" xfId="13378"/>
    <cellStyle name="Dane wyjściowe 2 13 11 3" xfId="13379"/>
    <cellStyle name="Dane wyjściowe 2 13 11 4" xfId="13380"/>
    <cellStyle name="Dane wyjściowe 2 13 12" xfId="13381"/>
    <cellStyle name="Dane wyjściowe 2 13 12 2" xfId="13382"/>
    <cellStyle name="Dane wyjściowe 2 13 12 3" xfId="13383"/>
    <cellStyle name="Dane wyjściowe 2 13 12 4" xfId="13384"/>
    <cellStyle name="Dane wyjściowe 2 13 13" xfId="13385"/>
    <cellStyle name="Dane wyjściowe 2 13 13 2" xfId="13386"/>
    <cellStyle name="Dane wyjściowe 2 13 13 3" xfId="13387"/>
    <cellStyle name="Dane wyjściowe 2 13 13 4" xfId="13388"/>
    <cellStyle name="Dane wyjściowe 2 13 14" xfId="13389"/>
    <cellStyle name="Dane wyjściowe 2 13 14 2" xfId="13390"/>
    <cellStyle name="Dane wyjściowe 2 13 14 3" xfId="13391"/>
    <cellStyle name="Dane wyjściowe 2 13 14 4" xfId="13392"/>
    <cellStyle name="Dane wyjściowe 2 13 15" xfId="13393"/>
    <cellStyle name="Dane wyjściowe 2 13 15 2" xfId="13394"/>
    <cellStyle name="Dane wyjściowe 2 13 15 3" xfId="13395"/>
    <cellStyle name="Dane wyjściowe 2 13 15 4" xfId="13396"/>
    <cellStyle name="Dane wyjściowe 2 13 16" xfId="13397"/>
    <cellStyle name="Dane wyjściowe 2 13 16 2" xfId="13398"/>
    <cellStyle name="Dane wyjściowe 2 13 16 3" xfId="13399"/>
    <cellStyle name="Dane wyjściowe 2 13 16 4" xfId="13400"/>
    <cellStyle name="Dane wyjściowe 2 13 17" xfId="13401"/>
    <cellStyle name="Dane wyjściowe 2 13 17 2" xfId="13402"/>
    <cellStyle name="Dane wyjściowe 2 13 17 3" xfId="13403"/>
    <cellStyle name="Dane wyjściowe 2 13 17 4" xfId="13404"/>
    <cellStyle name="Dane wyjściowe 2 13 18" xfId="13405"/>
    <cellStyle name="Dane wyjściowe 2 13 18 2" xfId="13406"/>
    <cellStyle name="Dane wyjściowe 2 13 18 3" xfId="13407"/>
    <cellStyle name="Dane wyjściowe 2 13 18 4" xfId="13408"/>
    <cellStyle name="Dane wyjściowe 2 13 19" xfId="13409"/>
    <cellStyle name="Dane wyjściowe 2 13 19 2" xfId="13410"/>
    <cellStyle name="Dane wyjściowe 2 13 19 3" xfId="13411"/>
    <cellStyle name="Dane wyjściowe 2 13 19 4" xfId="13412"/>
    <cellStyle name="Dane wyjściowe 2 13 2" xfId="13413"/>
    <cellStyle name="Dane wyjściowe 2 13 2 2" xfId="13414"/>
    <cellStyle name="Dane wyjściowe 2 13 2 3" xfId="13415"/>
    <cellStyle name="Dane wyjściowe 2 13 2 4" xfId="13416"/>
    <cellStyle name="Dane wyjściowe 2 13 20" xfId="13417"/>
    <cellStyle name="Dane wyjściowe 2 13 20 2" xfId="13418"/>
    <cellStyle name="Dane wyjściowe 2 13 20 3" xfId="13419"/>
    <cellStyle name="Dane wyjściowe 2 13 20 4" xfId="13420"/>
    <cellStyle name="Dane wyjściowe 2 13 21" xfId="13421"/>
    <cellStyle name="Dane wyjściowe 2 13 21 2" xfId="13422"/>
    <cellStyle name="Dane wyjściowe 2 13 21 3" xfId="13423"/>
    <cellStyle name="Dane wyjściowe 2 13 22" xfId="13424"/>
    <cellStyle name="Dane wyjściowe 2 13 22 2" xfId="13425"/>
    <cellStyle name="Dane wyjściowe 2 13 22 3" xfId="13426"/>
    <cellStyle name="Dane wyjściowe 2 13 23" xfId="13427"/>
    <cellStyle name="Dane wyjściowe 2 13 23 2" xfId="13428"/>
    <cellStyle name="Dane wyjściowe 2 13 23 3" xfId="13429"/>
    <cellStyle name="Dane wyjściowe 2 13 24" xfId="13430"/>
    <cellStyle name="Dane wyjściowe 2 13 24 2" xfId="13431"/>
    <cellStyle name="Dane wyjściowe 2 13 24 3" xfId="13432"/>
    <cellStyle name="Dane wyjściowe 2 13 25" xfId="13433"/>
    <cellStyle name="Dane wyjściowe 2 13 25 2" xfId="13434"/>
    <cellStyle name="Dane wyjściowe 2 13 25 3" xfId="13435"/>
    <cellStyle name="Dane wyjściowe 2 13 26" xfId="13436"/>
    <cellStyle name="Dane wyjściowe 2 13 26 2" xfId="13437"/>
    <cellStyle name="Dane wyjściowe 2 13 26 3" xfId="13438"/>
    <cellStyle name="Dane wyjściowe 2 13 27" xfId="13439"/>
    <cellStyle name="Dane wyjściowe 2 13 27 2" xfId="13440"/>
    <cellStyle name="Dane wyjściowe 2 13 27 3" xfId="13441"/>
    <cellStyle name="Dane wyjściowe 2 13 28" xfId="13442"/>
    <cellStyle name="Dane wyjściowe 2 13 28 2" xfId="13443"/>
    <cellStyle name="Dane wyjściowe 2 13 28 3" xfId="13444"/>
    <cellStyle name="Dane wyjściowe 2 13 29" xfId="13445"/>
    <cellStyle name="Dane wyjściowe 2 13 29 2" xfId="13446"/>
    <cellStyle name="Dane wyjściowe 2 13 29 3" xfId="13447"/>
    <cellStyle name="Dane wyjściowe 2 13 3" xfId="13448"/>
    <cellStyle name="Dane wyjściowe 2 13 3 2" xfId="13449"/>
    <cellStyle name="Dane wyjściowe 2 13 3 3" xfId="13450"/>
    <cellStyle name="Dane wyjściowe 2 13 3 4" xfId="13451"/>
    <cellStyle name="Dane wyjściowe 2 13 30" xfId="13452"/>
    <cellStyle name="Dane wyjściowe 2 13 30 2" xfId="13453"/>
    <cellStyle name="Dane wyjściowe 2 13 30 3" xfId="13454"/>
    <cellStyle name="Dane wyjściowe 2 13 31" xfId="13455"/>
    <cellStyle name="Dane wyjściowe 2 13 31 2" xfId="13456"/>
    <cellStyle name="Dane wyjściowe 2 13 31 3" xfId="13457"/>
    <cellStyle name="Dane wyjściowe 2 13 32" xfId="13458"/>
    <cellStyle name="Dane wyjściowe 2 13 32 2" xfId="13459"/>
    <cellStyle name="Dane wyjściowe 2 13 32 3" xfId="13460"/>
    <cellStyle name="Dane wyjściowe 2 13 33" xfId="13461"/>
    <cellStyle name="Dane wyjściowe 2 13 33 2" xfId="13462"/>
    <cellStyle name="Dane wyjściowe 2 13 33 3" xfId="13463"/>
    <cellStyle name="Dane wyjściowe 2 13 34" xfId="13464"/>
    <cellStyle name="Dane wyjściowe 2 13 34 2" xfId="13465"/>
    <cellStyle name="Dane wyjściowe 2 13 34 3" xfId="13466"/>
    <cellStyle name="Dane wyjściowe 2 13 35" xfId="13467"/>
    <cellStyle name="Dane wyjściowe 2 13 35 2" xfId="13468"/>
    <cellStyle name="Dane wyjściowe 2 13 35 3" xfId="13469"/>
    <cellStyle name="Dane wyjściowe 2 13 36" xfId="13470"/>
    <cellStyle name="Dane wyjściowe 2 13 36 2" xfId="13471"/>
    <cellStyle name="Dane wyjściowe 2 13 36 3" xfId="13472"/>
    <cellStyle name="Dane wyjściowe 2 13 37" xfId="13473"/>
    <cellStyle name="Dane wyjściowe 2 13 37 2" xfId="13474"/>
    <cellStyle name="Dane wyjściowe 2 13 37 3" xfId="13475"/>
    <cellStyle name="Dane wyjściowe 2 13 38" xfId="13476"/>
    <cellStyle name="Dane wyjściowe 2 13 38 2" xfId="13477"/>
    <cellStyle name="Dane wyjściowe 2 13 38 3" xfId="13478"/>
    <cellStyle name="Dane wyjściowe 2 13 39" xfId="13479"/>
    <cellStyle name="Dane wyjściowe 2 13 39 2" xfId="13480"/>
    <cellStyle name="Dane wyjściowe 2 13 39 3" xfId="13481"/>
    <cellStyle name="Dane wyjściowe 2 13 4" xfId="13482"/>
    <cellStyle name="Dane wyjściowe 2 13 4 2" xfId="13483"/>
    <cellStyle name="Dane wyjściowe 2 13 4 3" xfId="13484"/>
    <cellStyle name="Dane wyjściowe 2 13 4 4" xfId="13485"/>
    <cellStyle name="Dane wyjściowe 2 13 40" xfId="13486"/>
    <cellStyle name="Dane wyjściowe 2 13 40 2" xfId="13487"/>
    <cellStyle name="Dane wyjściowe 2 13 40 3" xfId="13488"/>
    <cellStyle name="Dane wyjściowe 2 13 41" xfId="13489"/>
    <cellStyle name="Dane wyjściowe 2 13 41 2" xfId="13490"/>
    <cellStyle name="Dane wyjściowe 2 13 41 3" xfId="13491"/>
    <cellStyle name="Dane wyjściowe 2 13 42" xfId="13492"/>
    <cellStyle name="Dane wyjściowe 2 13 42 2" xfId="13493"/>
    <cellStyle name="Dane wyjściowe 2 13 42 3" xfId="13494"/>
    <cellStyle name="Dane wyjściowe 2 13 43" xfId="13495"/>
    <cellStyle name="Dane wyjściowe 2 13 43 2" xfId="13496"/>
    <cellStyle name="Dane wyjściowe 2 13 43 3" xfId="13497"/>
    <cellStyle name="Dane wyjściowe 2 13 44" xfId="13498"/>
    <cellStyle name="Dane wyjściowe 2 13 44 2" xfId="13499"/>
    <cellStyle name="Dane wyjściowe 2 13 44 3" xfId="13500"/>
    <cellStyle name="Dane wyjściowe 2 13 45" xfId="13501"/>
    <cellStyle name="Dane wyjściowe 2 13 45 2" xfId="13502"/>
    <cellStyle name="Dane wyjściowe 2 13 45 3" xfId="13503"/>
    <cellStyle name="Dane wyjściowe 2 13 46" xfId="13504"/>
    <cellStyle name="Dane wyjściowe 2 13 46 2" xfId="13505"/>
    <cellStyle name="Dane wyjściowe 2 13 46 3" xfId="13506"/>
    <cellStyle name="Dane wyjściowe 2 13 47" xfId="13507"/>
    <cellStyle name="Dane wyjściowe 2 13 47 2" xfId="13508"/>
    <cellStyle name="Dane wyjściowe 2 13 47 3" xfId="13509"/>
    <cellStyle name="Dane wyjściowe 2 13 48" xfId="13510"/>
    <cellStyle name="Dane wyjściowe 2 13 48 2" xfId="13511"/>
    <cellStyle name="Dane wyjściowe 2 13 48 3" xfId="13512"/>
    <cellStyle name="Dane wyjściowe 2 13 49" xfId="13513"/>
    <cellStyle name="Dane wyjściowe 2 13 49 2" xfId="13514"/>
    <cellStyle name="Dane wyjściowe 2 13 49 3" xfId="13515"/>
    <cellStyle name="Dane wyjściowe 2 13 5" xfId="13516"/>
    <cellStyle name="Dane wyjściowe 2 13 5 2" xfId="13517"/>
    <cellStyle name="Dane wyjściowe 2 13 5 3" xfId="13518"/>
    <cellStyle name="Dane wyjściowe 2 13 5 4" xfId="13519"/>
    <cellStyle name="Dane wyjściowe 2 13 50" xfId="13520"/>
    <cellStyle name="Dane wyjściowe 2 13 50 2" xfId="13521"/>
    <cellStyle name="Dane wyjściowe 2 13 50 3" xfId="13522"/>
    <cellStyle name="Dane wyjściowe 2 13 51" xfId="13523"/>
    <cellStyle name="Dane wyjściowe 2 13 51 2" xfId="13524"/>
    <cellStyle name="Dane wyjściowe 2 13 51 3" xfId="13525"/>
    <cellStyle name="Dane wyjściowe 2 13 52" xfId="13526"/>
    <cellStyle name="Dane wyjściowe 2 13 52 2" xfId="13527"/>
    <cellStyle name="Dane wyjściowe 2 13 52 3" xfId="13528"/>
    <cellStyle name="Dane wyjściowe 2 13 53" xfId="13529"/>
    <cellStyle name="Dane wyjściowe 2 13 53 2" xfId="13530"/>
    <cellStyle name="Dane wyjściowe 2 13 53 3" xfId="13531"/>
    <cellStyle name="Dane wyjściowe 2 13 54" xfId="13532"/>
    <cellStyle name="Dane wyjściowe 2 13 54 2" xfId="13533"/>
    <cellStyle name="Dane wyjściowe 2 13 54 3" xfId="13534"/>
    <cellStyle name="Dane wyjściowe 2 13 55" xfId="13535"/>
    <cellStyle name="Dane wyjściowe 2 13 55 2" xfId="13536"/>
    <cellStyle name="Dane wyjściowe 2 13 55 3" xfId="13537"/>
    <cellStyle name="Dane wyjściowe 2 13 56" xfId="13538"/>
    <cellStyle name="Dane wyjściowe 2 13 56 2" xfId="13539"/>
    <cellStyle name="Dane wyjściowe 2 13 56 3" xfId="13540"/>
    <cellStyle name="Dane wyjściowe 2 13 57" xfId="13541"/>
    <cellStyle name="Dane wyjściowe 2 13 58" xfId="13542"/>
    <cellStyle name="Dane wyjściowe 2 13 6" xfId="13543"/>
    <cellStyle name="Dane wyjściowe 2 13 6 2" xfId="13544"/>
    <cellStyle name="Dane wyjściowe 2 13 6 3" xfId="13545"/>
    <cellStyle name="Dane wyjściowe 2 13 6 4" xfId="13546"/>
    <cellStyle name="Dane wyjściowe 2 13 7" xfId="13547"/>
    <cellStyle name="Dane wyjściowe 2 13 7 2" xfId="13548"/>
    <cellStyle name="Dane wyjściowe 2 13 7 3" xfId="13549"/>
    <cellStyle name="Dane wyjściowe 2 13 7 4" xfId="13550"/>
    <cellStyle name="Dane wyjściowe 2 13 8" xfId="13551"/>
    <cellStyle name="Dane wyjściowe 2 13 8 2" xfId="13552"/>
    <cellStyle name="Dane wyjściowe 2 13 8 3" xfId="13553"/>
    <cellStyle name="Dane wyjściowe 2 13 8 4" xfId="13554"/>
    <cellStyle name="Dane wyjściowe 2 13 9" xfId="13555"/>
    <cellStyle name="Dane wyjściowe 2 13 9 2" xfId="13556"/>
    <cellStyle name="Dane wyjściowe 2 13 9 3" xfId="13557"/>
    <cellStyle name="Dane wyjściowe 2 13 9 4" xfId="13558"/>
    <cellStyle name="Dane wyjściowe 2 14" xfId="13559"/>
    <cellStyle name="Dane wyjściowe 2 14 10" xfId="13560"/>
    <cellStyle name="Dane wyjściowe 2 14 10 2" xfId="13561"/>
    <cellStyle name="Dane wyjściowe 2 14 10 3" xfId="13562"/>
    <cellStyle name="Dane wyjściowe 2 14 10 4" xfId="13563"/>
    <cellStyle name="Dane wyjściowe 2 14 11" xfId="13564"/>
    <cellStyle name="Dane wyjściowe 2 14 11 2" xfId="13565"/>
    <cellStyle name="Dane wyjściowe 2 14 11 3" xfId="13566"/>
    <cellStyle name="Dane wyjściowe 2 14 11 4" xfId="13567"/>
    <cellStyle name="Dane wyjściowe 2 14 12" xfId="13568"/>
    <cellStyle name="Dane wyjściowe 2 14 12 2" xfId="13569"/>
    <cellStyle name="Dane wyjściowe 2 14 12 3" xfId="13570"/>
    <cellStyle name="Dane wyjściowe 2 14 12 4" xfId="13571"/>
    <cellStyle name="Dane wyjściowe 2 14 13" xfId="13572"/>
    <cellStyle name="Dane wyjściowe 2 14 13 2" xfId="13573"/>
    <cellStyle name="Dane wyjściowe 2 14 13 3" xfId="13574"/>
    <cellStyle name="Dane wyjściowe 2 14 13 4" xfId="13575"/>
    <cellStyle name="Dane wyjściowe 2 14 14" xfId="13576"/>
    <cellStyle name="Dane wyjściowe 2 14 14 2" xfId="13577"/>
    <cellStyle name="Dane wyjściowe 2 14 14 3" xfId="13578"/>
    <cellStyle name="Dane wyjściowe 2 14 14 4" xfId="13579"/>
    <cellStyle name="Dane wyjściowe 2 14 15" xfId="13580"/>
    <cellStyle name="Dane wyjściowe 2 14 15 2" xfId="13581"/>
    <cellStyle name="Dane wyjściowe 2 14 15 3" xfId="13582"/>
    <cellStyle name="Dane wyjściowe 2 14 15 4" xfId="13583"/>
    <cellStyle name="Dane wyjściowe 2 14 16" xfId="13584"/>
    <cellStyle name="Dane wyjściowe 2 14 16 2" xfId="13585"/>
    <cellStyle name="Dane wyjściowe 2 14 16 3" xfId="13586"/>
    <cellStyle name="Dane wyjściowe 2 14 16 4" xfId="13587"/>
    <cellStyle name="Dane wyjściowe 2 14 17" xfId="13588"/>
    <cellStyle name="Dane wyjściowe 2 14 17 2" xfId="13589"/>
    <cellStyle name="Dane wyjściowe 2 14 17 3" xfId="13590"/>
    <cellStyle name="Dane wyjściowe 2 14 17 4" xfId="13591"/>
    <cellStyle name="Dane wyjściowe 2 14 18" xfId="13592"/>
    <cellStyle name="Dane wyjściowe 2 14 18 2" xfId="13593"/>
    <cellStyle name="Dane wyjściowe 2 14 18 3" xfId="13594"/>
    <cellStyle name="Dane wyjściowe 2 14 18 4" xfId="13595"/>
    <cellStyle name="Dane wyjściowe 2 14 19" xfId="13596"/>
    <cellStyle name="Dane wyjściowe 2 14 19 2" xfId="13597"/>
    <cellStyle name="Dane wyjściowe 2 14 19 3" xfId="13598"/>
    <cellStyle name="Dane wyjściowe 2 14 19 4" xfId="13599"/>
    <cellStyle name="Dane wyjściowe 2 14 2" xfId="13600"/>
    <cellStyle name="Dane wyjściowe 2 14 2 2" xfId="13601"/>
    <cellStyle name="Dane wyjściowe 2 14 2 3" xfId="13602"/>
    <cellStyle name="Dane wyjściowe 2 14 2 4" xfId="13603"/>
    <cellStyle name="Dane wyjściowe 2 14 20" xfId="13604"/>
    <cellStyle name="Dane wyjściowe 2 14 20 2" xfId="13605"/>
    <cellStyle name="Dane wyjściowe 2 14 20 3" xfId="13606"/>
    <cellStyle name="Dane wyjściowe 2 14 20 4" xfId="13607"/>
    <cellStyle name="Dane wyjściowe 2 14 21" xfId="13608"/>
    <cellStyle name="Dane wyjściowe 2 14 21 2" xfId="13609"/>
    <cellStyle name="Dane wyjściowe 2 14 21 3" xfId="13610"/>
    <cellStyle name="Dane wyjściowe 2 14 22" xfId="13611"/>
    <cellStyle name="Dane wyjściowe 2 14 22 2" xfId="13612"/>
    <cellStyle name="Dane wyjściowe 2 14 22 3" xfId="13613"/>
    <cellStyle name="Dane wyjściowe 2 14 23" xfId="13614"/>
    <cellStyle name="Dane wyjściowe 2 14 23 2" xfId="13615"/>
    <cellStyle name="Dane wyjściowe 2 14 23 3" xfId="13616"/>
    <cellStyle name="Dane wyjściowe 2 14 24" xfId="13617"/>
    <cellStyle name="Dane wyjściowe 2 14 24 2" xfId="13618"/>
    <cellStyle name="Dane wyjściowe 2 14 24 3" xfId="13619"/>
    <cellStyle name="Dane wyjściowe 2 14 25" xfId="13620"/>
    <cellStyle name="Dane wyjściowe 2 14 25 2" xfId="13621"/>
    <cellStyle name="Dane wyjściowe 2 14 25 3" xfId="13622"/>
    <cellStyle name="Dane wyjściowe 2 14 26" xfId="13623"/>
    <cellStyle name="Dane wyjściowe 2 14 26 2" xfId="13624"/>
    <cellStyle name="Dane wyjściowe 2 14 26 3" xfId="13625"/>
    <cellStyle name="Dane wyjściowe 2 14 27" xfId="13626"/>
    <cellStyle name="Dane wyjściowe 2 14 27 2" xfId="13627"/>
    <cellStyle name="Dane wyjściowe 2 14 27 3" xfId="13628"/>
    <cellStyle name="Dane wyjściowe 2 14 28" xfId="13629"/>
    <cellStyle name="Dane wyjściowe 2 14 28 2" xfId="13630"/>
    <cellStyle name="Dane wyjściowe 2 14 28 3" xfId="13631"/>
    <cellStyle name="Dane wyjściowe 2 14 29" xfId="13632"/>
    <cellStyle name="Dane wyjściowe 2 14 29 2" xfId="13633"/>
    <cellStyle name="Dane wyjściowe 2 14 29 3" xfId="13634"/>
    <cellStyle name="Dane wyjściowe 2 14 3" xfId="13635"/>
    <cellStyle name="Dane wyjściowe 2 14 3 2" xfId="13636"/>
    <cellStyle name="Dane wyjściowe 2 14 3 3" xfId="13637"/>
    <cellStyle name="Dane wyjściowe 2 14 3 4" xfId="13638"/>
    <cellStyle name="Dane wyjściowe 2 14 30" xfId="13639"/>
    <cellStyle name="Dane wyjściowe 2 14 30 2" xfId="13640"/>
    <cellStyle name="Dane wyjściowe 2 14 30 3" xfId="13641"/>
    <cellStyle name="Dane wyjściowe 2 14 31" xfId="13642"/>
    <cellStyle name="Dane wyjściowe 2 14 31 2" xfId="13643"/>
    <cellStyle name="Dane wyjściowe 2 14 31 3" xfId="13644"/>
    <cellStyle name="Dane wyjściowe 2 14 32" xfId="13645"/>
    <cellStyle name="Dane wyjściowe 2 14 32 2" xfId="13646"/>
    <cellStyle name="Dane wyjściowe 2 14 32 3" xfId="13647"/>
    <cellStyle name="Dane wyjściowe 2 14 33" xfId="13648"/>
    <cellStyle name="Dane wyjściowe 2 14 33 2" xfId="13649"/>
    <cellStyle name="Dane wyjściowe 2 14 33 3" xfId="13650"/>
    <cellStyle name="Dane wyjściowe 2 14 34" xfId="13651"/>
    <cellStyle name="Dane wyjściowe 2 14 34 2" xfId="13652"/>
    <cellStyle name="Dane wyjściowe 2 14 34 3" xfId="13653"/>
    <cellStyle name="Dane wyjściowe 2 14 35" xfId="13654"/>
    <cellStyle name="Dane wyjściowe 2 14 35 2" xfId="13655"/>
    <cellStyle name="Dane wyjściowe 2 14 35 3" xfId="13656"/>
    <cellStyle name="Dane wyjściowe 2 14 36" xfId="13657"/>
    <cellStyle name="Dane wyjściowe 2 14 36 2" xfId="13658"/>
    <cellStyle name="Dane wyjściowe 2 14 36 3" xfId="13659"/>
    <cellStyle name="Dane wyjściowe 2 14 37" xfId="13660"/>
    <cellStyle name="Dane wyjściowe 2 14 37 2" xfId="13661"/>
    <cellStyle name="Dane wyjściowe 2 14 37 3" xfId="13662"/>
    <cellStyle name="Dane wyjściowe 2 14 38" xfId="13663"/>
    <cellStyle name="Dane wyjściowe 2 14 38 2" xfId="13664"/>
    <cellStyle name="Dane wyjściowe 2 14 38 3" xfId="13665"/>
    <cellStyle name="Dane wyjściowe 2 14 39" xfId="13666"/>
    <cellStyle name="Dane wyjściowe 2 14 39 2" xfId="13667"/>
    <cellStyle name="Dane wyjściowe 2 14 39 3" xfId="13668"/>
    <cellStyle name="Dane wyjściowe 2 14 4" xfId="13669"/>
    <cellStyle name="Dane wyjściowe 2 14 4 2" xfId="13670"/>
    <cellStyle name="Dane wyjściowe 2 14 4 3" xfId="13671"/>
    <cellStyle name="Dane wyjściowe 2 14 4 4" xfId="13672"/>
    <cellStyle name="Dane wyjściowe 2 14 40" xfId="13673"/>
    <cellStyle name="Dane wyjściowe 2 14 40 2" xfId="13674"/>
    <cellStyle name="Dane wyjściowe 2 14 40 3" xfId="13675"/>
    <cellStyle name="Dane wyjściowe 2 14 41" xfId="13676"/>
    <cellStyle name="Dane wyjściowe 2 14 41 2" xfId="13677"/>
    <cellStyle name="Dane wyjściowe 2 14 41 3" xfId="13678"/>
    <cellStyle name="Dane wyjściowe 2 14 42" xfId="13679"/>
    <cellStyle name="Dane wyjściowe 2 14 42 2" xfId="13680"/>
    <cellStyle name="Dane wyjściowe 2 14 42 3" xfId="13681"/>
    <cellStyle name="Dane wyjściowe 2 14 43" xfId="13682"/>
    <cellStyle name="Dane wyjściowe 2 14 43 2" xfId="13683"/>
    <cellStyle name="Dane wyjściowe 2 14 43 3" xfId="13684"/>
    <cellStyle name="Dane wyjściowe 2 14 44" xfId="13685"/>
    <cellStyle name="Dane wyjściowe 2 14 44 2" xfId="13686"/>
    <cellStyle name="Dane wyjściowe 2 14 44 3" xfId="13687"/>
    <cellStyle name="Dane wyjściowe 2 14 45" xfId="13688"/>
    <cellStyle name="Dane wyjściowe 2 14 45 2" xfId="13689"/>
    <cellStyle name="Dane wyjściowe 2 14 45 3" xfId="13690"/>
    <cellStyle name="Dane wyjściowe 2 14 46" xfId="13691"/>
    <cellStyle name="Dane wyjściowe 2 14 46 2" xfId="13692"/>
    <cellStyle name="Dane wyjściowe 2 14 46 3" xfId="13693"/>
    <cellStyle name="Dane wyjściowe 2 14 47" xfId="13694"/>
    <cellStyle name="Dane wyjściowe 2 14 47 2" xfId="13695"/>
    <cellStyle name="Dane wyjściowe 2 14 47 3" xfId="13696"/>
    <cellStyle name="Dane wyjściowe 2 14 48" xfId="13697"/>
    <cellStyle name="Dane wyjściowe 2 14 48 2" xfId="13698"/>
    <cellStyle name="Dane wyjściowe 2 14 48 3" xfId="13699"/>
    <cellStyle name="Dane wyjściowe 2 14 49" xfId="13700"/>
    <cellStyle name="Dane wyjściowe 2 14 49 2" xfId="13701"/>
    <cellStyle name="Dane wyjściowe 2 14 49 3" xfId="13702"/>
    <cellStyle name="Dane wyjściowe 2 14 5" xfId="13703"/>
    <cellStyle name="Dane wyjściowe 2 14 5 2" xfId="13704"/>
    <cellStyle name="Dane wyjściowe 2 14 5 3" xfId="13705"/>
    <cellStyle name="Dane wyjściowe 2 14 5 4" xfId="13706"/>
    <cellStyle name="Dane wyjściowe 2 14 50" xfId="13707"/>
    <cellStyle name="Dane wyjściowe 2 14 50 2" xfId="13708"/>
    <cellStyle name="Dane wyjściowe 2 14 50 3" xfId="13709"/>
    <cellStyle name="Dane wyjściowe 2 14 51" xfId="13710"/>
    <cellStyle name="Dane wyjściowe 2 14 51 2" xfId="13711"/>
    <cellStyle name="Dane wyjściowe 2 14 51 3" xfId="13712"/>
    <cellStyle name="Dane wyjściowe 2 14 52" xfId="13713"/>
    <cellStyle name="Dane wyjściowe 2 14 52 2" xfId="13714"/>
    <cellStyle name="Dane wyjściowe 2 14 52 3" xfId="13715"/>
    <cellStyle name="Dane wyjściowe 2 14 53" xfId="13716"/>
    <cellStyle name="Dane wyjściowe 2 14 53 2" xfId="13717"/>
    <cellStyle name="Dane wyjściowe 2 14 53 3" xfId="13718"/>
    <cellStyle name="Dane wyjściowe 2 14 54" xfId="13719"/>
    <cellStyle name="Dane wyjściowe 2 14 54 2" xfId="13720"/>
    <cellStyle name="Dane wyjściowe 2 14 54 3" xfId="13721"/>
    <cellStyle name="Dane wyjściowe 2 14 55" xfId="13722"/>
    <cellStyle name="Dane wyjściowe 2 14 55 2" xfId="13723"/>
    <cellStyle name="Dane wyjściowe 2 14 55 3" xfId="13724"/>
    <cellStyle name="Dane wyjściowe 2 14 56" xfId="13725"/>
    <cellStyle name="Dane wyjściowe 2 14 56 2" xfId="13726"/>
    <cellStyle name="Dane wyjściowe 2 14 56 3" xfId="13727"/>
    <cellStyle name="Dane wyjściowe 2 14 57" xfId="13728"/>
    <cellStyle name="Dane wyjściowe 2 14 58" xfId="13729"/>
    <cellStyle name="Dane wyjściowe 2 14 6" xfId="13730"/>
    <cellStyle name="Dane wyjściowe 2 14 6 2" xfId="13731"/>
    <cellStyle name="Dane wyjściowe 2 14 6 3" xfId="13732"/>
    <cellStyle name="Dane wyjściowe 2 14 6 4" xfId="13733"/>
    <cellStyle name="Dane wyjściowe 2 14 7" xfId="13734"/>
    <cellStyle name="Dane wyjściowe 2 14 7 2" xfId="13735"/>
    <cellStyle name="Dane wyjściowe 2 14 7 3" xfId="13736"/>
    <cellStyle name="Dane wyjściowe 2 14 7 4" xfId="13737"/>
    <cellStyle name="Dane wyjściowe 2 14 8" xfId="13738"/>
    <cellStyle name="Dane wyjściowe 2 14 8 2" xfId="13739"/>
    <cellStyle name="Dane wyjściowe 2 14 8 3" xfId="13740"/>
    <cellStyle name="Dane wyjściowe 2 14 8 4" xfId="13741"/>
    <cellStyle name="Dane wyjściowe 2 14 9" xfId="13742"/>
    <cellStyle name="Dane wyjściowe 2 14 9 2" xfId="13743"/>
    <cellStyle name="Dane wyjściowe 2 14 9 3" xfId="13744"/>
    <cellStyle name="Dane wyjściowe 2 14 9 4" xfId="13745"/>
    <cellStyle name="Dane wyjściowe 2 15" xfId="13746"/>
    <cellStyle name="Dane wyjściowe 2 15 10" xfId="13747"/>
    <cellStyle name="Dane wyjściowe 2 15 10 2" xfId="13748"/>
    <cellStyle name="Dane wyjściowe 2 15 10 3" xfId="13749"/>
    <cellStyle name="Dane wyjściowe 2 15 10 4" xfId="13750"/>
    <cellStyle name="Dane wyjściowe 2 15 11" xfId="13751"/>
    <cellStyle name="Dane wyjściowe 2 15 11 2" xfId="13752"/>
    <cellStyle name="Dane wyjściowe 2 15 11 3" xfId="13753"/>
    <cellStyle name="Dane wyjściowe 2 15 11 4" xfId="13754"/>
    <cellStyle name="Dane wyjściowe 2 15 12" xfId="13755"/>
    <cellStyle name="Dane wyjściowe 2 15 12 2" xfId="13756"/>
    <cellStyle name="Dane wyjściowe 2 15 12 3" xfId="13757"/>
    <cellStyle name="Dane wyjściowe 2 15 12 4" xfId="13758"/>
    <cellStyle name="Dane wyjściowe 2 15 13" xfId="13759"/>
    <cellStyle name="Dane wyjściowe 2 15 13 2" xfId="13760"/>
    <cellStyle name="Dane wyjściowe 2 15 13 3" xfId="13761"/>
    <cellStyle name="Dane wyjściowe 2 15 13 4" xfId="13762"/>
    <cellStyle name="Dane wyjściowe 2 15 14" xfId="13763"/>
    <cellStyle name="Dane wyjściowe 2 15 14 2" xfId="13764"/>
    <cellStyle name="Dane wyjściowe 2 15 14 3" xfId="13765"/>
    <cellStyle name="Dane wyjściowe 2 15 14 4" xfId="13766"/>
    <cellStyle name="Dane wyjściowe 2 15 15" xfId="13767"/>
    <cellStyle name="Dane wyjściowe 2 15 15 2" xfId="13768"/>
    <cellStyle name="Dane wyjściowe 2 15 15 3" xfId="13769"/>
    <cellStyle name="Dane wyjściowe 2 15 15 4" xfId="13770"/>
    <cellStyle name="Dane wyjściowe 2 15 16" xfId="13771"/>
    <cellStyle name="Dane wyjściowe 2 15 16 2" xfId="13772"/>
    <cellStyle name="Dane wyjściowe 2 15 16 3" xfId="13773"/>
    <cellStyle name="Dane wyjściowe 2 15 16 4" xfId="13774"/>
    <cellStyle name="Dane wyjściowe 2 15 17" xfId="13775"/>
    <cellStyle name="Dane wyjściowe 2 15 17 2" xfId="13776"/>
    <cellStyle name="Dane wyjściowe 2 15 17 3" xfId="13777"/>
    <cellStyle name="Dane wyjściowe 2 15 17 4" xfId="13778"/>
    <cellStyle name="Dane wyjściowe 2 15 18" xfId="13779"/>
    <cellStyle name="Dane wyjściowe 2 15 18 2" xfId="13780"/>
    <cellStyle name="Dane wyjściowe 2 15 18 3" xfId="13781"/>
    <cellStyle name="Dane wyjściowe 2 15 18 4" xfId="13782"/>
    <cellStyle name="Dane wyjściowe 2 15 19" xfId="13783"/>
    <cellStyle name="Dane wyjściowe 2 15 19 2" xfId="13784"/>
    <cellStyle name="Dane wyjściowe 2 15 19 3" xfId="13785"/>
    <cellStyle name="Dane wyjściowe 2 15 19 4" xfId="13786"/>
    <cellStyle name="Dane wyjściowe 2 15 2" xfId="13787"/>
    <cellStyle name="Dane wyjściowe 2 15 2 2" xfId="13788"/>
    <cellStyle name="Dane wyjściowe 2 15 2 3" xfId="13789"/>
    <cellStyle name="Dane wyjściowe 2 15 2 4" xfId="13790"/>
    <cellStyle name="Dane wyjściowe 2 15 20" xfId="13791"/>
    <cellStyle name="Dane wyjściowe 2 15 20 2" xfId="13792"/>
    <cellStyle name="Dane wyjściowe 2 15 20 3" xfId="13793"/>
    <cellStyle name="Dane wyjściowe 2 15 20 4" xfId="13794"/>
    <cellStyle name="Dane wyjściowe 2 15 21" xfId="13795"/>
    <cellStyle name="Dane wyjściowe 2 15 21 2" xfId="13796"/>
    <cellStyle name="Dane wyjściowe 2 15 21 3" xfId="13797"/>
    <cellStyle name="Dane wyjściowe 2 15 22" xfId="13798"/>
    <cellStyle name="Dane wyjściowe 2 15 22 2" xfId="13799"/>
    <cellStyle name="Dane wyjściowe 2 15 22 3" xfId="13800"/>
    <cellStyle name="Dane wyjściowe 2 15 23" xfId="13801"/>
    <cellStyle name="Dane wyjściowe 2 15 23 2" xfId="13802"/>
    <cellStyle name="Dane wyjściowe 2 15 23 3" xfId="13803"/>
    <cellStyle name="Dane wyjściowe 2 15 24" xfId="13804"/>
    <cellStyle name="Dane wyjściowe 2 15 24 2" xfId="13805"/>
    <cellStyle name="Dane wyjściowe 2 15 24 3" xfId="13806"/>
    <cellStyle name="Dane wyjściowe 2 15 25" xfId="13807"/>
    <cellStyle name="Dane wyjściowe 2 15 25 2" xfId="13808"/>
    <cellStyle name="Dane wyjściowe 2 15 25 3" xfId="13809"/>
    <cellStyle name="Dane wyjściowe 2 15 26" xfId="13810"/>
    <cellStyle name="Dane wyjściowe 2 15 26 2" xfId="13811"/>
    <cellStyle name="Dane wyjściowe 2 15 26 3" xfId="13812"/>
    <cellStyle name="Dane wyjściowe 2 15 27" xfId="13813"/>
    <cellStyle name="Dane wyjściowe 2 15 27 2" xfId="13814"/>
    <cellStyle name="Dane wyjściowe 2 15 27 3" xfId="13815"/>
    <cellStyle name="Dane wyjściowe 2 15 28" xfId="13816"/>
    <cellStyle name="Dane wyjściowe 2 15 28 2" xfId="13817"/>
    <cellStyle name="Dane wyjściowe 2 15 28 3" xfId="13818"/>
    <cellStyle name="Dane wyjściowe 2 15 29" xfId="13819"/>
    <cellStyle name="Dane wyjściowe 2 15 29 2" xfId="13820"/>
    <cellStyle name="Dane wyjściowe 2 15 29 3" xfId="13821"/>
    <cellStyle name="Dane wyjściowe 2 15 3" xfId="13822"/>
    <cellStyle name="Dane wyjściowe 2 15 3 2" xfId="13823"/>
    <cellStyle name="Dane wyjściowe 2 15 3 3" xfId="13824"/>
    <cellStyle name="Dane wyjściowe 2 15 3 4" xfId="13825"/>
    <cellStyle name="Dane wyjściowe 2 15 30" xfId="13826"/>
    <cellStyle name="Dane wyjściowe 2 15 30 2" xfId="13827"/>
    <cellStyle name="Dane wyjściowe 2 15 30 3" xfId="13828"/>
    <cellStyle name="Dane wyjściowe 2 15 31" xfId="13829"/>
    <cellStyle name="Dane wyjściowe 2 15 31 2" xfId="13830"/>
    <cellStyle name="Dane wyjściowe 2 15 31 3" xfId="13831"/>
    <cellStyle name="Dane wyjściowe 2 15 32" xfId="13832"/>
    <cellStyle name="Dane wyjściowe 2 15 32 2" xfId="13833"/>
    <cellStyle name="Dane wyjściowe 2 15 32 3" xfId="13834"/>
    <cellStyle name="Dane wyjściowe 2 15 33" xfId="13835"/>
    <cellStyle name="Dane wyjściowe 2 15 33 2" xfId="13836"/>
    <cellStyle name="Dane wyjściowe 2 15 33 3" xfId="13837"/>
    <cellStyle name="Dane wyjściowe 2 15 34" xfId="13838"/>
    <cellStyle name="Dane wyjściowe 2 15 34 2" xfId="13839"/>
    <cellStyle name="Dane wyjściowe 2 15 34 3" xfId="13840"/>
    <cellStyle name="Dane wyjściowe 2 15 35" xfId="13841"/>
    <cellStyle name="Dane wyjściowe 2 15 35 2" xfId="13842"/>
    <cellStyle name="Dane wyjściowe 2 15 35 3" xfId="13843"/>
    <cellStyle name="Dane wyjściowe 2 15 36" xfId="13844"/>
    <cellStyle name="Dane wyjściowe 2 15 36 2" xfId="13845"/>
    <cellStyle name="Dane wyjściowe 2 15 36 3" xfId="13846"/>
    <cellStyle name="Dane wyjściowe 2 15 37" xfId="13847"/>
    <cellStyle name="Dane wyjściowe 2 15 37 2" xfId="13848"/>
    <cellStyle name="Dane wyjściowe 2 15 37 3" xfId="13849"/>
    <cellStyle name="Dane wyjściowe 2 15 38" xfId="13850"/>
    <cellStyle name="Dane wyjściowe 2 15 38 2" xfId="13851"/>
    <cellStyle name="Dane wyjściowe 2 15 38 3" xfId="13852"/>
    <cellStyle name="Dane wyjściowe 2 15 39" xfId="13853"/>
    <cellStyle name="Dane wyjściowe 2 15 39 2" xfId="13854"/>
    <cellStyle name="Dane wyjściowe 2 15 39 3" xfId="13855"/>
    <cellStyle name="Dane wyjściowe 2 15 4" xfId="13856"/>
    <cellStyle name="Dane wyjściowe 2 15 4 2" xfId="13857"/>
    <cellStyle name="Dane wyjściowe 2 15 4 3" xfId="13858"/>
    <cellStyle name="Dane wyjściowe 2 15 4 4" xfId="13859"/>
    <cellStyle name="Dane wyjściowe 2 15 40" xfId="13860"/>
    <cellStyle name="Dane wyjściowe 2 15 40 2" xfId="13861"/>
    <cellStyle name="Dane wyjściowe 2 15 40 3" xfId="13862"/>
    <cellStyle name="Dane wyjściowe 2 15 41" xfId="13863"/>
    <cellStyle name="Dane wyjściowe 2 15 41 2" xfId="13864"/>
    <cellStyle name="Dane wyjściowe 2 15 41 3" xfId="13865"/>
    <cellStyle name="Dane wyjściowe 2 15 42" xfId="13866"/>
    <cellStyle name="Dane wyjściowe 2 15 42 2" xfId="13867"/>
    <cellStyle name="Dane wyjściowe 2 15 42 3" xfId="13868"/>
    <cellStyle name="Dane wyjściowe 2 15 43" xfId="13869"/>
    <cellStyle name="Dane wyjściowe 2 15 43 2" xfId="13870"/>
    <cellStyle name="Dane wyjściowe 2 15 43 3" xfId="13871"/>
    <cellStyle name="Dane wyjściowe 2 15 44" xfId="13872"/>
    <cellStyle name="Dane wyjściowe 2 15 44 2" xfId="13873"/>
    <cellStyle name="Dane wyjściowe 2 15 44 3" xfId="13874"/>
    <cellStyle name="Dane wyjściowe 2 15 45" xfId="13875"/>
    <cellStyle name="Dane wyjściowe 2 15 45 2" xfId="13876"/>
    <cellStyle name="Dane wyjściowe 2 15 45 3" xfId="13877"/>
    <cellStyle name="Dane wyjściowe 2 15 46" xfId="13878"/>
    <cellStyle name="Dane wyjściowe 2 15 46 2" xfId="13879"/>
    <cellStyle name="Dane wyjściowe 2 15 46 3" xfId="13880"/>
    <cellStyle name="Dane wyjściowe 2 15 47" xfId="13881"/>
    <cellStyle name="Dane wyjściowe 2 15 47 2" xfId="13882"/>
    <cellStyle name="Dane wyjściowe 2 15 47 3" xfId="13883"/>
    <cellStyle name="Dane wyjściowe 2 15 48" xfId="13884"/>
    <cellStyle name="Dane wyjściowe 2 15 48 2" xfId="13885"/>
    <cellStyle name="Dane wyjściowe 2 15 48 3" xfId="13886"/>
    <cellStyle name="Dane wyjściowe 2 15 49" xfId="13887"/>
    <cellStyle name="Dane wyjściowe 2 15 49 2" xfId="13888"/>
    <cellStyle name="Dane wyjściowe 2 15 49 3" xfId="13889"/>
    <cellStyle name="Dane wyjściowe 2 15 5" xfId="13890"/>
    <cellStyle name="Dane wyjściowe 2 15 5 2" xfId="13891"/>
    <cellStyle name="Dane wyjściowe 2 15 5 3" xfId="13892"/>
    <cellStyle name="Dane wyjściowe 2 15 5 4" xfId="13893"/>
    <cellStyle name="Dane wyjściowe 2 15 50" xfId="13894"/>
    <cellStyle name="Dane wyjściowe 2 15 50 2" xfId="13895"/>
    <cellStyle name="Dane wyjściowe 2 15 50 3" xfId="13896"/>
    <cellStyle name="Dane wyjściowe 2 15 51" xfId="13897"/>
    <cellStyle name="Dane wyjściowe 2 15 51 2" xfId="13898"/>
    <cellStyle name="Dane wyjściowe 2 15 51 3" xfId="13899"/>
    <cellStyle name="Dane wyjściowe 2 15 52" xfId="13900"/>
    <cellStyle name="Dane wyjściowe 2 15 52 2" xfId="13901"/>
    <cellStyle name="Dane wyjściowe 2 15 52 3" xfId="13902"/>
    <cellStyle name="Dane wyjściowe 2 15 53" xfId="13903"/>
    <cellStyle name="Dane wyjściowe 2 15 53 2" xfId="13904"/>
    <cellStyle name="Dane wyjściowe 2 15 53 3" xfId="13905"/>
    <cellStyle name="Dane wyjściowe 2 15 54" xfId="13906"/>
    <cellStyle name="Dane wyjściowe 2 15 54 2" xfId="13907"/>
    <cellStyle name="Dane wyjściowe 2 15 54 3" xfId="13908"/>
    <cellStyle name="Dane wyjściowe 2 15 55" xfId="13909"/>
    <cellStyle name="Dane wyjściowe 2 15 55 2" xfId="13910"/>
    <cellStyle name="Dane wyjściowe 2 15 55 3" xfId="13911"/>
    <cellStyle name="Dane wyjściowe 2 15 56" xfId="13912"/>
    <cellStyle name="Dane wyjściowe 2 15 56 2" xfId="13913"/>
    <cellStyle name="Dane wyjściowe 2 15 56 3" xfId="13914"/>
    <cellStyle name="Dane wyjściowe 2 15 57" xfId="13915"/>
    <cellStyle name="Dane wyjściowe 2 15 58" xfId="13916"/>
    <cellStyle name="Dane wyjściowe 2 15 6" xfId="13917"/>
    <cellStyle name="Dane wyjściowe 2 15 6 2" xfId="13918"/>
    <cellStyle name="Dane wyjściowe 2 15 6 3" xfId="13919"/>
    <cellStyle name="Dane wyjściowe 2 15 6 4" xfId="13920"/>
    <cellStyle name="Dane wyjściowe 2 15 7" xfId="13921"/>
    <cellStyle name="Dane wyjściowe 2 15 7 2" xfId="13922"/>
    <cellStyle name="Dane wyjściowe 2 15 7 3" xfId="13923"/>
    <cellStyle name="Dane wyjściowe 2 15 7 4" xfId="13924"/>
    <cellStyle name="Dane wyjściowe 2 15 8" xfId="13925"/>
    <cellStyle name="Dane wyjściowe 2 15 8 2" xfId="13926"/>
    <cellStyle name="Dane wyjściowe 2 15 8 3" xfId="13927"/>
    <cellStyle name="Dane wyjściowe 2 15 8 4" xfId="13928"/>
    <cellStyle name="Dane wyjściowe 2 15 9" xfId="13929"/>
    <cellStyle name="Dane wyjściowe 2 15 9 2" xfId="13930"/>
    <cellStyle name="Dane wyjściowe 2 15 9 3" xfId="13931"/>
    <cellStyle name="Dane wyjściowe 2 15 9 4" xfId="13932"/>
    <cellStyle name="Dane wyjściowe 2 16" xfId="13933"/>
    <cellStyle name="Dane wyjściowe 2 16 10" xfId="13934"/>
    <cellStyle name="Dane wyjściowe 2 16 10 2" xfId="13935"/>
    <cellStyle name="Dane wyjściowe 2 16 10 3" xfId="13936"/>
    <cellStyle name="Dane wyjściowe 2 16 10 4" xfId="13937"/>
    <cellStyle name="Dane wyjściowe 2 16 11" xfId="13938"/>
    <cellStyle name="Dane wyjściowe 2 16 11 2" xfId="13939"/>
    <cellStyle name="Dane wyjściowe 2 16 11 3" xfId="13940"/>
    <cellStyle name="Dane wyjściowe 2 16 11 4" xfId="13941"/>
    <cellStyle name="Dane wyjściowe 2 16 12" xfId="13942"/>
    <cellStyle name="Dane wyjściowe 2 16 12 2" xfId="13943"/>
    <cellStyle name="Dane wyjściowe 2 16 12 3" xfId="13944"/>
    <cellStyle name="Dane wyjściowe 2 16 12 4" xfId="13945"/>
    <cellStyle name="Dane wyjściowe 2 16 13" xfId="13946"/>
    <cellStyle name="Dane wyjściowe 2 16 13 2" xfId="13947"/>
    <cellStyle name="Dane wyjściowe 2 16 13 3" xfId="13948"/>
    <cellStyle name="Dane wyjściowe 2 16 13 4" xfId="13949"/>
    <cellStyle name="Dane wyjściowe 2 16 14" xfId="13950"/>
    <cellStyle name="Dane wyjściowe 2 16 14 2" xfId="13951"/>
    <cellStyle name="Dane wyjściowe 2 16 14 3" xfId="13952"/>
    <cellStyle name="Dane wyjściowe 2 16 14 4" xfId="13953"/>
    <cellStyle name="Dane wyjściowe 2 16 15" xfId="13954"/>
    <cellStyle name="Dane wyjściowe 2 16 15 2" xfId="13955"/>
    <cellStyle name="Dane wyjściowe 2 16 15 3" xfId="13956"/>
    <cellStyle name="Dane wyjściowe 2 16 15 4" xfId="13957"/>
    <cellStyle name="Dane wyjściowe 2 16 16" xfId="13958"/>
    <cellStyle name="Dane wyjściowe 2 16 16 2" xfId="13959"/>
    <cellStyle name="Dane wyjściowe 2 16 16 3" xfId="13960"/>
    <cellStyle name="Dane wyjściowe 2 16 16 4" xfId="13961"/>
    <cellStyle name="Dane wyjściowe 2 16 17" xfId="13962"/>
    <cellStyle name="Dane wyjściowe 2 16 17 2" xfId="13963"/>
    <cellStyle name="Dane wyjściowe 2 16 17 3" xfId="13964"/>
    <cellStyle name="Dane wyjściowe 2 16 17 4" xfId="13965"/>
    <cellStyle name="Dane wyjściowe 2 16 18" xfId="13966"/>
    <cellStyle name="Dane wyjściowe 2 16 18 2" xfId="13967"/>
    <cellStyle name="Dane wyjściowe 2 16 18 3" xfId="13968"/>
    <cellStyle name="Dane wyjściowe 2 16 18 4" xfId="13969"/>
    <cellStyle name="Dane wyjściowe 2 16 19" xfId="13970"/>
    <cellStyle name="Dane wyjściowe 2 16 19 2" xfId="13971"/>
    <cellStyle name="Dane wyjściowe 2 16 19 3" xfId="13972"/>
    <cellStyle name="Dane wyjściowe 2 16 19 4" xfId="13973"/>
    <cellStyle name="Dane wyjściowe 2 16 2" xfId="13974"/>
    <cellStyle name="Dane wyjściowe 2 16 2 2" xfId="13975"/>
    <cellStyle name="Dane wyjściowe 2 16 2 3" xfId="13976"/>
    <cellStyle name="Dane wyjściowe 2 16 2 4" xfId="13977"/>
    <cellStyle name="Dane wyjściowe 2 16 20" xfId="13978"/>
    <cellStyle name="Dane wyjściowe 2 16 20 2" xfId="13979"/>
    <cellStyle name="Dane wyjściowe 2 16 20 3" xfId="13980"/>
    <cellStyle name="Dane wyjściowe 2 16 20 4" xfId="13981"/>
    <cellStyle name="Dane wyjściowe 2 16 21" xfId="13982"/>
    <cellStyle name="Dane wyjściowe 2 16 21 2" xfId="13983"/>
    <cellStyle name="Dane wyjściowe 2 16 21 3" xfId="13984"/>
    <cellStyle name="Dane wyjściowe 2 16 22" xfId="13985"/>
    <cellStyle name="Dane wyjściowe 2 16 22 2" xfId="13986"/>
    <cellStyle name="Dane wyjściowe 2 16 22 3" xfId="13987"/>
    <cellStyle name="Dane wyjściowe 2 16 23" xfId="13988"/>
    <cellStyle name="Dane wyjściowe 2 16 23 2" xfId="13989"/>
    <cellStyle name="Dane wyjściowe 2 16 23 3" xfId="13990"/>
    <cellStyle name="Dane wyjściowe 2 16 24" xfId="13991"/>
    <cellStyle name="Dane wyjściowe 2 16 24 2" xfId="13992"/>
    <cellStyle name="Dane wyjściowe 2 16 24 3" xfId="13993"/>
    <cellStyle name="Dane wyjściowe 2 16 25" xfId="13994"/>
    <cellStyle name="Dane wyjściowe 2 16 25 2" xfId="13995"/>
    <cellStyle name="Dane wyjściowe 2 16 25 3" xfId="13996"/>
    <cellStyle name="Dane wyjściowe 2 16 26" xfId="13997"/>
    <cellStyle name="Dane wyjściowe 2 16 26 2" xfId="13998"/>
    <cellStyle name="Dane wyjściowe 2 16 26 3" xfId="13999"/>
    <cellStyle name="Dane wyjściowe 2 16 27" xfId="14000"/>
    <cellStyle name="Dane wyjściowe 2 16 27 2" xfId="14001"/>
    <cellStyle name="Dane wyjściowe 2 16 27 3" xfId="14002"/>
    <cellStyle name="Dane wyjściowe 2 16 28" xfId="14003"/>
    <cellStyle name="Dane wyjściowe 2 16 28 2" xfId="14004"/>
    <cellStyle name="Dane wyjściowe 2 16 28 3" xfId="14005"/>
    <cellStyle name="Dane wyjściowe 2 16 29" xfId="14006"/>
    <cellStyle name="Dane wyjściowe 2 16 29 2" xfId="14007"/>
    <cellStyle name="Dane wyjściowe 2 16 29 3" xfId="14008"/>
    <cellStyle name="Dane wyjściowe 2 16 3" xfId="14009"/>
    <cellStyle name="Dane wyjściowe 2 16 3 2" xfId="14010"/>
    <cellStyle name="Dane wyjściowe 2 16 3 3" xfId="14011"/>
    <cellStyle name="Dane wyjściowe 2 16 3 4" xfId="14012"/>
    <cellStyle name="Dane wyjściowe 2 16 30" xfId="14013"/>
    <cellStyle name="Dane wyjściowe 2 16 30 2" xfId="14014"/>
    <cellStyle name="Dane wyjściowe 2 16 30 3" xfId="14015"/>
    <cellStyle name="Dane wyjściowe 2 16 31" xfId="14016"/>
    <cellStyle name="Dane wyjściowe 2 16 31 2" xfId="14017"/>
    <cellStyle name="Dane wyjściowe 2 16 31 3" xfId="14018"/>
    <cellStyle name="Dane wyjściowe 2 16 32" xfId="14019"/>
    <cellStyle name="Dane wyjściowe 2 16 32 2" xfId="14020"/>
    <cellStyle name="Dane wyjściowe 2 16 32 3" xfId="14021"/>
    <cellStyle name="Dane wyjściowe 2 16 33" xfId="14022"/>
    <cellStyle name="Dane wyjściowe 2 16 33 2" xfId="14023"/>
    <cellStyle name="Dane wyjściowe 2 16 33 3" xfId="14024"/>
    <cellStyle name="Dane wyjściowe 2 16 34" xfId="14025"/>
    <cellStyle name="Dane wyjściowe 2 16 34 2" xfId="14026"/>
    <cellStyle name="Dane wyjściowe 2 16 34 3" xfId="14027"/>
    <cellStyle name="Dane wyjściowe 2 16 35" xfId="14028"/>
    <cellStyle name="Dane wyjściowe 2 16 35 2" xfId="14029"/>
    <cellStyle name="Dane wyjściowe 2 16 35 3" xfId="14030"/>
    <cellStyle name="Dane wyjściowe 2 16 36" xfId="14031"/>
    <cellStyle name="Dane wyjściowe 2 16 36 2" xfId="14032"/>
    <cellStyle name="Dane wyjściowe 2 16 36 3" xfId="14033"/>
    <cellStyle name="Dane wyjściowe 2 16 37" xfId="14034"/>
    <cellStyle name="Dane wyjściowe 2 16 37 2" xfId="14035"/>
    <cellStyle name="Dane wyjściowe 2 16 37 3" xfId="14036"/>
    <cellStyle name="Dane wyjściowe 2 16 38" xfId="14037"/>
    <cellStyle name="Dane wyjściowe 2 16 38 2" xfId="14038"/>
    <cellStyle name="Dane wyjściowe 2 16 38 3" xfId="14039"/>
    <cellStyle name="Dane wyjściowe 2 16 39" xfId="14040"/>
    <cellStyle name="Dane wyjściowe 2 16 39 2" xfId="14041"/>
    <cellStyle name="Dane wyjściowe 2 16 39 3" xfId="14042"/>
    <cellStyle name="Dane wyjściowe 2 16 4" xfId="14043"/>
    <cellStyle name="Dane wyjściowe 2 16 4 2" xfId="14044"/>
    <cellStyle name="Dane wyjściowe 2 16 4 3" xfId="14045"/>
    <cellStyle name="Dane wyjściowe 2 16 4 4" xfId="14046"/>
    <cellStyle name="Dane wyjściowe 2 16 40" xfId="14047"/>
    <cellStyle name="Dane wyjściowe 2 16 40 2" xfId="14048"/>
    <cellStyle name="Dane wyjściowe 2 16 40 3" xfId="14049"/>
    <cellStyle name="Dane wyjściowe 2 16 41" xfId="14050"/>
    <cellStyle name="Dane wyjściowe 2 16 41 2" xfId="14051"/>
    <cellStyle name="Dane wyjściowe 2 16 41 3" xfId="14052"/>
    <cellStyle name="Dane wyjściowe 2 16 42" xfId="14053"/>
    <cellStyle name="Dane wyjściowe 2 16 42 2" xfId="14054"/>
    <cellStyle name="Dane wyjściowe 2 16 42 3" xfId="14055"/>
    <cellStyle name="Dane wyjściowe 2 16 43" xfId="14056"/>
    <cellStyle name="Dane wyjściowe 2 16 43 2" xfId="14057"/>
    <cellStyle name="Dane wyjściowe 2 16 43 3" xfId="14058"/>
    <cellStyle name="Dane wyjściowe 2 16 44" xfId="14059"/>
    <cellStyle name="Dane wyjściowe 2 16 44 2" xfId="14060"/>
    <cellStyle name="Dane wyjściowe 2 16 44 3" xfId="14061"/>
    <cellStyle name="Dane wyjściowe 2 16 45" xfId="14062"/>
    <cellStyle name="Dane wyjściowe 2 16 45 2" xfId="14063"/>
    <cellStyle name="Dane wyjściowe 2 16 45 3" xfId="14064"/>
    <cellStyle name="Dane wyjściowe 2 16 46" xfId="14065"/>
    <cellStyle name="Dane wyjściowe 2 16 46 2" xfId="14066"/>
    <cellStyle name="Dane wyjściowe 2 16 46 3" xfId="14067"/>
    <cellStyle name="Dane wyjściowe 2 16 47" xfId="14068"/>
    <cellStyle name="Dane wyjściowe 2 16 47 2" xfId="14069"/>
    <cellStyle name="Dane wyjściowe 2 16 47 3" xfId="14070"/>
    <cellStyle name="Dane wyjściowe 2 16 48" xfId="14071"/>
    <cellStyle name="Dane wyjściowe 2 16 48 2" xfId="14072"/>
    <cellStyle name="Dane wyjściowe 2 16 48 3" xfId="14073"/>
    <cellStyle name="Dane wyjściowe 2 16 49" xfId="14074"/>
    <cellStyle name="Dane wyjściowe 2 16 49 2" xfId="14075"/>
    <cellStyle name="Dane wyjściowe 2 16 49 3" xfId="14076"/>
    <cellStyle name="Dane wyjściowe 2 16 5" xfId="14077"/>
    <cellStyle name="Dane wyjściowe 2 16 5 2" xfId="14078"/>
    <cellStyle name="Dane wyjściowe 2 16 5 3" xfId="14079"/>
    <cellStyle name="Dane wyjściowe 2 16 5 4" xfId="14080"/>
    <cellStyle name="Dane wyjściowe 2 16 50" xfId="14081"/>
    <cellStyle name="Dane wyjściowe 2 16 50 2" xfId="14082"/>
    <cellStyle name="Dane wyjściowe 2 16 50 3" xfId="14083"/>
    <cellStyle name="Dane wyjściowe 2 16 51" xfId="14084"/>
    <cellStyle name="Dane wyjściowe 2 16 51 2" xfId="14085"/>
    <cellStyle name="Dane wyjściowe 2 16 51 3" xfId="14086"/>
    <cellStyle name="Dane wyjściowe 2 16 52" xfId="14087"/>
    <cellStyle name="Dane wyjściowe 2 16 52 2" xfId="14088"/>
    <cellStyle name="Dane wyjściowe 2 16 52 3" xfId="14089"/>
    <cellStyle name="Dane wyjściowe 2 16 53" xfId="14090"/>
    <cellStyle name="Dane wyjściowe 2 16 53 2" xfId="14091"/>
    <cellStyle name="Dane wyjściowe 2 16 53 3" xfId="14092"/>
    <cellStyle name="Dane wyjściowe 2 16 54" xfId="14093"/>
    <cellStyle name="Dane wyjściowe 2 16 54 2" xfId="14094"/>
    <cellStyle name="Dane wyjściowe 2 16 54 3" xfId="14095"/>
    <cellStyle name="Dane wyjściowe 2 16 55" xfId="14096"/>
    <cellStyle name="Dane wyjściowe 2 16 55 2" xfId="14097"/>
    <cellStyle name="Dane wyjściowe 2 16 55 3" xfId="14098"/>
    <cellStyle name="Dane wyjściowe 2 16 56" xfId="14099"/>
    <cellStyle name="Dane wyjściowe 2 16 56 2" xfId="14100"/>
    <cellStyle name="Dane wyjściowe 2 16 56 3" xfId="14101"/>
    <cellStyle name="Dane wyjściowe 2 16 57" xfId="14102"/>
    <cellStyle name="Dane wyjściowe 2 16 58" xfId="14103"/>
    <cellStyle name="Dane wyjściowe 2 16 6" xfId="14104"/>
    <cellStyle name="Dane wyjściowe 2 16 6 2" xfId="14105"/>
    <cellStyle name="Dane wyjściowe 2 16 6 3" xfId="14106"/>
    <cellStyle name="Dane wyjściowe 2 16 6 4" xfId="14107"/>
    <cellStyle name="Dane wyjściowe 2 16 7" xfId="14108"/>
    <cellStyle name="Dane wyjściowe 2 16 7 2" xfId="14109"/>
    <cellStyle name="Dane wyjściowe 2 16 7 3" xfId="14110"/>
    <cellStyle name="Dane wyjściowe 2 16 7 4" xfId="14111"/>
    <cellStyle name="Dane wyjściowe 2 16 8" xfId="14112"/>
    <cellStyle name="Dane wyjściowe 2 16 8 2" xfId="14113"/>
    <cellStyle name="Dane wyjściowe 2 16 8 3" xfId="14114"/>
    <cellStyle name="Dane wyjściowe 2 16 8 4" xfId="14115"/>
    <cellStyle name="Dane wyjściowe 2 16 9" xfId="14116"/>
    <cellStyle name="Dane wyjściowe 2 16 9 2" xfId="14117"/>
    <cellStyle name="Dane wyjściowe 2 16 9 3" xfId="14118"/>
    <cellStyle name="Dane wyjściowe 2 16 9 4" xfId="14119"/>
    <cellStyle name="Dane wyjściowe 2 17" xfId="14120"/>
    <cellStyle name="Dane wyjściowe 2 17 10" xfId="14121"/>
    <cellStyle name="Dane wyjściowe 2 17 10 2" xfId="14122"/>
    <cellStyle name="Dane wyjściowe 2 17 10 3" xfId="14123"/>
    <cellStyle name="Dane wyjściowe 2 17 10 4" xfId="14124"/>
    <cellStyle name="Dane wyjściowe 2 17 11" xfId="14125"/>
    <cellStyle name="Dane wyjściowe 2 17 11 2" xfId="14126"/>
    <cellStyle name="Dane wyjściowe 2 17 11 3" xfId="14127"/>
    <cellStyle name="Dane wyjściowe 2 17 11 4" xfId="14128"/>
    <cellStyle name="Dane wyjściowe 2 17 12" xfId="14129"/>
    <cellStyle name="Dane wyjściowe 2 17 12 2" xfId="14130"/>
    <cellStyle name="Dane wyjściowe 2 17 12 3" xfId="14131"/>
    <cellStyle name="Dane wyjściowe 2 17 12 4" xfId="14132"/>
    <cellStyle name="Dane wyjściowe 2 17 13" xfId="14133"/>
    <cellStyle name="Dane wyjściowe 2 17 13 2" xfId="14134"/>
    <cellStyle name="Dane wyjściowe 2 17 13 3" xfId="14135"/>
    <cellStyle name="Dane wyjściowe 2 17 13 4" xfId="14136"/>
    <cellStyle name="Dane wyjściowe 2 17 14" xfId="14137"/>
    <cellStyle name="Dane wyjściowe 2 17 14 2" xfId="14138"/>
    <cellStyle name="Dane wyjściowe 2 17 14 3" xfId="14139"/>
    <cellStyle name="Dane wyjściowe 2 17 14 4" xfId="14140"/>
    <cellStyle name="Dane wyjściowe 2 17 15" xfId="14141"/>
    <cellStyle name="Dane wyjściowe 2 17 15 2" xfId="14142"/>
    <cellStyle name="Dane wyjściowe 2 17 15 3" xfId="14143"/>
    <cellStyle name="Dane wyjściowe 2 17 15 4" xfId="14144"/>
    <cellStyle name="Dane wyjściowe 2 17 16" xfId="14145"/>
    <cellStyle name="Dane wyjściowe 2 17 16 2" xfId="14146"/>
    <cellStyle name="Dane wyjściowe 2 17 16 3" xfId="14147"/>
    <cellStyle name="Dane wyjściowe 2 17 16 4" xfId="14148"/>
    <cellStyle name="Dane wyjściowe 2 17 17" xfId="14149"/>
    <cellStyle name="Dane wyjściowe 2 17 17 2" xfId="14150"/>
    <cellStyle name="Dane wyjściowe 2 17 17 3" xfId="14151"/>
    <cellStyle name="Dane wyjściowe 2 17 17 4" xfId="14152"/>
    <cellStyle name="Dane wyjściowe 2 17 18" xfId="14153"/>
    <cellStyle name="Dane wyjściowe 2 17 18 2" xfId="14154"/>
    <cellStyle name="Dane wyjściowe 2 17 18 3" xfId="14155"/>
    <cellStyle name="Dane wyjściowe 2 17 18 4" xfId="14156"/>
    <cellStyle name="Dane wyjściowe 2 17 19" xfId="14157"/>
    <cellStyle name="Dane wyjściowe 2 17 19 2" xfId="14158"/>
    <cellStyle name="Dane wyjściowe 2 17 19 3" xfId="14159"/>
    <cellStyle name="Dane wyjściowe 2 17 19 4" xfId="14160"/>
    <cellStyle name="Dane wyjściowe 2 17 2" xfId="14161"/>
    <cellStyle name="Dane wyjściowe 2 17 2 2" xfId="14162"/>
    <cellStyle name="Dane wyjściowe 2 17 2 3" xfId="14163"/>
    <cellStyle name="Dane wyjściowe 2 17 2 4" xfId="14164"/>
    <cellStyle name="Dane wyjściowe 2 17 20" xfId="14165"/>
    <cellStyle name="Dane wyjściowe 2 17 20 2" xfId="14166"/>
    <cellStyle name="Dane wyjściowe 2 17 20 3" xfId="14167"/>
    <cellStyle name="Dane wyjściowe 2 17 20 4" xfId="14168"/>
    <cellStyle name="Dane wyjściowe 2 17 21" xfId="14169"/>
    <cellStyle name="Dane wyjściowe 2 17 21 2" xfId="14170"/>
    <cellStyle name="Dane wyjściowe 2 17 21 3" xfId="14171"/>
    <cellStyle name="Dane wyjściowe 2 17 22" xfId="14172"/>
    <cellStyle name="Dane wyjściowe 2 17 22 2" xfId="14173"/>
    <cellStyle name="Dane wyjściowe 2 17 22 3" xfId="14174"/>
    <cellStyle name="Dane wyjściowe 2 17 23" xfId="14175"/>
    <cellStyle name="Dane wyjściowe 2 17 23 2" xfId="14176"/>
    <cellStyle name="Dane wyjściowe 2 17 23 3" xfId="14177"/>
    <cellStyle name="Dane wyjściowe 2 17 24" xfId="14178"/>
    <cellStyle name="Dane wyjściowe 2 17 24 2" xfId="14179"/>
    <cellStyle name="Dane wyjściowe 2 17 24 3" xfId="14180"/>
    <cellStyle name="Dane wyjściowe 2 17 25" xfId="14181"/>
    <cellStyle name="Dane wyjściowe 2 17 25 2" xfId="14182"/>
    <cellStyle name="Dane wyjściowe 2 17 25 3" xfId="14183"/>
    <cellStyle name="Dane wyjściowe 2 17 26" xfId="14184"/>
    <cellStyle name="Dane wyjściowe 2 17 26 2" xfId="14185"/>
    <cellStyle name="Dane wyjściowe 2 17 26 3" xfId="14186"/>
    <cellStyle name="Dane wyjściowe 2 17 27" xfId="14187"/>
    <cellStyle name="Dane wyjściowe 2 17 27 2" xfId="14188"/>
    <cellStyle name="Dane wyjściowe 2 17 27 3" xfId="14189"/>
    <cellStyle name="Dane wyjściowe 2 17 28" xfId="14190"/>
    <cellStyle name="Dane wyjściowe 2 17 28 2" xfId="14191"/>
    <cellStyle name="Dane wyjściowe 2 17 28 3" xfId="14192"/>
    <cellStyle name="Dane wyjściowe 2 17 29" xfId="14193"/>
    <cellStyle name="Dane wyjściowe 2 17 29 2" xfId="14194"/>
    <cellStyle name="Dane wyjściowe 2 17 29 3" xfId="14195"/>
    <cellStyle name="Dane wyjściowe 2 17 3" xfId="14196"/>
    <cellStyle name="Dane wyjściowe 2 17 3 2" xfId="14197"/>
    <cellStyle name="Dane wyjściowe 2 17 3 3" xfId="14198"/>
    <cellStyle name="Dane wyjściowe 2 17 3 4" xfId="14199"/>
    <cellStyle name="Dane wyjściowe 2 17 30" xfId="14200"/>
    <cellStyle name="Dane wyjściowe 2 17 30 2" xfId="14201"/>
    <cellStyle name="Dane wyjściowe 2 17 30 3" xfId="14202"/>
    <cellStyle name="Dane wyjściowe 2 17 31" xfId="14203"/>
    <cellStyle name="Dane wyjściowe 2 17 31 2" xfId="14204"/>
    <cellStyle name="Dane wyjściowe 2 17 31 3" xfId="14205"/>
    <cellStyle name="Dane wyjściowe 2 17 32" xfId="14206"/>
    <cellStyle name="Dane wyjściowe 2 17 32 2" xfId="14207"/>
    <cellStyle name="Dane wyjściowe 2 17 32 3" xfId="14208"/>
    <cellStyle name="Dane wyjściowe 2 17 33" xfId="14209"/>
    <cellStyle name="Dane wyjściowe 2 17 33 2" xfId="14210"/>
    <cellStyle name="Dane wyjściowe 2 17 33 3" xfId="14211"/>
    <cellStyle name="Dane wyjściowe 2 17 34" xfId="14212"/>
    <cellStyle name="Dane wyjściowe 2 17 34 2" xfId="14213"/>
    <cellStyle name="Dane wyjściowe 2 17 34 3" xfId="14214"/>
    <cellStyle name="Dane wyjściowe 2 17 35" xfId="14215"/>
    <cellStyle name="Dane wyjściowe 2 17 35 2" xfId="14216"/>
    <cellStyle name="Dane wyjściowe 2 17 35 3" xfId="14217"/>
    <cellStyle name="Dane wyjściowe 2 17 36" xfId="14218"/>
    <cellStyle name="Dane wyjściowe 2 17 36 2" xfId="14219"/>
    <cellStyle name="Dane wyjściowe 2 17 36 3" xfId="14220"/>
    <cellStyle name="Dane wyjściowe 2 17 37" xfId="14221"/>
    <cellStyle name="Dane wyjściowe 2 17 37 2" xfId="14222"/>
    <cellStyle name="Dane wyjściowe 2 17 37 3" xfId="14223"/>
    <cellStyle name="Dane wyjściowe 2 17 38" xfId="14224"/>
    <cellStyle name="Dane wyjściowe 2 17 38 2" xfId="14225"/>
    <cellStyle name="Dane wyjściowe 2 17 38 3" xfId="14226"/>
    <cellStyle name="Dane wyjściowe 2 17 39" xfId="14227"/>
    <cellStyle name="Dane wyjściowe 2 17 39 2" xfId="14228"/>
    <cellStyle name="Dane wyjściowe 2 17 39 3" xfId="14229"/>
    <cellStyle name="Dane wyjściowe 2 17 4" xfId="14230"/>
    <cellStyle name="Dane wyjściowe 2 17 4 2" xfId="14231"/>
    <cellStyle name="Dane wyjściowe 2 17 4 3" xfId="14232"/>
    <cellStyle name="Dane wyjściowe 2 17 4 4" xfId="14233"/>
    <cellStyle name="Dane wyjściowe 2 17 40" xfId="14234"/>
    <cellStyle name="Dane wyjściowe 2 17 40 2" xfId="14235"/>
    <cellStyle name="Dane wyjściowe 2 17 40 3" xfId="14236"/>
    <cellStyle name="Dane wyjściowe 2 17 41" xfId="14237"/>
    <cellStyle name="Dane wyjściowe 2 17 41 2" xfId="14238"/>
    <cellStyle name="Dane wyjściowe 2 17 41 3" xfId="14239"/>
    <cellStyle name="Dane wyjściowe 2 17 42" xfId="14240"/>
    <cellStyle name="Dane wyjściowe 2 17 42 2" xfId="14241"/>
    <cellStyle name="Dane wyjściowe 2 17 42 3" xfId="14242"/>
    <cellStyle name="Dane wyjściowe 2 17 43" xfId="14243"/>
    <cellStyle name="Dane wyjściowe 2 17 43 2" xfId="14244"/>
    <cellStyle name="Dane wyjściowe 2 17 43 3" xfId="14245"/>
    <cellStyle name="Dane wyjściowe 2 17 44" xfId="14246"/>
    <cellStyle name="Dane wyjściowe 2 17 44 2" xfId="14247"/>
    <cellStyle name="Dane wyjściowe 2 17 44 3" xfId="14248"/>
    <cellStyle name="Dane wyjściowe 2 17 45" xfId="14249"/>
    <cellStyle name="Dane wyjściowe 2 17 45 2" xfId="14250"/>
    <cellStyle name="Dane wyjściowe 2 17 45 3" xfId="14251"/>
    <cellStyle name="Dane wyjściowe 2 17 46" xfId="14252"/>
    <cellStyle name="Dane wyjściowe 2 17 46 2" xfId="14253"/>
    <cellStyle name="Dane wyjściowe 2 17 46 3" xfId="14254"/>
    <cellStyle name="Dane wyjściowe 2 17 47" xfId="14255"/>
    <cellStyle name="Dane wyjściowe 2 17 47 2" xfId="14256"/>
    <cellStyle name="Dane wyjściowe 2 17 47 3" xfId="14257"/>
    <cellStyle name="Dane wyjściowe 2 17 48" xfId="14258"/>
    <cellStyle name="Dane wyjściowe 2 17 48 2" xfId="14259"/>
    <cellStyle name="Dane wyjściowe 2 17 48 3" xfId="14260"/>
    <cellStyle name="Dane wyjściowe 2 17 49" xfId="14261"/>
    <cellStyle name="Dane wyjściowe 2 17 49 2" xfId="14262"/>
    <cellStyle name="Dane wyjściowe 2 17 49 3" xfId="14263"/>
    <cellStyle name="Dane wyjściowe 2 17 5" xfId="14264"/>
    <cellStyle name="Dane wyjściowe 2 17 5 2" xfId="14265"/>
    <cellStyle name="Dane wyjściowe 2 17 5 3" xfId="14266"/>
    <cellStyle name="Dane wyjściowe 2 17 5 4" xfId="14267"/>
    <cellStyle name="Dane wyjściowe 2 17 50" xfId="14268"/>
    <cellStyle name="Dane wyjściowe 2 17 50 2" xfId="14269"/>
    <cellStyle name="Dane wyjściowe 2 17 50 3" xfId="14270"/>
    <cellStyle name="Dane wyjściowe 2 17 51" xfId="14271"/>
    <cellStyle name="Dane wyjściowe 2 17 51 2" xfId="14272"/>
    <cellStyle name="Dane wyjściowe 2 17 51 3" xfId="14273"/>
    <cellStyle name="Dane wyjściowe 2 17 52" xfId="14274"/>
    <cellStyle name="Dane wyjściowe 2 17 52 2" xfId="14275"/>
    <cellStyle name="Dane wyjściowe 2 17 52 3" xfId="14276"/>
    <cellStyle name="Dane wyjściowe 2 17 53" xfId="14277"/>
    <cellStyle name="Dane wyjściowe 2 17 53 2" xfId="14278"/>
    <cellStyle name="Dane wyjściowe 2 17 53 3" xfId="14279"/>
    <cellStyle name="Dane wyjściowe 2 17 54" xfId="14280"/>
    <cellStyle name="Dane wyjściowe 2 17 54 2" xfId="14281"/>
    <cellStyle name="Dane wyjściowe 2 17 54 3" xfId="14282"/>
    <cellStyle name="Dane wyjściowe 2 17 55" xfId="14283"/>
    <cellStyle name="Dane wyjściowe 2 17 55 2" xfId="14284"/>
    <cellStyle name="Dane wyjściowe 2 17 55 3" xfId="14285"/>
    <cellStyle name="Dane wyjściowe 2 17 56" xfId="14286"/>
    <cellStyle name="Dane wyjściowe 2 17 56 2" xfId="14287"/>
    <cellStyle name="Dane wyjściowe 2 17 56 3" xfId="14288"/>
    <cellStyle name="Dane wyjściowe 2 17 57" xfId="14289"/>
    <cellStyle name="Dane wyjściowe 2 17 58" xfId="14290"/>
    <cellStyle name="Dane wyjściowe 2 17 6" xfId="14291"/>
    <cellStyle name="Dane wyjściowe 2 17 6 2" xfId="14292"/>
    <cellStyle name="Dane wyjściowe 2 17 6 3" xfId="14293"/>
    <cellStyle name="Dane wyjściowe 2 17 6 4" xfId="14294"/>
    <cellStyle name="Dane wyjściowe 2 17 7" xfId="14295"/>
    <cellStyle name="Dane wyjściowe 2 17 7 2" xfId="14296"/>
    <cellStyle name="Dane wyjściowe 2 17 7 3" xfId="14297"/>
    <cellStyle name="Dane wyjściowe 2 17 7 4" xfId="14298"/>
    <cellStyle name="Dane wyjściowe 2 17 8" xfId="14299"/>
    <cellStyle name="Dane wyjściowe 2 17 8 2" xfId="14300"/>
    <cellStyle name="Dane wyjściowe 2 17 8 3" xfId="14301"/>
    <cellStyle name="Dane wyjściowe 2 17 8 4" xfId="14302"/>
    <cellStyle name="Dane wyjściowe 2 17 9" xfId="14303"/>
    <cellStyle name="Dane wyjściowe 2 17 9 2" xfId="14304"/>
    <cellStyle name="Dane wyjściowe 2 17 9 3" xfId="14305"/>
    <cellStyle name="Dane wyjściowe 2 17 9 4" xfId="14306"/>
    <cellStyle name="Dane wyjściowe 2 18" xfId="14307"/>
    <cellStyle name="Dane wyjściowe 2 18 10" xfId="14308"/>
    <cellStyle name="Dane wyjściowe 2 18 10 2" xfId="14309"/>
    <cellStyle name="Dane wyjściowe 2 18 10 3" xfId="14310"/>
    <cellStyle name="Dane wyjściowe 2 18 10 4" xfId="14311"/>
    <cellStyle name="Dane wyjściowe 2 18 11" xfId="14312"/>
    <cellStyle name="Dane wyjściowe 2 18 11 2" xfId="14313"/>
    <cellStyle name="Dane wyjściowe 2 18 11 3" xfId="14314"/>
    <cellStyle name="Dane wyjściowe 2 18 11 4" xfId="14315"/>
    <cellStyle name="Dane wyjściowe 2 18 12" xfId="14316"/>
    <cellStyle name="Dane wyjściowe 2 18 12 2" xfId="14317"/>
    <cellStyle name="Dane wyjściowe 2 18 12 3" xfId="14318"/>
    <cellStyle name="Dane wyjściowe 2 18 12 4" xfId="14319"/>
    <cellStyle name="Dane wyjściowe 2 18 13" xfId="14320"/>
    <cellStyle name="Dane wyjściowe 2 18 13 2" xfId="14321"/>
    <cellStyle name="Dane wyjściowe 2 18 13 3" xfId="14322"/>
    <cellStyle name="Dane wyjściowe 2 18 13 4" xfId="14323"/>
    <cellStyle name="Dane wyjściowe 2 18 14" xfId="14324"/>
    <cellStyle name="Dane wyjściowe 2 18 14 2" xfId="14325"/>
    <cellStyle name="Dane wyjściowe 2 18 14 3" xfId="14326"/>
    <cellStyle name="Dane wyjściowe 2 18 14 4" xfId="14327"/>
    <cellStyle name="Dane wyjściowe 2 18 15" xfId="14328"/>
    <cellStyle name="Dane wyjściowe 2 18 15 2" xfId="14329"/>
    <cellStyle name="Dane wyjściowe 2 18 15 3" xfId="14330"/>
    <cellStyle name="Dane wyjściowe 2 18 15 4" xfId="14331"/>
    <cellStyle name="Dane wyjściowe 2 18 16" xfId="14332"/>
    <cellStyle name="Dane wyjściowe 2 18 16 2" xfId="14333"/>
    <cellStyle name="Dane wyjściowe 2 18 16 3" xfId="14334"/>
    <cellStyle name="Dane wyjściowe 2 18 16 4" xfId="14335"/>
    <cellStyle name="Dane wyjściowe 2 18 17" xfId="14336"/>
    <cellStyle name="Dane wyjściowe 2 18 17 2" xfId="14337"/>
    <cellStyle name="Dane wyjściowe 2 18 17 3" xfId="14338"/>
    <cellStyle name="Dane wyjściowe 2 18 17 4" xfId="14339"/>
    <cellStyle name="Dane wyjściowe 2 18 18" xfId="14340"/>
    <cellStyle name="Dane wyjściowe 2 18 18 2" xfId="14341"/>
    <cellStyle name="Dane wyjściowe 2 18 18 3" xfId="14342"/>
    <cellStyle name="Dane wyjściowe 2 18 18 4" xfId="14343"/>
    <cellStyle name="Dane wyjściowe 2 18 19" xfId="14344"/>
    <cellStyle name="Dane wyjściowe 2 18 19 2" xfId="14345"/>
    <cellStyle name="Dane wyjściowe 2 18 19 3" xfId="14346"/>
    <cellStyle name="Dane wyjściowe 2 18 19 4" xfId="14347"/>
    <cellStyle name="Dane wyjściowe 2 18 2" xfId="14348"/>
    <cellStyle name="Dane wyjściowe 2 18 2 2" xfId="14349"/>
    <cellStyle name="Dane wyjściowe 2 18 2 3" xfId="14350"/>
    <cellStyle name="Dane wyjściowe 2 18 2 4" xfId="14351"/>
    <cellStyle name="Dane wyjściowe 2 18 20" xfId="14352"/>
    <cellStyle name="Dane wyjściowe 2 18 20 2" xfId="14353"/>
    <cellStyle name="Dane wyjściowe 2 18 20 3" xfId="14354"/>
    <cellStyle name="Dane wyjściowe 2 18 20 4" xfId="14355"/>
    <cellStyle name="Dane wyjściowe 2 18 21" xfId="14356"/>
    <cellStyle name="Dane wyjściowe 2 18 21 2" xfId="14357"/>
    <cellStyle name="Dane wyjściowe 2 18 21 3" xfId="14358"/>
    <cellStyle name="Dane wyjściowe 2 18 22" xfId="14359"/>
    <cellStyle name="Dane wyjściowe 2 18 22 2" xfId="14360"/>
    <cellStyle name="Dane wyjściowe 2 18 22 3" xfId="14361"/>
    <cellStyle name="Dane wyjściowe 2 18 23" xfId="14362"/>
    <cellStyle name="Dane wyjściowe 2 18 23 2" xfId="14363"/>
    <cellStyle name="Dane wyjściowe 2 18 23 3" xfId="14364"/>
    <cellStyle name="Dane wyjściowe 2 18 24" xfId="14365"/>
    <cellStyle name="Dane wyjściowe 2 18 24 2" xfId="14366"/>
    <cellStyle name="Dane wyjściowe 2 18 24 3" xfId="14367"/>
    <cellStyle name="Dane wyjściowe 2 18 25" xfId="14368"/>
    <cellStyle name="Dane wyjściowe 2 18 25 2" xfId="14369"/>
    <cellStyle name="Dane wyjściowe 2 18 25 3" xfId="14370"/>
    <cellStyle name="Dane wyjściowe 2 18 26" xfId="14371"/>
    <cellStyle name="Dane wyjściowe 2 18 26 2" xfId="14372"/>
    <cellStyle name="Dane wyjściowe 2 18 26 3" xfId="14373"/>
    <cellStyle name="Dane wyjściowe 2 18 27" xfId="14374"/>
    <cellStyle name="Dane wyjściowe 2 18 27 2" xfId="14375"/>
    <cellStyle name="Dane wyjściowe 2 18 27 3" xfId="14376"/>
    <cellStyle name="Dane wyjściowe 2 18 28" xfId="14377"/>
    <cellStyle name="Dane wyjściowe 2 18 28 2" xfId="14378"/>
    <cellStyle name="Dane wyjściowe 2 18 28 3" xfId="14379"/>
    <cellStyle name="Dane wyjściowe 2 18 29" xfId="14380"/>
    <cellStyle name="Dane wyjściowe 2 18 29 2" xfId="14381"/>
    <cellStyle name="Dane wyjściowe 2 18 29 3" xfId="14382"/>
    <cellStyle name="Dane wyjściowe 2 18 3" xfId="14383"/>
    <cellStyle name="Dane wyjściowe 2 18 3 2" xfId="14384"/>
    <cellStyle name="Dane wyjściowe 2 18 3 3" xfId="14385"/>
    <cellStyle name="Dane wyjściowe 2 18 3 4" xfId="14386"/>
    <cellStyle name="Dane wyjściowe 2 18 30" xfId="14387"/>
    <cellStyle name="Dane wyjściowe 2 18 30 2" xfId="14388"/>
    <cellStyle name="Dane wyjściowe 2 18 30 3" xfId="14389"/>
    <cellStyle name="Dane wyjściowe 2 18 31" xfId="14390"/>
    <cellStyle name="Dane wyjściowe 2 18 31 2" xfId="14391"/>
    <cellStyle name="Dane wyjściowe 2 18 31 3" xfId="14392"/>
    <cellStyle name="Dane wyjściowe 2 18 32" xfId="14393"/>
    <cellStyle name="Dane wyjściowe 2 18 32 2" xfId="14394"/>
    <cellStyle name="Dane wyjściowe 2 18 32 3" xfId="14395"/>
    <cellStyle name="Dane wyjściowe 2 18 33" xfId="14396"/>
    <cellStyle name="Dane wyjściowe 2 18 33 2" xfId="14397"/>
    <cellStyle name="Dane wyjściowe 2 18 33 3" xfId="14398"/>
    <cellStyle name="Dane wyjściowe 2 18 34" xfId="14399"/>
    <cellStyle name="Dane wyjściowe 2 18 34 2" xfId="14400"/>
    <cellStyle name="Dane wyjściowe 2 18 34 3" xfId="14401"/>
    <cellStyle name="Dane wyjściowe 2 18 35" xfId="14402"/>
    <cellStyle name="Dane wyjściowe 2 18 35 2" xfId="14403"/>
    <cellStyle name="Dane wyjściowe 2 18 35 3" xfId="14404"/>
    <cellStyle name="Dane wyjściowe 2 18 36" xfId="14405"/>
    <cellStyle name="Dane wyjściowe 2 18 36 2" xfId="14406"/>
    <cellStyle name="Dane wyjściowe 2 18 36 3" xfId="14407"/>
    <cellStyle name="Dane wyjściowe 2 18 37" xfId="14408"/>
    <cellStyle name="Dane wyjściowe 2 18 37 2" xfId="14409"/>
    <cellStyle name="Dane wyjściowe 2 18 37 3" xfId="14410"/>
    <cellStyle name="Dane wyjściowe 2 18 38" xfId="14411"/>
    <cellStyle name="Dane wyjściowe 2 18 38 2" xfId="14412"/>
    <cellStyle name="Dane wyjściowe 2 18 38 3" xfId="14413"/>
    <cellStyle name="Dane wyjściowe 2 18 39" xfId="14414"/>
    <cellStyle name="Dane wyjściowe 2 18 39 2" xfId="14415"/>
    <cellStyle name="Dane wyjściowe 2 18 39 3" xfId="14416"/>
    <cellStyle name="Dane wyjściowe 2 18 4" xfId="14417"/>
    <cellStyle name="Dane wyjściowe 2 18 4 2" xfId="14418"/>
    <cellStyle name="Dane wyjściowe 2 18 4 3" xfId="14419"/>
    <cellStyle name="Dane wyjściowe 2 18 4 4" xfId="14420"/>
    <cellStyle name="Dane wyjściowe 2 18 40" xfId="14421"/>
    <cellStyle name="Dane wyjściowe 2 18 40 2" xfId="14422"/>
    <cellStyle name="Dane wyjściowe 2 18 40 3" xfId="14423"/>
    <cellStyle name="Dane wyjściowe 2 18 41" xfId="14424"/>
    <cellStyle name="Dane wyjściowe 2 18 41 2" xfId="14425"/>
    <cellStyle name="Dane wyjściowe 2 18 41 3" xfId="14426"/>
    <cellStyle name="Dane wyjściowe 2 18 42" xfId="14427"/>
    <cellStyle name="Dane wyjściowe 2 18 42 2" xfId="14428"/>
    <cellStyle name="Dane wyjściowe 2 18 42 3" xfId="14429"/>
    <cellStyle name="Dane wyjściowe 2 18 43" xfId="14430"/>
    <cellStyle name="Dane wyjściowe 2 18 43 2" xfId="14431"/>
    <cellStyle name="Dane wyjściowe 2 18 43 3" xfId="14432"/>
    <cellStyle name="Dane wyjściowe 2 18 44" xfId="14433"/>
    <cellStyle name="Dane wyjściowe 2 18 44 2" xfId="14434"/>
    <cellStyle name="Dane wyjściowe 2 18 44 3" xfId="14435"/>
    <cellStyle name="Dane wyjściowe 2 18 45" xfId="14436"/>
    <cellStyle name="Dane wyjściowe 2 18 45 2" xfId="14437"/>
    <cellStyle name="Dane wyjściowe 2 18 45 3" xfId="14438"/>
    <cellStyle name="Dane wyjściowe 2 18 46" xfId="14439"/>
    <cellStyle name="Dane wyjściowe 2 18 46 2" xfId="14440"/>
    <cellStyle name="Dane wyjściowe 2 18 46 3" xfId="14441"/>
    <cellStyle name="Dane wyjściowe 2 18 47" xfId="14442"/>
    <cellStyle name="Dane wyjściowe 2 18 47 2" xfId="14443"/>
    <cellStyle name="Dane wyjściowe 2 18 47 3" xfId="14444"/>
    <cellStyle name="Dane wyjściowe 2 18 48" xfId="14445"/>
    <cellStyle name="Dane wyjściowe 2 18 48 2" xfId="14446"/>
    <cellStyle name="Dane wyjściowe 2 18 48 3" xfId="14447"/>
    <cellStyle name="Dane wyjściowe 2 18 49" xfId="14448"/>
    <cellStyle name="Dane wyjściowe 2 18 49 2" xfId="14449"/>
    <cellStyle name="Dane wyjściowe 2 18 49 3" xfId="14450"/>
    <cellStyle name="Dane wyjściowe 2 18 5" xfId="14451"/>
    <cellStyle name="Dane wyjściowe 2 18 5 2" xfId="14452"/>
    <cellStyle name="Dane wyjściowe 2 18 5 3" xfId="14453"/>
    <cellStyle name="Dane wyjściowe 2 18 5 4" xfId="14454"/>
    <cellStyle name="Dane wyjściowe 2 18 50" xfId="14455"/>
    <cellStyle name="Dane wyjściowe 2 18 50 2" xfId="14456"/>
    <cellStyle name="Dane wyjściowe 2 18 50 3" xfId="14457"/>
    <cellStyle name="Dane wyjściowe 2 18 51" xfId="14458"/>
    <cellStyle name="Dane wyjściowe 2 18 51 2" xfId="14459"/>
    <cellStyle name="Dane wyjściowe 2 18 51 3" xfId="14460"/>
    <cellStyle name="Dane wyjściowe 2 18 52" xfId="14461"/>
    <cellStyle name="Dane wyjściowe 2 18 52 2" xfId="14462"/>
    <cellStyle name="Dane wyjściowe 2 18 52 3" xfId="14463"/>
    <cellStyle name="Dane wyjściowe 2 18 53" xfId="14464"/>
    <cellStyle name="Dane wyjściowe 2 18 53 2" xfId="14465"/>
    <cellStyle name="Dane wyjściowe 2 18 53 3" xfId="14466"/>
    <cellStyle name="Dane wyjściowe 2 18 54" xfId="14467"/>
    <cellStyle name="Dane wyjściowe 2 18 54 2" xfId="14468"/>
    <cellStyle name="Dane wyjściowe 2 18 54 3" xfId="14469"/>
    <cellStyle name="Dane wyjściowe 2 18 55" xfId="14470"/>
    <cellStyle name="Dane wyjściowe 2 18 55 2" xfId="14471"/>
    <cellStyle name="Dane wyjściowe 2 18 55 3" xfId="14472"/>
    <cellStyle name="Dane wyjściowe 2 18 56" xfId="14473"/>
    <cellStyle name="Dane wyjściowe 2 18 56 2" xfId="14474"/>
    <cellStyle name="Dane wyjściowe 2 18 56 3" xfId="14475"/>
    <cellStyle name="Dane wyjściowe 2 18 57" xfId="14476"/>
    <cellStyle name="Dane wyjściowe 2 18 58" xfId="14477"/>
    <cellStyle name="Dane wyjściowe 2 18 6" xfId="14478"/>
    <cellStyle name="Dane wyjściowe 2 18 6 2" xfId="14479"/>
    <cellStyle name="Dane wyjściowe 2 18 6 3" xfId="14480"/>
    <cellStyle name="Dane wyjściowe 2 18 6 4" xfId="14481"/>
    <cellStyle name="Dane wyjściowe 2 18 7" xfId="14482"/>
    <cellStyle name="Dane wyjściowe 2 18 7 2" xfId="14483"/>
    <cellStyle name="Dane wyjściowe 2 18 7 3" xfId="14484"/>
    <cellStyle name="Dane wyjściowe 2 18 7 4" xfId="14485"/>
    <cellStyle name="Dane wyjściowe 2 18 8" xfId="14486"/>
    <cellStyle name="Dane wyjściowe 2 18 8 2" xfId="14487"/>
    <cellStyle name="Dane wyjściowe 2 18 8 3" xfId="14488"/>
    <cellStyle name="Dane wyjściowe 2 18 8 4" xfId="14489"/>
    <cellStyle name="Dane wyjściowe 2 18 9" xfId="14490"/>
    <cellStyle name="Dane wyjściowe 2 18 9 2" xfId="14491"/>
    <cellStyle name="Dane wyjściowe 2 18 9 3" xfId="14492"/>
    <cellStyle name="Dane wyjściowe 2 18 9 4" xfId="14493"/>
    <cellStyle name="Dane wyjściowe 2 19" xfId="14494"/>
    <cellStyle name="Dane wyjściowe 2 19 10" xfId="14495"/>
    <cellStyle name="Dane wyjściowe 2 19 10 2" xfId="14496"/>
    <cellStyle name="Dane wyjściowe 2 19 10 3" xfId="14497"/>
    <cellStyle name="Dane wyjściowe 2 19 10 4" xfId="14498"/>
    <cellStyle name="Dane wyjściowe 2 19 11" xfId="14499"/>
    <cellStyle name="Dane wyjściowe 2 19 11 2" xfId="14500"/>
    <cellStyle name="Dane wyjściowe 2 19 11 3" xfId="14501"/>
    <cellStyle name="Dane wyjściowe 2 19 11 4" xfId="14502"/>
    <cellStyle name="Dane wyjściowe 2 19 12" xfId="14503"/>
    <cellStyle name="Dane wyjściowe 2 19 12 2" xfId="14504"/>
    <cellStyle name="Dane wyjściowe 2 19 12 3" xfId="14505"/>
    <cellStyle name="Dane wyjściowe 2 19 12 4" xfId="14506"/>
    <cellStyle name="Dane wyjściowe 2 19 13" xfId="14507"/>
    <cellStyle name="Dane wyjściowe 2 19 13 2" xfId="14508"/>
    <cellStyle name="Dane wyjściowe 2 19 13 3" xfId="14509"/>
    <cellStyle name="Dane wyjściowe 2 19 13 4" xfId="14510"/>
    <cellStyle name="Dane wyjściowe 2 19 14" xfId="14511"/>
    <cellStyle name="Dane wyjściowe 2 19 14 2" xfId="14512"/>
    <cellStyle name="Dane wyjściowe 2 19 14 3" xfId="14513"/>
    <cellStyle name="Dane wyjściowe 2 19 14 4" xfId="14514"/>
    <cellStyle name="Dane wyjściowe 2 19 15" xfId="14515"/>
    <cellStyle name="Dane wyjściowe 2 19 15 2" xfId="14516"/>
    <cellStyle name="Dane wyjściowe 2 19 15 3" xfId="14517"/>
    <cellStyle name="Dane wyjściowe 2 19 15 4" xfId="14518"/>
    <cellStyle name="Dane wyjściowe 2 19 16" xfId="14519"/>
    <cellStyle name="Dane wyjściowe 2 19 16 2" xfId="14520"/>
    <cellStyle name="Dane wyjściowe 2 19 16 3" xfId="14521"/>
    <cellStyle name="Dane wyjściowe 2 19 16 4" xfId="14522"/>
    <cellStyle name="Dane wyjściowe 2 19 17" xfId="14523"/>
    <cellStyle name="Dane wyjściowe 2 19 17 2" xfId="14524"/>
    <cellStyle name="Dane wyjściowe 2 19 17 3" xfId="14525"/>
    <cellStyle name="Dane wyjściowe 2 19 17 4" xfId="14526"/>
    <cellStyle name="Dane wyjściowe 2 19 18" xfId="14527"/>
    <cellStyle name="Dane wyjściowe 2 19 18 2" xfId="14528"/>
    <cellStyle name="Dane wyjściowe 2 19 18 3" xfId="14529"/>
    <cellStyle name="Dane wyjściowe 2 19 18 4" xfId="14530"/>
    <cellStyle name="Dane wyjściowe 2 19 19" xfId="14531"/>
    <cellStyle name="Dane wyjściowe 2 19 19 2" xfId="14532"/>
    <cellStyle name="Dane wyjściowe 2 19 19 3" xfId="14533"/>
    <cellStyle name="Dane wyjściowe 2 19 19 4" xfId="14534"/>
    <cellStyle name="Dane wyjściowe 2 19 2" xfId="14535"/>
    <cellStyle name="Dane wyjściowe 2 19 2 2" xfId="14536"/>
    <cellStyle name="Dane wyjściowe 2 19 2 3" xfId="14537"/>
    <cellStyle name="Dane wyjściowe 2 19 2 4" xfId="14538"/>
    <cellStyle name="Dane wyjściowe 2 19 20" xfId="14539"/>
    <cellStyle name="Dane wyjściowe 2 19 20 2" xfId="14540"/>
    <cellStyle name="Dane wyjściowe 2 19 20 3" xfId="14541"/>
    <cellStyle name="Dane wyjściowe 2 19 20 4" xfId="14542"/>
    <cellStyle name="Dane wyjściowe 2 19 21" xfId="14543"/>
    <cellStyle name="Dane wyjściowe 2 19 21 2" xfId="14544"/>
    <cellStyle name="Dane wyjściowe 2 19 21 3" xfId="14545"/>
    <cellStyle name="Dane wyjściowe 2 19 22" xfId="14546"/>
    <cellStyle name="Dane wyjściowe 2 19 22 2" xfId="14547"/>
    <cellStyle name="Dane wyjściowe 2 19 22 3" xfId="14548"/>
    <cellStyle name="Dane wyjściowe 2 19 23" xfId="14549"/>
    <cellStyle name="Dane wyjściowe 2 19 23 2" xfId="14550"/>
    <cellStyle name="Dane wyjściowe 2 19 23 3" xfId="14551"/>
    <cellStyle name="Dane wyjściowe 2 19 24" xfId="14552"/>
    <cellStyle name="Dane wyjściowe 2 19 24 2" xfId="14553"/>
    <cellStyle name="Dane wyjściowe 2 19 24 3" xfId="14554"/>
    <cellStyle name="Dane wyjściowe 2 19 25" xfId="14555"/>
    <cellStyle name="Dane wyjściowe 2 19 25 2" xfId="14556"/>
    <cellStyle name="Dane wyjściowe 2 19 25 3" xfId="14557"/>
    <cellStyle name="Dane wyjściowe 2 19 26" xfId="14558"/>
    <cellStyle name="Dane wyjściowe 2 19 26 2" xfId="14559"/>
    <cellStyle name="Dane wyjściowe 2 19 26 3" xfId="14560"/>
    <cellStyle name="Dane wyjściowe 2 19 27" xfId="14561"/>
    <cellStyle name="Dane wyjściowe 2 19 27 2" xfId="14562"/>
    <cellStyle name="Dane wyjściowe 2 19 27 3" xfId="14563"/>
    <cellStyle name="Dane wyjściowe 2 19 28" xfId="14564"/>
    <cellStyle name="Dane wyjściowe 2 19 28 2" xfId="14565"/>
    <cellStyle name="Dane wyjściowe 2 19 28 3" xfId="14566"/>
    <cellStyle name="Dane wyjściowe 2 19 29" xfId="14567"/>
    <cellStyle name="Dane wyjściowe 2 19 29 2" xfId="14568"/>
    <cellStyle name="Dane wyjściowe 2 19 29 3" xfId="14569"/>
    <cellStyle name="Dane wyjściowe 2 19 3" xfId="14570"/>
    <cellStyle name="Dane wyjściowe 2 19 3 2" xfId="14571"/>
    <cellStyle name="Dane wyjściowe 2 19 3 3" xfId="14572"/>
    <cellStyle name="Dane wyjściowe 2 19 3 4" xfId="14573"/>
    <cellStyle name="Dane wyjściowe 2 19 30" xfId="14574"/>
    <cellStyle name="Dane wyjściowe 2 19 30 2" xfId="14575"/>
    <cellStyle name="Dane wyjściowe 2 19 30 3" xfId="14576"/>
    <cellStyle name="Dane wyjściowe 2 19 31" xfId="14577"/>
    <cellStyle name="Dane wyjściowe 2 19 31 2" xfId="14578"/>
    <cellStyle name="Dane wyjściowe 2 19 31 3" xfId="14579"/>
    <cellStyle name="Dane wyjściowe 2 19 32" xfId="14580"/>
    <cellStyle name="Dane wyjściowe 2 19 32 2" xfId="14581"/>
    <cellStyle name="Dane wyjściowe 2 19 32 3" xfId="14582"/>
    <cellStyle name="Dane wyjściowe 2 19 33" xfId="14583"/>
    <cellStyle name="Dane wyjściowe 2 19 33 2" xfId="14584"/>
    <cellStyle name="Dane wyjściowe 2 19 33 3" xfId="14585"/>
    <cellStyle name="Dane wyjściowe 2 19 34" xfId="14586"/>
    <cellStyle name="Dane wyjściowe 2 19 34 2" xfId="14587"/>
    <cellStyle name="Dane wyjściowe 2 19 34 3" xfId="14588"/>
    <cellStyle name="Dane wyjściowe 2 19 35" xfId="14589"/>
    <cellStyle name="Dane wyjściowe 2 19 35 2" xfId="14590"/>
    <cellStyle name="Dane wyjściowe 2 19 35 3" xfId="14591"/>
    <cellStyle name="Dane wyjściowe 2 19 36" xfId="14592"/>
    <cellStyle name="Dane wyjściowe 2 19 36 2" xfId="14593"/>
    <cellStyle name="Dane wyjściowe 2 19 36 3" xfId="14594"/>
    <cellStyle name="Dane wyjściowe 2 19 37" xfId="14595"/>
    <cellStyle name="Dane wyjściowe 2 19 37 2" xfId="14596"/>
    <cellStyle name="Dane wyjściowe 2 19 37 3" xfId="14597"/>
    <cellStyle name="Dane wyjściowe 2 19 38" xfId="14598"/>
    <cellStyle name="Dane wyjściowe 2 19 38 2" xfId="14599"/>
    <cellStyle name="Dane wyjściowe 2 19 38 3" xfId="14600"/>
    <cellStyle name="Dane wyjściowe 2 19 39" xfId="14601"/>
    <cellStyle name="Dane wyjściowe 2 19 39 2" xfId="14602"/>
    <cellStyle name="Dane wyjściowe 2 19 39 3" xfId="14603"/>
    <cellStyle name="Dane wyjściowe 2 19 4" xfId="14604"/>
    <cellStyle name="Dane wyjściowe 2 19 4 2" xfId="14605"/>
    <cellStyle name="Dane wyjściowe 2 19 4 3" xfId="14606"/>
    <cellStyle name="Dane wyjściowe 2 19 4 4" xfId="14607"/>
    <cellStyle name="Dane wyjściowe 2 19 40" xfId="14608"/>
    <cellStyle name="Dane wyjściowe 2 19 40 2" xfId="14609"/>
    <cellStyle name="Dane wyjściowe 2 19 40 3" xfId="14610"/>
    <cellStyle name="Dane wyjściowe 2 19 41" xfId="14611"/>
    <cellStyle name="Dane wyjściowe 2 19 41 2" xfId="14612"/>
    <cellStyle name="Dane wyjściowe 2 19 41 3" xfId="14613"/>
    <cellStyle name="Dane wyjściowe 2 19 42" xfId="14614"/>
    <cellStyle name="Dane wyjściowe 2 19 42 2" xfId="14615"/>
    <cellStyle name="Dane wyjściowe 2 19 42 3" xfId="14616"/>
    <cellStyle name="Dane wyjściowe 2 19 43" xfId="14617"/>
    <cellStyle name="Dane wyjściowe 2 19 43 2" xfId="14618"/>
    <cellStyle name="Dane wyjściowe 2 19 43 3" xfId="14619"/>
    <cellStyle name="Dane wyjściowe 2 19 44" xfId="14620"/>
    <cellStyle name="Dane wyjściowe 2 19 44 2" xfId="14621"/>
    <cellStyle name="Dane wyjściowe 2 19 44 3" xfId="14622"/>
    <cellStyle name="Dane wyjściowe 2 19 45" xfId="14623"/>
    <cellStyle name="Dane wyjściowe 2 19 45 2" xfId="14624"/>
    <cellStyle name="Dane wyjściowe 2 19 45 3" xfId="14625"/>
    <cellStyle name="Dane wyjściowe 2 19 46" xfId="14626"/>
    <cellStyle name="Dane wyjściowe 2 19 46 2" xfId="14627"/>
    <cellStyle name="Dane wyjściowe 2 19 46 3" xfId="14628"/>
    <cellStyle name="Dane wyjściowe 2 19 47" xfId="14629"/>
    <cellStyle name="Dane wyjściowe 2 19 47 2" xfId="14630"/>
    <cellStyle name="Dane wyjściowe 2 19 47 3" xfId="14631"/>
    <cellStyle name="Dane wyjściowe 2 19 48" xfId="14632"/>
    <cellStyle name="Dane wyjściowe 2 19 48 2" xfId="14633"/>
    <cellStyle name="Dane wyjściowe 2 19 48 3" xfId="14634"/>
    <cellStyle name="Dane wyjściowe 2 19 49" xfId="14635"/>
    <cellStyle name="Dane wyjściowe 2 19 49 2" xfId="14636"/>
    <cellStyle name="Dane wyjściowe 2 19 49 3" xfId="14637"/>
    <cellStyle name="Dane wyjściowe 2 19 5" xfId="14638"/>
    <cellStyle name="Dane wyjściowe 2 19 5 2" xfId="14639"/>
    <cellStyle name="Dane wyjściowe 2 19 5 3" xfId="14640"/>
    <cellStyle name="Dane wyjściowe 2 19 5 4" xfId="14641"/>
    <cellStyle name="Dane wyjściowe 2 19 50" xfId="14642"/>
    <cellStyle name="Dane wyjściowe 2 19 50 2" xfId="14643"/>
    <cellStyle name="Dane wyjściowe 2 19 50 3" xfId="14644"/>
    <cellStyle name="Dane wyjściowe 2 19 51" xfId="14645"/>
    <cellStyle name="Dane wyjściowe 2 19 51 2" xfId="14646"/>
    <cellStyle name="Dane wyjściowe 2 19 51 3" xfId="14647"/>
    <cellStyle name="Dane wyjściowe 2 19 52" xfId="14648"/>
    <cellStyle name="Dane wyjściowe 2 19 52 2" xfId="14649"/>
    <cellStyle name="Dane wyjściowe 2 19 52 3" xfId="14650"/>
    <cellStyle name="Dane wyjściowe 2 19 53" xfId="14651"/>
    <cellStyle name="Dane wyjściowe 2 19 53 2" xfId="14652"/>
    <cellStyle name="Dane wyjściowe 2 19 53 3" xfId="14653"/>
    <cellStyle name="Dane wyjściowe 2 19 54" xfId="14654"/>
    <cellStyle name="Dane wyjściowe 2 19 54 2" xfId="14655"/>
    <cellStyle name="Dane wyjściowe 2 19 54 3" xfId="14656"/>
    <cellStyle name="Dane wyjściowe 2 19 55" xfId="14657"/>
    <cellStyle name="Dane wyjściowe 2 19 55 2" xfId="14658"/>
    <cellStyle name="Dane wyjściowe 2 19 55 3" xfId="14659"/>
    <cellStyle name="Dane wyjściowe 2 19 56" xfId="14660"/>
    <cellStyle name="Dane wyjściowe 2 19 56 2" xfId="14661"/>
    <cellStyle name="Dane wyjściowe 2 19 56 3" xfId="14662"/>
    <cellStyle name="Dane wyjściowe 2 19 57" xfId="14663"/>
    <cellStyle name="Dane wyjściowe 2 19 58" xfId="14664"/>
    <cellStyle name="Dane wyjściowe 2 19 6" xfId="14665"/>
    <cellStyle name="Dane wyjściowe 2 19 6 2" xfId="14666"/>
    <cellStyle name="Dane wyjściowe 2 19 6 3" xfId="14667"/>
    <cellStyle name="Dane wyjściowe 2 19 6 4" xfId="14668"/>
    <cellStyle name="Dane wyjściowe 2 19 7" xfId="14669"/>
    <cellStyle name="Dane wyjściowe 2 19 7 2" xfId="14670"/>
    <cellStyle name="Dane wyjściowe 2 19 7 3" xfId="14671"/>
    <cellStyle name="Dane wyjściowe 2 19 7 4" xfId="14672"/>
    <cellStyle name="Dane wyjściowe 2 19 8" xfId="14673"/>
    <cellStyle name="Dane wyjściowe 2 19 8 2" xfId="14674"/>
    <cellStyle name="Dane wyjściowe 2 19 8 3" xfId="14675"/>
    <cellStyle name="Dane wyjściowe 2 19 8 4" xfId="14676"/>
    <cellStyle name="Dane wyjściowe 2 19 9" xfId="14677"/>
    <cellStyle name="Dane wyjściowe 2 19 9 2" xfId="14678"/>
    <cellStyle name="Dane wyjściowe 2 19 9 3" xfId="14679"/>
    <cellStyle name="Dane wyjściowe 2 19 9 4" xfId="14680"/>
    <cellStyle name="Dane wyjściowe 2 2" xfId="14681"/>
    <cellStyle name="Dane wyjściowe 2 2 10" xfId="14682"/>
    <cellStyle name="Dane wyjściowe 2 2 10 2" xfId="14683"/>
    <cellStyle name="Dane wyjściowe 2 2 10 3" xfId="14684"/>
    <cellStyle name="Dane wyjściowe 2 2 10 4" xfId="14685"/>
    <cellStyle name="Dane wyjściowe 2 2 11" xfId="14686"/>
    <cellStyle name="Dane wyjściowe 2 2 11 2" xfId="14687"/>
    <cellStyle name="Dane wyjściowe 2 2 11 3" xfId="14688"/>
    <cellStyle name="Dane wyjściowe 2 2 11 4" xfId="14689"/>
    <cellStyle name="Dane wyjściowe 2 2 12" xfId="14690"/>
    <cellStyle name="Dane wyjściowe 2 2 12 2" xfId="14691"/>
    <cellStyle name="Dane wyjściowe 2 2 12 3" xfId="14692"/>
    <cellStyle name="Dane wyjściowe 2 2 12 4" xfId="14693"/>
    <cellStyle name="Dane wyjściowe 2 2 13" xfId="14694"/>
    <cellStyle name="Dane wyjściowe 2 2 13 2" xfId="14695"/>
    <cellStyle name="Dane wyjściowe 2 2 13 3" xfId="14696"/>
    <cellStyle name="Dane wyjściowe 2 2 13 4" xfId="14697"/>
    <cellStyle name="Dane wyjściowe 2 2 14" xfId="14698"/>
    <cellStyle name="Dane wyjściowe 2 2 14 2" xfId="14699"/>
    <cellStyle name="Dane wyjściowe 2 2 14 3" xfId="14700"/>
    <cellStyle name="Dane wyjściowe 2 2 14 4" xfId="14701"/>
    <cellStyle name="Dane wyjściowe 2 2 15" xfId="14702"/>
    <cellStyle name="Dane wyjściowe 2 2 15 2" xfId="14703"/>
    <cellStyle name="Dane wyjściowe 2 2 15 3" xfId="14704"/>
    <cellStyle name="Dane wyjściowe 2 2 15 4" xfId="14705"/>
    <cellStyle name="Dane wyjściowe 2 2 16" xfId="14706"/>
    <cellStyle name="Dane wyjściowe 2 2 16 2" xfId="14707"/>
    <cellStyle name="Dane wyjściowe 2 2 16 3" xfId="14708"/>
    <cellStyle name="Dane wyjściowe 2 2 16 4" xfId="14709"/>
    <cellStyle name="Dane wyjściowe 2 2 17" xfId="14710"/>
    <cellStyle name="Dane wyjściowe 2 2 17 2" xfId="14711"/>
    <cellStyle name="Dane wyjściowe 2 2 17 3" xfId="14712"/>
    <cellStyle name="Dane wyjściowe 2 2 17 4" xfId="14713"/>
    <cellStyle name="Dane wyjściowe 2 2 18" xfId="14714"/>
    <cellStyle name="Dane wyjściowe 2 2 18 2" xfId="14715"/>
    <cellStyle name="Dane wyjściowe 2 2 18 3" xfId="14716"/>
    <cellStyle name="Dane wyjściowe 2 2 18 4" xfId="14717"/>
    <cellStyle name="Dane wyjściowe 2 2 19" xfId="14718"/>
    <cellStyle name="Dane wyjściowe 2 2 19 2" xfId="14719"/>
    <cellStyle name="Dane wyjściowe 2 2 19 3" xfId="14720"/>
    <cellStyle name="Dane wyjściowe 2 2 19 4" xfId="14721"/>
    <cellStyle name="Dane wyjściowe 2 2 2" xfId="14722"/>
    <cellStyle name="Dane wyjściowe 2 2 2 2" xfId="14723"/>
    <cellStyle name="Dane wyjściowe 2 2 2 3" xfId="14724"/>
    <cellStyle name="Dane wyjściowe 2 2 2 4" xfId="14725"/>
    <cellStyle name="Dane wyjściowe 2 2 20" xfId="14726"/>
    <cellStyle name="Dane wyjściowe 2 2 20 2" xfId="14727"/>
    <cellStyle name="Dane wyjściowe 2 2 20 3" xfId="14728"/>
    <cellStyle name="Dane wyjściowe 2 2 20 4" xfId="14729"/>
    <cellStyle name="Dane wyjściowe 2 2 21" xfId="14730"/>
    <cellStyle name="Dane wyjściowe 2 2 21 2" xfId="14731"/>
    <cellStyle name="Dane wyjściowe 2 2 21 3" xfId="14732"/>
    <cellStyle name="Dane wyjściowe 2 2 22" xfId="14733"/>
    <cellStyle name="Dane wyjściowe 2 2 22 2" xfId="14734"/>
    <cellStyle name="Dane wyjściowe 2 2 22 3" xfId="14735"/>
    <cellStyle name="Dane wyjściowe 2 2 23" xfId="14736"/>
    <cellStyle name="Dane wyjściowe 2 2 23 2" xfId="14737"/>
    <cellStyle name="Dane wyjściowe 2 2 23 3" xfId="14738"/>
    <cellStyle name="Dane wyjściowe 2 2 24" xfId="14739"/>
    <cellStyle name="Dane wyjściowe 2 2 24 2" xfId="14740"/>
    <cellStyle name="Dane wyjściowe 2 2 24 3" xfId="14741"/>
    <cellStyle name="Dane wyjściowe 2 2 25" xfId="14742"/>
    <cellStyle name="Dane wyjściowe 2 2 25 2" xfId="14743"/>
    <cellStyle name="Dane wyjściowe 2 2 25 3" xfId="14744"/>
    <cellStyle name="Dane wyjściowe 2 2 26" xfId="14745"/>
    <cellStyle name="Dane wyjściowe 2 2 26 2" xfId="14746"/>
    <cellStyle name="Dane wyjściowe 2 2 26 3" xfId="14747"/>
    <cellStyle name="Dane wyjściowe 2 2 27" xfId="14748"/>
    <cellStyle name="Dane wyjściowe 2 2 27 2" xfId="14749"/>
    <cellStyle name="Dane wyjściowe 2 2 27 3" xfId="14750"/>
    <cellStyle name="Dane wyjściowe 2 2 28" xfId="14751"/>
    <cellStyle name="Dane wyjściowe 2 2 28 2" xfId="14752"/>
    <cellStyle name="Dane wyjściowe 2 2 28 3" xfId="14753"/>
    <cellStyle name="Dane wyjściowe 2 2 29" xfId="14754"/>
    <cellStyle name="Dane wyjściowe 2 2 29 2" xfId="14755"/>
    <cellStyle name="Dane wyjściowe 2 2 29 3" xfId="14756"/>
    <cellStyle name="Dane wyjściowe 2 2 3" xfId="14757"/>
    <cellStyle name="Dane wyjściowe 2 2 3 2" xfId="14758"/>
    <cellStyle name="Dane wyjściowe 2 2 3 3" xfId="14759"/>
    <cellStyle name="Dane wyjściowe 2 2 3 4" xfId="14760"/>
    <cellStyle name="Dane wyjściowe 2 2 30" xfId="14761"/>
    <cellStyle name="Dane wyjściowe 2 2 30 2" xfId="14762"/>
    <cellStyle name="Dane wyjściowe 2 2 30 3" xfId="14763"/>
    <cellStyle name="Dane wyjściowe 2 2 31" xfId="14764"/>
    <cellStyle name="Dane wyjściowe 2 2 31 2" xfId="14765"/>
    <cellStyle name="Dane wyjściowe 2 2 31 3" xfId="14766"/>
    <cellStyle name="Dane wyjściowe 2 2 32" xfId="14767"/>
    <cellStyle name="Dane wyjściowe 2 2 32 2" xfId="14768"/>
    <cellStyle name="Dane wyjściowe 2 2 32 3" xfId="14769"/>
    <cellStyle name="Dane wyjściowe 2 2 33" xfId="14770"/>
    <cellStyle name="Dane wyjściowe 2 2 33 2" xfId="14771"/>
    <cellStyle name="Dane wyjściowe 2 2 33 3" xfId="14772"/>
    <cellStyle name="Dane wyjściowe 2 2 34" xfId="14773"/>
    <cellStyle name="Dane wyjściowe 2 2 34 2" xfId="14774"/>
    <cellStyle name="Dane wyjściowe 2 2 34 3" xfId="14775"/>
    <cellStyle name="Dane wyjściowe 2 2 35" xfId="14776"/>
    <cellStyle name="Dane wyjściowe 2 2 35 2" xfId="14777"/>
    <cellStyle name="Dane wyjściowe 2 2 35 3" xfId="14778"/>
    <cellStyle name="Dane wyjściowe 2 2 36" xfId="14779"/>
    <cellStyle name="Dane wyjściowe 2 2 36 2" xfId="14780"/>
    <cellStyle name="Dane wyjściowe 2 2 36 3" xfId="14781"/>
    <cellStyle name="Dane wyjściowe 2 2 37" xfId="14782"/>
    <cellStyle name="Dane wyjściowe 2 2 37 2" xfId="14783"/>
    <cellStyle name="Dane wyjściowe 2 2 37 3" xfId="14784"/>
    <cellStyle name="Dane wyjściowe 2 2 38" xfId="14785"/>
    <cellStyle name="Dane wyjściowe 2 2 38 2" xfId="14786"/>
    <cellStyle name="Dane wyjściowe 2 2 38 3" xfId="14787"/>
    <cellStyle name="Dane wyjściowe 2 2 39" xfId="14788"/>
    <cellStyle name="Dane wyjściowe 2 2 39 2" xfId="14789"/>
    <cellStyle name="Dane wyjściowe 2 2 39 3" xfId="14790"/>
    <cellStyle name="Dane wyjściowe 2 2 4" xfId="14791"/>
    <cellStyle name="Dane wyjściowe 2 2 4 2" xfId="14792"/>
    <cellStyle name="Dane wyjściowe 2 2 4 3" xfId="14793"/>
    <cellStyle name="Dane wyjściowe 2 2 4 4" xfId="14794"/>
    <cellStyle name="Dane wyjściowe 2 2 40" xfId="14795"/>
    <cellStyle name="Dane wyjściowe 2 2 40 2" xfId="14796"/>
    <cellStyle name="Dane wyjściowe 2 2 40 3" xfId="14797"/>
    <cellStyle name="Dane wyjściowe 2 2 41" xfId="14798"/>
    <cellStyle name="Dane wyjściowe 2 2 41 2" xfId="14799"/>
    <cellStyle name="Dane wyjściowe 2 2 41 3" xfId="14800"/>
    <cellStyle name="Dane wyjściowe 2 2 42" xfId="14801"/>
    <cellStyle name="Dane wyjściowe 2 2 42 2" xfId="14802"/>
    <cellStyle name="Dane wyjściowe 2 2 42 3" xfId="14803"/>
    <cellStyle name="Dane wyjściowe 2 2 43" xfId="14804"/>
    <cellStyle name="Dane wyjściowe 2 2 43 2" xfId="14805"/>
    <cellStyle name="Dane wyjściowe 2 2 43 3" xfId="14806"/>
    <cellStyle name="Dane wyjściowe 2 2 44" xfId="14807"/>
    <cellStyle name="Dane wyjściowe 2 2 44 2" xfId="14808"/>
    <cellStyle name="Dane wyjściowe 2 2 44 3" xfId="14809"/>
    <cellStyle name="Dane wyjściowe 2 2 45" xfId="14810"/>
    <cellStyle name="Dane wyjściowe 2 2 45 2" xfId="14811"/>
    <cellStyle name="Dane wyjściowe 2 2 45 3" xfId="14812"/>
    <cellStyle name="Dane wyjściowe 2 2 46" xfId="14813"/>
    <cellStyle name="Dane wyjściowe 2 2 46 2" xfId="14814"/>
    <cellStyle name="Dane wyjściowe 2 2 46 3" xfId="14815"/>
    <cellStyle name="Dane wyjściowe 2 2 47" xfId="14816"/>
    <cellStyle name="Dane wyjściowe 2 2 47 2" xfId="14817"/>
    <cellStyle name="Dane wyjściowe 2 2 47 3" xfId="14818"/>
    <cellStyle name="Dane wyjściowe 2 2 48" xfId="14819"/>
    <cellStyle name="Dane wyjściowe 2 2 48 2" xfId="14820"/>
    <cellStyle name="Dane wyjściowe 2 2 48 3" xfId="14821"/>
    <cellStyle name="Dane wyjściowe 2 2 49" xfId="14822"/>
    <cellStyle name="Dane wyjściowe 2 2 49 2" xfId="14823"/>
    <cellStyle name="Dane wyjściowe 2 2 49 3" xfId="14824"/>
    <cellStyle name="Dane wyjściowe 2 2 5" xfId="14825"/>
    <cellStyle name="Dane wyjściowe 2 2 5 2" xfId="14826"/>
    <cellStyle name="Dane wyjściowe 2 2 5 3" xfId="14827"/>
    <cellStyle name="Dane wyjściowe 2 2 5 4" xfId="14828"/>
    <cellStyle name="Dane wyjściowe 2 2 50" xfId="14829"/>
    <cellStyle name="Dane wyjściowe 2 2 50 2" xfId="14830"/>
    <cellStyle name="Dane wyjściowe 2 2 50 3" xfId="14831"/>
    <cellStyle name="Dane wyjściowe 2 2 51" xfId="14832"/>
    <cellStyle name="Dane wyjściowe 2 2 51 2" xfId="14833"/>
    <cellStyle name="Dane wyjściowe 2 2 51 3" xfId="14834"/>
    <cellStyle name="Dane wyjściowe 2 2 52" xfId="14835"/>
    <cellStyle name="Dane wyjściowe 2 2 52 2" xfId="14836"/>
    <cellStyle name="Dane wyjściowe 2 2 52 3" xfId="14837"/>
    <cellStyle name="Dane wyjściowe 2 2 53" xfId="14838"/>
    <cellStyle name="Dane wyjściowe 2 2 53 2" xfId="14839"/>
    <cellStyle name="Dane wyjściowe 2 2 53 3" xfId="14840"/>
    <cellStyle name="Dane wyjściowe 2 2 54" xfId="14841"/>
    <cellStyle name="Dane wyjściowe 2 2 54 2" xfId="14842"/>
    <cellStyle name="Dane wyjściowe 2 2 54 3" xfId="14843"/>
    <cellStyle name="Dane wyjściowe 2 2 55" xfId="14844"/>
    <cellStyle name="Dane wyjściowe 2 2 55 2" xfId="14845"/>
    <cellStyle name="Dane wyjściowe 2 2 55 3" xfId="14846"/>
    <cellStyle name="Dane wyjściowe 2 2 56" xfId="14847"/>
    <cellStyle name="Dane wyjściowe 2 2 56 2" xfId="14848"/>
    <cellStyle name="Dane wyjściowe 2 2 56 3" xfId="14849"/>
    <cellStyle name="Dane wyjściowe 2 2 57" xfId="14850"/>
    <cellStyle name="Dane wyjściowe 2 2 58" xfId="14851"/>
    <cellStyle name="Dane wyjściowe 2 2 59" xfId="14852"/>
    <cellStyle name="Dane wyjściowe 2 2 6" xfId="14853"/>
    <cellStyle name="Dane wyjściowe 2 2 6 2" xfId="14854"/>
    <cellStyle name="Dane wyjściowe 2 2 6 3" xfId="14855"/>
    <cellStyle name="Dane wyjściowe 2 2 6 4" xfId="14856"/>
    <cellStyle name="Dane wyjściowe 2 2 7" xfId="14857"/>
    <cellStyle name="Dane wyjściowe 2 2 7 2" xfId="14858"/>
    <cellStyle name="Dane wyjściowe 2 2 7 3" xfId="14859"/>
    <cellStyle name="Dane wyjściowe 2 2 7 4" xfId="14860"/>
    <cellStyle name="Dane wyjściowe 2 2 8" xfId="14861"/>
    <cellStyle name="Dane wyjściowe 2 2 8 2" xfId="14862"/>
    <cellStyle name="Dane wyjściowe 2 2 8 3" xfId="14863"/>
    <cellStyle name="Dane wyjściowe 2 2 8 4" xfId="14864"/>
    <cellStyle name="Dane wyjściowe 2 2 9" xfId="14865"/>
    <cellStyle name="Dane wyjściowe 2 2 9 2" xfId="14866"/>
    <cellStyle name="Dane wyjściowe 2 2 9 3" xfId="14867"/>
    <cellStyle name="Dane wyjściowe 2 2 9 4" xfId="14868"/>
    <cellStyle name="Dane wyjściowe 2 20" xfId="14869"/>
    <cellStyle name="Dane wyjściowe 2 20 10" xfId="14870"/>
    <cellStyle name="Dane wyjściowe 2 20 10 2" xfId="14871"/>
    <cellStyle name="Dane wyjściowe 2 20 10 3" xfId="14872"/>
    <cellStyle name="Dane wyjściowe 2 20 10 4" xfId="14873"/>
    <cellStyle name="Dane wyjściowe 2 20 11" xfId="14874"/>
    <cellStyle name="Dane wyjściowe 2 20 11 2" xfId="14875"/>
    <cellStyle name="Dane wyjściowe 2 20 11 3" xfId="14876"/>
    <cellStyle name="Dane wyjściowe 2 20 11 4" xfId="14877"/>
    <cellStyle name="Dane wyjściowe 2 20 12" xfId="14878"/>
    <cellStyle name="Dane wyjściowe 2 20 12 2" xfId="14879"/>
    <cellStyle name="Dane wyjściowe 2 20 12 3" xfId="14880"/>
    <cellStyle name="Dane wyjściowe 2 20 12 4" xfId="14881"/>
    <cellStyle name="Dane wyjściowe 2 20 13" xfId="14882"/>
    <cellStyle name="Dane wyjściowe 2 20 13 2" xfId="14883"/>
    <cellStyle name="Dane wyjściowe 2 20 13 3" xfId="14884"/>
    <cellStyle name="Dane wyjściowe 2 20 13 4" xfId="14885"/>
    <cellStyle name="Dane wyjściowe 2 20 14" xfId="14886"/>
    <cellStyle name="Dane wyjściowe 2 20 14 2" xfId="14887"/>
    <cellStyle name="Dane wyjściowe 2 20 14 3" xfId="14888"/>
    <cellStyle name="Dane wyjściowe 2 20 14 4" xfId="14889"/>
    <cellStyle name="Dane wyjściowe 2 20 15" xfId="14890"/>
    <cellStyle name="Dane wyjściowe 2 20 15 2" xfId="14891"/>
    <cellStyle name="Dane wyjściowe 2 20 15 3" xfId="14892"/>
    <cellStyle name="Dane wyjściowe 2 20 15 4" xfId="14893"/>
    <cellStyle name="Dane wyjściowe 2 20 16" xfId="14894"/>
    <cellStyle name="Dane wyjściowe 2 20 16 2" xfId="14895"/>
    <cellStyle name="Dane wyjściowe 2 20 16 3" xfId="14896"/>
    <cellStyle name="Dane wyjściowe 2 20 16 4" xfId="14897"/>
    <cellStyle name="Dane wyjściowe 2 20 17" xfId="14898"/>
    <cellStyle name="Dane wyjściowe 2 20 17 2" xfId="14899"/>
    <cellStyle name="Dane wyjściowe 2 20 17 3" xfId="14900"/>
    <cellStyle name="Dane wyjściowe 2 20 17 4" xfId="14901"/>
    <cellStyle name="Dane wyjściowe 2 20 18" xfId="14902"/>
    <cellStyle name="Dane wyjściowe 2 20 18 2" xfId="14903"/>
    <cellStyle name="Dane wyjściowe 2 20 18 3" xfId="14904"/>
    <cellStyle name="Dane wyjściowe 2 20 18 4" xfId="14905"/>
    <cellStyle name="Dane wyjściowe 2 20 19" xfId="14906"/>
    <cellStyle name="Dane wyjściowe 2 20 19 2" xfId="14907"/>
    <cellStyle name="Dane wyjściowe 2 20 19 3" xfId="14908"/>
    <cellStyle name="Dane wyjściowe 2 20 19 4" xfId="14909"/>
    <cellStyle name="Dane wyjściowe 2 20 2" xfId="14910"/>
    <cellStyle name="Dane wyjściowe 2 20 2 2" xfId="14911"/>
    <cellStyle name="Dane wyjściowe 2 20 2 3" xfId="14912"/>
    <cellStyle name="Dane wyjściowe 2 20 2 4" xfId="14913"/>
    <cellStyle name="Dane wyjściowe 2 20 20" xfId="14914"/>
    <cellStyle name="Dane wyjściowe 2 20 20 2" xfId="14915"/>
    <cellStyle name="Dane wyjściowe 2 20 20 3" xfId="14916"/>
    <cellStyle name="Dane wyjściowe 2 20 20 4" xfId="14917"/>
    <cellStyle name="Dane wyjściowe 2 20 21" xfId="14918"/>
    <cellStyle name="Dane wyjściowe 2 20 21 2" xfId="14919"/>
    <cellStyle name="Dane wyjściowe 2 20 21 3" xfId="14920"/>
    <cellStyle name="Dane wyjściowe 2 20 22" xfId="14921"/>
    <cellStyle name="Dane wyjściowe 2 20 22 2" xfId="14922"/>
    <cellStyle name="Dane wyjściowe 2 20 22 3" xfId="14923"/>
    <cellStyle name="Dane wyjściowe 2 20 23" xfId="14924"/>
    <cellStyle name="Dane wyjściowe 2 20 23 2" xfId="14925"/>
    <cellStyle name="Dane wyjściowe 2 20 23 3" xfId="14926"/>
    <cellStyle name="Dane wyjściowe 2 20 24" xfId="14927"/>
    <cellStyle name="Dane wyjściowe 2 20 24 2" xfId="14928"/>
    <cellStyle name="Dane wyjściowe 2 20 24 3" xfId="14929"/>
    <cellStyle name="Dane wyjściowe 2 20 25" xfId="14930"/>
    <cellStyle name="Dane wyjściowe 2 20 25 2" xfId="14931"/>
    <cellStyle name="Dane wyjściowe 2 20 25 3" xfId="14932"/>
    <cellStyle name="Dane wyjściowe 2 20 26" xfId="14933"/>
    <cellStyle name="Dane wyjściowe 2 20 26 2" xfId="14934"/>
    <cellStyle name="Dane wyjściowe 2 20 26 3" xfId="14935"/>
    <cellStyle name="Dane wyjściowe 2 20 27" xfId="14936"/>
    <cellStyle name="Dane wyjściowe 2 20 27 2" xfId="14937"/>
    <cellStyle name="Dane wyjściowe 2 20 27 3" xfId="14938"/>
    <cellStyle name="Dane wyjściowe 2 20 28" xfId="14939"/>
    <cellStyle name="Dane wyjściowe 2 20 28 2" xfId="14940"/>
    <cellStyle name="Dane wyjściowe 2 20 28 3" xfId="14941"/>
    <cellStyle name="Dane wyjściowe 2 20 29" xfId="14942"/>
    <cellStyle name="Dane wyjściowe 2 20 29 2" xfId="14943"/>
    <cellStyle name="Dane wyjściowe 2 20 29 3" xfId="14944"/>
    <cellStyle name="Dane wyjściowe 2 20 3" xfId="14945"/>
    <cellStyle name="Dane wyjściowe 2 20 3 2" xfId="14946"/>
    <cellStyle name="Dane wyjściowe 2 20 3 3" xfId="14947"/>
    <cellStyle name="Dane wyjściowe 2 20 3 4" xfId="14948"/>
    <cellStyle name="Dane wyjściowe 2 20 30" xfId="14949"/>
    <cellStyle name="Dane wyjściowe 2 20 30 2" xfId="14950"/>
    <cellStyle name="Dane wyjściowe 2 20 30 3" xfId="14951"/>
    <cellStyle name="Dane wyjściowe 2 20 31" xfId="14952"/>
    <cellStyle name="Dane wyjściowe 2 20 31 2" xfId="14953"/>
    <cellStyle name="Dane wyjściowe 2 20 31 3" xfId="14954"/>
    <cellStyle name="Dane wyjściowe 2 20 32" xfId="14955"/>
    <cellStyle name="Dane wyjściowe 2 20 32 2" xfId="14956"/>
    <cellStyle name="Dane wyjściowe 2 20 32 3" xfId="14957"/>
    <cellStyle name="Dane wyjściowe 2 20 33" xfId="14958"/>
    <cellStyle name="Dane wyjściowe 2 20 33 2" xfId="14959"/>
    <cellStyle name="Dane wyjściowe 2 20 33 3" xfId="14960"/>
    <cellStyle name="Dane wyjściowe 2 20 34" xfId="14961"/>
    <cellStyle name="Dane wyjściowe 2 20 34 2" xfId="14962"/>
    <cellStyle name="Dane wyjściowe 2 20 34 3" xfId="14963"/>
    <cellStyle name="Dane wyjściowe 2 20 35" xfId="14964"/>
    <cellStyle name="Dane wyjściowe 2 20 35 2" xfId="14965"/>
    <cellStyle name="Dane wyjściowe 2 20 35 3" xfId="14966"/>
    <cellStyle name="Dane wyjściowe 2 20 36" xfId="14967"/>
    <cellStyle name="Dane wyjściowe 2 20 36 2" xfId="14968"/>
    <cellStyle name="Dane wyjściowe 2 20 36 3" xfId="14969"/>
    <cellStyle name="Dane wyjściowe 2 20 37" xfId="14970"/>
    <cellStyle name="Dane wyjściowe 2 20 37 2" xfId="14971"/>
    <cellStyle name="Dane wyjściowe 2 20 37 3" xfId="14972"/>
    <cellStyle name="Dane wyjściowe 2 20 38" xfId="14973"/>
    <cellStyle name="Dane wyjściowe 2 20 38 2" xfId="14974"/>
    <cellStyle name="Dane wyjściowe 2 20 38 3" xfId="14975"/>
    <cellStyle name="Dane wyjściowe 2 20 39" xfId="14976"/>
    <cellStyle name="Dane wyjściowe 2 20 39 2" xfId="14977"/>
    <cellStyle name="Dane wyjściowe 2 20 39 3" xfId="14978"/>
    <cellStyle name="Dane wyjściowe 2 20 4" xfId="14979"/>
    <cellStyle name="Dane wyjściowe 2 20 4 2" xfId="14980"/>
    <cellStyle name="Dane wyjściowe 2 20 4 3" xfId="14981"/>
    <cellStyle name="Dane wyjściowe 2 20 4 4" xfId="14982"/>
    <cellStyle name="Dane wyjściowe 2 20 40" xfId="14983"/>
    <cellStyle name="Dane wyjściowe 2 20 40 2" xfId="14984"/>
    <cellStyle name="Dane wyjściowe 2 20 40 3" xfId="14985"/>
    <cellStyle name="Dane wyjściowe 2 20 41" xfId="14986"/>
    <cellStyle name="Dane wyjściowe 2 20 41 2" xfId="14987"/>
    <cellStyle name="Dane wyjściowe 2 20 41 3" xfId="14988"/>
    <cellStyle name="Dane wyjściowe 2 20 42" xfId="14989"/>
    <cellStyle name="Dane wyjściowe 2 20 42 2" xfId="14990"/>
    <cellStyle name="Dane wyjściowe 2 20 42 3" xfId="14991"/>
    <cellStyle name="Dane wyjściowe 2 20 43" xfId="14992"/>
    <cellStyle name="Dane wyjściowe 2 20 43 2" xfId="14993"/>
    <cellStyle name="Dane wyjściowe 2 20 43 3" xfId="14994"/>
    <cellStyle name="Dane wyjściowe 2 20 44" xfId="14995"/>
    <cellStyle name="Dane wyjściowe 2 20 44 2" xfId="14996"/>
    <cellStyle name="Dane wyjściowe 2 20 44 3" xfId="14997"/>
    <cellStyle name="Dane wyjściowe 2 20 45" xfId="14998"/>
    <cellStyle name="Dane wyjściowe 2 20 45 2" xfId="14999"/>
    <cellStyle name="Dane wyjściowe 2 20 45 3" xfId="15000"/>
    <cellStyle name="Dane wyjściowe 2 20 46" xfId="15001"/>
    <cellStyle name="Dane wyjściowe 2 20 46 2" xfId="15002"/>
    <cellStyle name="Dane wyjściowe 2 20 46 3" xfId="15003"/>
    <cellStyle name="Dane wyjściowe 2 20 47" xfId="15004"/>
    <cellStyle name="Dane wyjściowe 2 20 47 2" xfId="15005"/>
    <cellStyle name="Dane wyjściowe 2 20 47 3" xfId="15006"/>
    <cellStyle name="Dane wyjściowe 2 20 48" xfId="15007"/>
    <cellStyle name="Dane wyjściowe 2 20 48 2" xfId="15008"/>
    <cellStyle name="Dane wyjściowe 2 20 48 3" xfId="15009"/>
    <cellStyle name="Dane wyjściowe 2 20 49" xfId="15010"/>
    <cellStyle name="Dane wyjściowe 2 20 49 2" xfId="15011"/>
    <cellStyle name="Dane wyjściowe 2 20 49 3" xfId="15012"/>
    <cellStyle name="Dane wyjściowe 2 20 5" xfId="15013"/>
    <cellStyle name="Dane wyjściowe 2 20 5 2" xfId="15014"/>
    <cellStyle name="Dane wyjściowe 2 20 5 3" xfId="15015"/>
    <cellStyle name="Dane wyjściowe 2 20 5 4" xfId="15016"/>
    <cellStyle name="Dane wyjściowe 2 20 50" xfId="15017"/>
    <cellStyle name="Dane wyjściowe 2 20 50 2" xfId="15018"/>
    <cellStyle name="Dane wyjściowe 2 20 50 3" xfId="15019"/>
    <cellStyle name="Dane wyjściowe 2 20 51" xfId="15020"/>
    <cellStyle name="Dane wyjściowe 2 20 51 2" xfId="15021"/>
    <cellStyle name="Dane wyjściowe 2 20 51 3" xfId="15022"/>
    <cellStyle name="Dane wyjściowe 2 20 52" xfId="15023"/>
    <cellStyle name="Dane wyjściowe 2 20 52 2" xfId="15024"/>
    <cellStyle name="Dane wyjściowe 2 20 52 3" xfId="15025"/>
    <cellStyle name="Dane wyjściowe 2 20 53" xfId="15026"/>
    <cellStyle name="Dane wyjściowe 2 20 53 2" xfId="15027"/>
    <cellStyle name="Dane wyjściowe 2 20 53 3" xfId="15028"/>
    <cellStyle name="Dane wyjściowe 2 20 54" xfId="15029"/>
    <cellStyle name="Dane wyjściowe 2 20 54 2" xfId="15030"/>
    <cellStyle name="Dane wyjściowe 2 20 54 3" xfId="15031"/>
    <cellStyle name="Dane wyjściowe 2 20 55" xfId="15032"/>
    <cellStyle name="Dane wyjściowe 2 20 55 2" xfId="15033"/>
    <cellStyle name="Dane wyjściowe 2 20 55 3" xfId="15034"/>
    <cellStyle name="Dane wyjściowe 2 20 56" xfId="15035"/>
    <cellStyle name="Dane wyjściowe 2 20 56 2" xfId="15036"/>
    <cellStyle name="Dane wyjściowe 2 20 56 3" xfId="15037"/>
    <cellStyle name="Dane wyjściowe 2 20 57" xfId="15038"/>
    <cellStyle name="Dane wyjściowe 2 20 58" xfId="15039"/>
    <cellStyle name="Dane wyjściowe 2 20 6" xfId="15040"/>
    <cellStyle name="Dane wyjściowe 2 20 6 2" xfId="15041"/>
    <cellStyle name="Dane wyjściowe 2 20 6 3" xfId="15042"/>
    <cellStyle name="Dane wyjściowe 2 20 6 4" xfId="15043"/>
    <cellStyle name="Dane wyjściowe 2 20 7" xfId="15044"/>
    <cellStyle name="Dane wyjściowe 2 20 7 2" xfId="15045"/>
    <cellStyle name="Dane wyjściowe 2 20 7 3" xfId="15046"/>
    <cellStyle name="Dane wyjściowe 2 20 7 4" xfId="15047"/>
    <cellStyle name="Dane wyjściowe 2 20 8" xfId="15048"/>
    <cellStyle name="Dane wyjściowe 2 20 8 2" xfId="15049"/>
    <cellStyle name="Dane wyjściowe 2 20 8 3" xfId="15050"/>
    <cellStyle name="Dane wyjściowe 2 20 8 4" xfId="15051"/>
    <cellStyle name="Dane wyjściowe 2 20 9" xfId="15052"/>
    <cellStyle name="Dane wyjściowe 2 20 9 2" xfId="15053"/>
    <cellStyle name="Dane wyjściowe 2 20 9 3" xfId="15054"/>
    <cellStyle name="Dane wyjściowe 2 20 9 4" xfId="15055"/>
    <cellStyle name="Dane wyjściowe 2 21" xfId="15056"/>
    <cellStyle name="Dane wyjściowe 2 21 10" xfId="15057"/>
    <cellStyle name="Dane wyjściowe 2 21 10 2" xfId="15058"/>
    <cellStyle name="Dane wyjściowe 2 21 10 3" xfId="15059"/>
    <cellStyle name="Dane wyjściowe 2 21 10 4" xfId="15060"/>
    <cellStyle name="Dane wyjściowe 2 21 11" xfId="15061"/>
    <cellStyle name="Dane wyjściowe 2 21 11 2" xfId="15062"/>
    <cellStyle name="Dane wyjściowe 2 21 11 3" xfId="15063"/>
    <cellStyle name="Dane wyjściowe 2 21 11 4" xfId="15064"/>
    <cellStyle name="Dane wyjściowe 2 21 12" xfId="15065"/>
    <cellStyle name="Dane wyjściowe 2 21 12 2" xfId="15066"/>
    <cellStyle name="Dane wyjściowe 2 21 12 3" xfId="15067"/>
    <cellStyle name="Dane wyjściowe 2 21 12 4" xfId="15068"/>
    <cellStyle name="Dane wyjściowe 2 21 13" xfId="15069"/>
    <cellStyle name="Dane wyjściowe 2 21 13 2" xfId="15070"/>
    <cellStyle name="Dane wyjściowe 2 21 13 3" xfId="15071"/>
    <cellStyle name="Dane wyjściowe 2 21 13 4" xfId="15072"/>
    <cellStyle name="Dane wyjściowe 2 21 14" xfId="15073"/>
    <cellStyle name="Dane wyjściowe 2 21 14 2" xfId="15074"/>
    <cellStyle name="Dane wyjściowe 2 21 14 3" xfId="15075"/>
    <cellStyle name="Dane wyjściowe 2 21 14 4" xfId="15076"/>
    <cellStyle name="Dane wyjściowe 2 21 15" xfId="15077"/>
    <cellStyle name="Dane wyjściowe 2 21 15 2" xfId="15078"/>
    <cellStyle name="Dane wyjściowe 2 21 15 3" xfId="15079"/>
    <cellStyle name="Dane wyjściowe 2 21 15 4" xfId="15080"/>
    <cellStyle name="Dane wyjściowe 2 21 16" xfId="15081"/>
    <cellStyle name="Dane wyjściowe 2 21 16 2" xfId="15082"/>
    <cellStyle name="Dane wyjściowe 2 21 16 3" xfId="15083"/>
    <cellStyle name="Dane wyjściowe 2 21 16 4" xfId="15084"/>
    <cellStyle name="Dane wyjściowe 2 21 17" xfId="15085"/>
    <cellStyle name="Dane wyjściowe 2 21 17 2" xfId="15086"/>
    <cellStyle name="Dane wyjściowe 2 21 17 3" xfId="15087"/>
    <cellStyle name="Dane wyjściowe 2 21 17 4" xfId="15088"/>
    <cellStyle name="Dane wyjściowe 2 21 18" xfId="15089"/>
    <cellStyle name="Dane wyjściowe 2 21 18 2" xfId="15090"/>
    <cellStyle name="Dane wyjściowe 2 21 18 3" xfId="15091"/>
    <cellStyle name="Dane wyjściowe 2 21 18 4" xfId="15092"/>
    <cellStyle name="Dane wyjściowe 2 21 19" xfId="15093"/>
    <cellStyle name="Dane wyjściowe 2 21 19 2" xfId="15094"/>
    <cellStyle name="Dane wyjściowe 2 21 19 3" xfId="15095"/>
    <cellStyle name="Dane wyjściowe 2 21 19 4" xfId="15096"/>
    <cellStyle name="Dane wyjściowe 2 21 2" xfId="15097"/>
    <cellStyle name="Dane wyjściowe 2 21 2 2" xfId="15098"/>
    <cellStyle name="Dane wyjściowe 2 21 2 3" xfId="15099"/>
    <cellStyle name="Dane wyjściowe 2 21 2 4" xfId="15100"/>
    <cellStyle name="Dane wyjściowe 2 21 20" xfId="15101"/>
    <cellStyle name="Dane wyjściowe 2 21 20 2" xfId="15102"/>
    <cellStyle name="Dane wyjściowe 2 21 20 3" xfId="15103"/>
    <cellStyle name="Dane wyjściowe 2 21 20 4" xfId="15104"/>
    <cellStyle name="Dane wyjściowe 2 21 21" xfId="15105"/>
    <cellStyle name="Dane wyjściowe 2 21 21 2" xfId="15106"/>
    <cellStyle name="Dane wyjściowe 2 21 21 3" xfId="15107"/>
    <cellStyle name="Dane wyjściowe 2 21 22" xfId="15108"/>
    <cellStyle name="Dane wyjściowe 2 21 22 2" xfId="15109"/>
    <cellStyle name="Dane wyjściowe 2 21 22 3" xfId="15110"/>
    <cellStyle name="Dane wyjściowe 2 21 23" xfId="15111"/>
    <cellStyle name="Dane wyjściowe 2 21 23 2" xfId="15112"/>
    <cellStyle name="Dane wyjściowe 2 21 23 3" xfId="15113"/>
    <cellStyle name="Dane wyjściowe 2 21 24" xfId="15114"/>
    <cellStyle name="Dane wyjściowe 2 21 24 2" xfId="15115"/>
    <cellStyle name="Dane wyjściowe 2 21 24 3" xfId="15116"/>
    <cellStyle name="Dane wyjściowe 2 21 25" xfId="15117"/>
    <cellStyle name="Dane wyjściowe 2 21 25 2" xfId="15118"/>
    <cellStyle name="Dane wyjściowe 2 21 25 3" xfId="15119"/>
    <cellStyle name="Dane wyjściowe 2 21 26" xfId="15120"/>
    <cellStyle name="Dane wyjściowe 2 21 26 2" xfId="15121"/>
    <cellStyle name="Dane wyjściowe 2 21 26 3" xfId="15122"/>
    <cellStyle name="Dane wyjściowe 2 21 27" xfId="15123"/>
    <cellStyle name="Dane wyjściowe 2 21 27 2" xfId="15124"/>
    <cellStyle name="Dane wyjściowe 2 21 27 3" xfId="15125"/>
    <cellStyle name="Dane wyjściowe 2 21 28" xfId="15126"/>
    <cellStyle name="Dane wyjściowe 2 21 28 2" xfId="15127"/>
    <cellStyle name="Dane wyjściowe 2 21 28 3" xfId="15128"/>
    <cellStyle name="Dane wyjściowe 2 21 29" xfId="15129"/>
    <cellStyle name="Dane wyjściowe 2 21 29 2" xfId="15130"/>
    <cellStyle name="Dane wyjściowe 2 21 29 3" xfId="15131"/>
    <cellStyle name="Dane wyjściowe 2 21 3" xfId="15132"/>
    <cellStyle name="Dane wyjściowe 2 21 3 2" xfId="15133"/>
    <cellStyle name="Dane wyjściowe 2 21 3 3" xfId="15134"/>
    <cellStyle name="Dane wyjściowe 2 21 3 4" xfId="15135"/>
    <cellStyle name="Dane wyjściowe 2 21 30" xfId="15136"/>
    <cellStyle name="Dane wyjściowe 2 21 30 2" xfId="15137"/>
    <cellStyle name="Dane wyjściowe 2 21 30 3" xfId="15138"/>
    <cellStyle name="Dane wyjściowe 2 21 31" xfId="15139"/>
    <cellStyle name="Dane wyjściowe 2 21 31 2" xfId="15140"/>
    <cellStyle name="Dane wyjściowe 2 21 31 3" xfId="15141"/>
    <cellStyle name="Dane wyjściowe 2 21 32" xfId="15142"/>
    <cellStyle name="Dane wyjściowe 2 21 32 2" xfId="15143"/>
    <cellStyle name="Dane wyjściowe 2 21 32 3" xfId="15144"/>
    <cellStyle name="Dane wyjściowe 2 21 33" xfId="15145"/>
    <cellStyle name="Dane wyjściowe 2 21 33 2" xfId="15146"/>
    <cellStyle name="Dane wyjściowe 2 21 33 3" xfId="15147"/>
    <cellStyle name="Dane wyjściowe 2 21 34" xfId="15148"/>
    <cellStyle name="Dane wyjściowe 2 21 34 2" xfId="15149"/>
    <cellStyle name="Dane wyjściowe 2 21 34 3" xfId="15150"/>
    <cellStyle name="Dane wyjściowe 2 21 35" xfId="15151"/>
    <cellStyle name="Dane wyjściowe 2 21 35 2" xfId="15152"/>
    <cellStyle name="Dane wyjściowe 2 21 35 3" xfId="15153"/>
    <cellStyle name="Dane wyjściowe 2 21 36" xfId="15154"/>
    <cellStyle name="Dane wyjściowe 2 21 36 2" xfId="15155"/>
    <cellStyle name="Dane wyjściowe 2 21 36 3" xfId="15156"/>
    <cellStyle name="Dane wyjściowe 2 21 37" xfId="15157"/>
    <cellStyle name="Dane wyjściowe 2 21 37 2" xfId="15158"/>
    <cellStyle name="Dane wyjściowe 2 21 37 3" xfId="15159"/>
    <cellStyle name="Dane wyjściowe 2 21 38" xfId="15160"/>
    <cellStyle name="Dane wyjściowe 2 21 38 2" xfId="15161"/>
    <cellStyle name="Dane wyjściowe 2 21 38 3" xfId="15162"/>
    <cellStyle name="Dane wyjściowe 2 21 39" xfId="15163"/>
    <cellStyle name="Dane wyjściowe 2 21 39 2" xfId="15164"/>
    <cellStyle name="Dane wyjściowe 2 21 39 3" xfId="15165"/>
    <cellStyle name="Dane wyjściowe 2 21 4" xfId="15166"/>
    <cellStyle name="Dane wyjściowe 2 21 4 2" xfId="15167"/>
    <cellStyle name="Dane wyjściowe 2 21 4 3" xfId="15168"/>
    <cellStyle name="Dane wyjściowe 2 21 4 4" xfId="15169"/>
    <cellStyle name="Dane wyjściowe 2 21 40" xfId="15170"/>
    <cellStyle name="Dane wyjściowe 2 21 40 2" xfId="15171"/>
    <cellStyle name="Dane wyjściowe 2 21 40 3" xfId="15172"/>
    <cellStyle name="Dane wyjściowe 2 21 41" xfId="15173"/>
    <cellStyle name="Dane wyjściowe 2 21 41 2" xfId="15174"/>
    <cellStyle name="Dane wyjściowe 2 21 41 3" xfId="15175"/>
    <cellStyle name="Dane wyjściowe 2 21 42" xfId="15176"/>
    <cellStyle name="Dane wyjściowe 2 21 42 2" xfId="15177"/>
    <cellStyle name="Dane wyjściowe 2 21 42 3" xfId="15178"/>
    <cellStyle name="Dane wyjściowe 2 21 43" xfId="15179"/>
    <cellStyle name="Dane wyjściowe 2 21 43 2" xfId="15180"/>
    <cellStyle name="Dane wyjściowe 2 21 43 3" xfId="15181"/>
    <cellStyle name="Dane wyjściowe 2 21 44" xfId="15182"/>
    <cellStyle name="Dane wyjściowe 2 21 44 2" xfId="15183"/>
    <cellStyle name="Dane wyjściowe 2 21 44 3" xfId="15184"/>
    <cellStyle name="Dane wyjściowe 2 21 45" xfId="15185"/>
    <cellStyle name="Dane wyjściowe 2 21 45 2" xfId="15186"/>
    <cellStyle name="Dane wyjściowe 2 21 45 3" xfId="15187"/>
    <cellStyle name="Dane wyjściowe 2 21 46" xfId="15188"/>
    <cellStyle name="Dane wyjściowe 2 21 46 2" xfId="15189"/>
    <cellStyle name="Dane wyjściowe 2 21 46 3" xfId="15190"/>
    <cellStyle name="Dane wyjściowe 2 21 47" xfId="15191"/>
    <cellStyle name="Dane wyjściowe 2 21 47 2" xfId="15192"/>
    <cellStyle name="Dane wyjściowe 2 21 47 3" xfId="15193"/>
    <cellStyle name="Dane wyjściowe 2 21 48" xfId="15194"/>
    <cellStyle name="Dane wyjściowe 2 21 48 2" xfId="15195"/>
    <cellStyle name="Dane wyjściowe 2 21 48 3" xfId="15196"/>
    <cellStyle name="Dane wyjściowe 2 21 49" xfId="15197"/>
    <cellStyle name="Dane wyjściowe 2 21 49 2" xfId="15198"/>
    <cellStyle name="Dane wyjściowe 2 21 49 3" xfId="15199"/>
    <cellStyle name="Dane wyjściowe 2 21 5" xfId="15200"/>
    <cellStyle name="Dane wyjściowe 2 21 5 2" xfId="15201"/>
    <cellStyle name="Dane wyjściowe 2 21 5 3" xfId="15202"/>
    <cellStyle name="Dane wyjściowe 2 21 5 4" xfId="15203"/>
    <cellStyle name="Dane wyjściowe 2 21 50" xfId="15204"/>
    <cellStyle name="Dane wyjściowe 2 21 50 2" xfId="15205"/>
    <cellStyle name="Dane wyjściowe 2 21 50 3" xfId="15206"/>
    <cellStyle name="Dane wyjściowe 2 21 51" xfId="15207"/>
    <cellStyle name="Dane wyjściowe 2 21 51 2" xfId="15208"/>
    <cellStyle name="Dane wyjściowe 2 21 51 3" xfId="15209"/>
    <cellStyle name="Dane wyjściowe 2 21 52" xfId="15210"/>
    <cellStyle name="Dane wyjściowe 2 21 52 2" xfId="15211"/>
    <cellStyle name="Dane wyjściowe 2 21 52 3" xfId="15212"/>
    <cellStyle name="Dane wyjściowe 2 21 53" xfId="15213"/>
    <cellStyle name="Dane wyjściowe 2 21 53 2" xfId="15214"/>
    <cellStyle name="Dane wyjściowe 2 21 53 3" xfId="15215"/>
    <cellStyle name="Dane wyjściowe 2 21 54" xfId="15216"/>
    <cellStyle name="Dane wyjściowe 2 21 54 2" xfId="15217"/>
    <cellStyle name="Dane wyjściowe 2 21 54 3" xfId="15218"/>
    <cellStyle name="Dane wyjściowe 2 21 55" xfId="15219"/>
    <cellStyle name="Dane wyjściowe 2 21 55 2" xfId="15220"/>
    <cellStyle name="Dane wyjściowe 2 21 55 3" xfId="15221"/>
    <cellStyle name="Dane wyjściowe 2 21 56" xfId="15222"/>
    <cellStyle name="Dane wyjściowe 2 21 56 2" xfId="15223"/>
    <cellStyle name="Dane wyjściowe 2 21 56 3" xfId="15224"/>
    <cellStyle name="Dane wyjściowe 2 21 57" xfId="15225"/>
    <cellStyle name="Dane wyjściowe 2 21 58" xfId="15226"/>
    <cellStyle name="Dane wyjściowe 2 21 6" xfId="15227"/>
    <cellStyle name="Dane wyjściowe 2 21 6 2" xfId="15228"/>
    <cellStyle name="Dane wyjściowe 2 21 6 3" xfId="15229"/>
    <cellStyle name="Dane wyjściowe 2 21 6 4" xfId="15230"/>
    <cellStyle name="Dane wyjściowe 2 21 7" xfId="15231"/>
    <cellStyle name="Dane wyjściowe 2 21 7 2" xfId="15232"/>
    <cellStyle name="Dane wyjściowe 2 21 7 3" xfId="15233"/>
    <cellStyle name="Dane wyjściowe 2 21 7 4" xfId="15234"/>
    <cellStyle name="Dane wyjściowe 2 21 8" xfId="15235"/>
    <cellStyle name="Dane wyjściowe 2 21 8 2" xfId="15236"/>
    <cellStyle name="Dane wyjściowe 2 21 8 3" xfId="15237"/>
    <cellStyle name="Dane wyjściowe 2 21 8 4" xfId="15238"/>
    <cellStyle name="Dane wyjściowe 2 21 9" xfId="15239"/>
    <cellStyle name="Dane wyjściowe 2 21 9 2" xfId="15240"/>
    <cellStyle name="Dane wyjściowe 2 21 9 3" xfId="15241"/>
    <cellStyle name="Dane wyjściowe 2 21 9 4" xfId="15242"/>
    <cellStyle name="Dane wyjściowe 2 22" xfId="15243"/>
    <cellStyle name="Dane wyjściowe 2 22 10" xfId="15244"/>
    <cellStyle name="Dane wyjściowe 2 22 10 2" xfId="15245"/>
    <cellStyle name="Dane wyjściowe 2 22 10 3" xfId="15246"/>
    <cellStyle name="Dane wyjściowe 2 22 10 4" xfId="15247"/>
    <cellStyle name="Dane wyjściowe 2 22 11" xfId="15248"/>
    <cellStyle name="Dane wyjściowe 2 22 11 2" xfId="15249"/>
    <cellStyle name="Dane wyjściowe 2 22 11 3" xfId="15250"/>
    <cellStyle name="Dane wyjściowe 2 22 11 4" xfId="15251"/>
    <cellStyle name="Dane wyjściowe 2 22 12" xfId="15252"/>
    <cellStyle name="Dane wyjściowe 2 22 12 2" xfId="15253"/>
    <cellStyle name="Dane wyjściowe 2 22 12 3" xfId="15254"/>
    <cellStyle name="Dane wyjściowe 2 22 12 4" xfId="15255"/>
    <cellStyle name="Dane wyjściowe 2 22 13" xfId="15256"/>
    <cellStyle name="Dane wyjściowe 2 22 13 2" xfId="15257"/>
    <cellStyle name="Dane wyjściowe 2 22 13 3" xfId="15258"/>
    <cellStyle name="Dane wyjściowe 2 22 13 4" xfId="15259"/>
    <cellStyle name="Dane wyjściowe 2 22 14" xfId="15260"/>
    <cellStyle name="Dane wyjściowe 2 22 14 2" xfId="15261"/>
    <cellStyle name="Dane wyjściowe 2 22 14 3" xfId="15262"/>
    <cellStyle name="Dane wyjściowe 2 22 14 4" xfId="15263"/>
    <cellStyle name="Dane wyjściowe 2 22 15" xfId="15264"/>
    <cellStyle name="Dane wyjściowe 2 22 15 2" xfId="15265"/>
    <cellStyle name="Dane wyjściowe 2 22 15 3" xfId="15266"/>
    <cellStyle name="Dane wyjściowe 2 22 15 4" xfId="15267"/>
    <cellStyle name="Dane wyjściowe 2 22 16" xfId="15268"/>
    <cellStyle name="Dane wyjściowe 2 22 16 2" xfId="15269"/>
    <cellStyle name="Dane wyjściowe 2 22 16 3" xfId="15270"/>
    <cellStyle name="Dane wyjściowe 2 22 16 4" xfId="15271"/>
    <cellStyle name="Dane wyjściowe 2 22 17" xfId="15272"/>
    <cellStyle name="Dane wyjściowe 2 22 17 2" xfId="15273"/>
    <cellStyle name="Dane wyjściowe 2 22 17 3" xfId="15274"/>
    <cellStyle name="Dane wyjściowe 2 22 17 4" xfId="15275"/>
    <cellStyle name="Dane wyjściowe 2 22 18" xfId="15276"/>
    <cellStyle name="Dane wyjściowe 2 22 18 2" xfId="15277"/>
    <cellStyle name="Dane wyjściowe 2 22 18 3" xfId="15278"/>
    <cellStyle name="Dane wyjściowe 2 22 18 4" xfId="15279"/>
    <cellStyle name="Dane wyjściowe 2 22 19" xfId="15280"/>
    <cellStyle name="Dane wyjściowe 2 22 19 2" xfId="15281"/>
    <cellStyle name="Dane wyjściowe 2 22 19 3" xfId="15282"/>
    <cellStyle name="Dane wyjściowe 2 22 19 4" xfId="15283"/>
    <cellStyle name="Dane wyjściowe 2 22 2" xfId="15284"/>
    <cellStyle name="Dane wyjściowe 2 22 2 2" xfId="15285"/>
    <cellStyle name="Dane wyjściowe 2 22 2 3" xfId="15286"/>
    <cellStyle name="Dane wyjściowe 2 22 2 4" xfId="15287"/>
    <cellStyle name="Dane wyjściowe 2 22 20" xfId="15288"/>
    <cellStyle name="Dane wyjściowe 2 22 20 2" xfId="15289"/>
    <cellStyle name="Dane wyjściowe 2 22 20 3" xfId="15290"/>
    <cellStyle name="Dane wyjściowe 2 22 20 4" xfId="15291"/>
    <cellStyle name="Dane wyjściowe 2 22 21" xfId="15292"/>
    <cellStyle name="Dane wyjściowe 2 22 21 2" xfId="15293"/>
    <cellStyle name="Dane wyjściowe 2 22 21 3" xfId="15294"/>
    <cellStyle name="Dane wyjściowe 2 22 22" xfId="15295"/>
    <cellStyle name="Dane wyjściowe 2 22 22 2" xfId="15296"/>
    <cellStyle name="Dane wyjściowe 2 22 22 3" xfId="15297"/>
    <cellStyle name="Dane wyjściowe 2 22 23" xfId="15298"/>
    <cellStyle name="Dane wyjściowe 2 22 23 2" xfId="15299"/>
    <cellStyle name="Dane wyjściowe 2 22 23 3" xfId="15300"/>
    <cellStyle name="Dane wyjściowe 2 22 24" xfId="15301"/>
    <cellStyle name="Dane wyjściowe 2 22 24 2" xfId="15302"/>
    <cellStyle name="Dane wyjściowe 2 22 24 3" xfId="15303"/>
    <cellStyle name="Dane wyjściowe 2 22 25" xfId="15304"/>
    <cellStyle name="Dane wyjściowe 2 22 25 2" xfId="15305"/>
    <cellStyle name="Dane wyjściowe 2 22 25 3" xfId="15306"/>
    <cellStyle name="Dane wyjściowe 2 22 26" xfId="15307"/>
    <cellStyle name="Dane wyjściowe 2 22 26 2" xfId="15308"/>
    <cellStyle name="Dane wyjściowe 2 22 26 3" xfId="15309"/>
    <cellStyle name="Dane wyjściowe 2 22 27" xfId="15310"/>
    <cellStyle name="Dane wyjściowe 2 22 27 2" xfId="15311"/>
    <cellStyle name="Dane wyjściowe 2 22 27 3" xfId="15312"/>
    <cellStyle name="Dane wyjściowe 2 22 28" xfId="15313"/>
    <cellStyle name="Dane wyjściowe 2 22 28 2" xfId="15314"/>
    <cellStyle name="Dane wyjściowe 2 22 28 3" xfId="15315"/>
    <cellStyle name="Dane wyjściowe 2 22 29" xfId="15316"/>
    <cellStyle name="Dane wyjściowe 2 22 29 2" xfId="15317"/>
    <cellStyle name="Dane wyjściowe 2 22 29 3" xfId="15318"/>
    <cellStyle name="Dane wyjściowe 2 22 3" xfId="15319"/>
    <cellStyle name="Dane wyjściowe 2 22 3 2" xfId="15320"/>
    <cellStyle name="Dane wyjściowe 2 22 3 3" xfId="15321"/>
    <cellStyle name="Dane wyjściowe 2 22 3 4" xfId="15322"/>
    <cellStyle name="Dane wyjściowe 2 22 30" xfId="15323"/>
    <cellStyle name="Dane wyjściowe 2 22 30 2" xfId="15324"/>
    <cellStyle name="Dane wyjściowe 2 22 30 3" xfId="15325"/>
    <cellStyle name="Dane wyjściowe 2 22 31" xfId="15326"/>
    <cellStyle name="Dane wyjściowe 2 22 31 2" xfId="15327"/>
    <cellStyle name="Dane wyjściowe 2 22 31 3" xfId="15328"/>
    <cellStyle name="Dane wyjściowe 2 22 32" xfId="15329"/>
    <cellStyle name="Dane wyjściowe 2 22 32 2" xfId="15330"/>
    <cellStyle name="Dane wyjściowe 2 22 32 3" xfId="15331"/>
    <cellStyle name="Dane wyjściowe 2 22 33" xfId="15332"/>
    <cellStyle name="Dane wyjściowe 2 22 33 2" xfId="15333"/>
    <cellStyle name="Dane wyjściowe 2 22 33 3" xfId="15334"/>
    <cellStyle name="Dane wyjściowe 2 22 34" xfId="15335"/>
    <cellStyle name="Dane wyjściowe 2 22 34 2" xfId="15336"/>
    <cellStyle name="Dane wyjściowe 2 22 34 3" xfId="15337"/>
    <cellStyle name="Dane wyjściowe 2 22 35" xfId="15338"/>
    <cellStyle name="Dane wyjściowe 2 22 35 2" xfId="15339"/>
    <cellStyle name="Dane wyjściowe 2 22 35 3" xfId="15340"/>
    <cellStyle name="Dane wyjściowe 2 22 36" xfId="15341"/>
    <cellStyle name="Dane wyjściowe 2 22 36 2" xfId="15342"/>
    <cellStyle name="Dane wyjściowe 2 22 36 3" xfId="15343"/>
    <cellStyle name="Dane wyjściowe 2 22 37" xfId="15344"/>
    <cellStyle name="Dane wyjściowe 2 22 37 2" xfId="15345"/>
    <cellStyle name="Dane wyjściowe 2 22 37 3" xfId="15346"/>
    <cellStyle name="Dane wyjściowe 2 22 38" xfId="15347"/>
    <cellStyle name="Dane wyjściowe 2 22 38 2" xfId="15348"/>
    <cellStyle name="Dane wyjściowe 2 22 38 3" xfId="15349"/>
    <cellStyle name="Dane wyjściowe 2 22 39" xfId="15350"/>
    <cellStyle name="Dane wyjściowe 2 22 39 2" xfId="15351"/>
    <cellStyle name="Dane wyjściowe 2 22 39 3" xfId="15352"/>
    <cellStyle name="Dane wyjściowe 2 22 4" xfId="15353"/>
    <cellStyle name="Dane wyjściowe 2 22 4 2" xfId="15354"/>
    <cellStyle name="Dane wyjściowe 2 22 4 3" xfId="15355"/>
    <cellStyle name="Dane wyjściowe 2 22 4 4" xfId="15356"/>
    <cellStyle name="Dane wyjściowe 2 22 40" xfId="15357"/>
    <cellStyle name="Dane wyjściowe 2 22 40 2" xfId="15358"/>
    <cellStyle name="Dane wyjściowe 2 22 40 3" xfId="15359"/>
    <cellStyle name="Dane wyjściowe 2 22 41" xfId="15360"/>
    <cellStyle name="Dane wyjściowe 2 22 41 2" xfId="15361"/>
    <cellStyle name="Dane wyjściowe 2 22 41 3" xfId="15362"/>
    <cellStyle name="Dane wyjściowe 2 22 42" xfId="15363"/>
    <cellStyle name="Dane wyjściowe 2 22 42 2" xfId="15364"/>
    <cellStyle name="Dane wyjściowe 2 22 42 3" xfId="15365"/>
    <cellStyle name="Dane wyjściowe 2 22 43" xfId="15366"/>
    <cellStyle name="Dane wyjściowe 2 22 43 2" xfId="15367"/>
    <cellStyle name="Dane wyjściowe 2 22 43 3" xfId="15368"/>
    <cellStyle name="Dane wyjściowe 2 22 44" xfId="15369"/>
    <cellStyle name="Dane wyjściowe 2 22 44 2" xfId="15370"/>
    <cellStyle name="Dane wyjściowe 2 22 44 3" xfId="15371"/>
    <cellStyle name="Dane wyjściowe 2 22 45" xfId="15372"/>
    <cellStyle name="Dane wyjściowe 2 22 45 2" xfId="15373"/>
    <cellStyle name="Dane wyjściowe 2 22 45 3" xfId="15374"/>
    <cellStyle name="Dane wyjściowe 2 22 46" xfId="15375"/>
    <cellStyle name="Dane wyjściowe 2 22 46 2" xfId="15376"/>
    <cellStyle name="Dane wyjściowe 2 22 46 3" xfId="15377"/>
    <cellStyle name="Dane wyjściowe 2 22 47" xfId="15378"/>
    <cellStyle name="Dane wyjściowe 2 22 47 2" xfId="15379"/>
    <cellStyle name="Dane wyjściowe 2 22 47 3" xfId="15380"/>
    <cellStyle name="Dane wyjściowe 2 22 48" xfId="15381"/>
    <cellStyle name="Dane wyjściowe 2 22 48 2" xfId="15382"/>
    <cellStyle name="Dane wyjściowe 2 22 48 3" xfId="15383"/>
    <cellStyle name="Dane wyjściowe 2 22 49" xfId="15384"/>
    <cellStyle name="Dane wyjściowe 2 22 49 2" xfId="15385"/>
    <cellStyle name="Dane wyjściowe 2 22 49 3" xfId="15386"/>
    <cellStyle name="Dane wyjściowe 2 22 5" xfId="15387"/>
    <cellStyle name="Dane wyjściowe 2 22 5 2" xfId="15388"/>
    <cellStyle name="Dane wyjściowe 2 22 5 3" xfId="15389"/>
    <cellStyle name="Dane wyjściowe 2 22 5 4" xfId="15390"/>
    <cellStyle name="Dane wyjściowe 2 22 50" xfId="15391"/>
    <cellStyle name="Dane wyjściowe 2 22 50 2" xfId="15392"/>
    <cellStyle name="Dane wyjściowe 2 22 50 3" xfId="15393"/>
    <cellStyle name="Dane wyjściowe 2 22 51" xfId="15394"/>
    <cellStyle name="Dane wyjściowe 2 22 51 2" xfId="15395"/>
    <cellStyle name="Dane wyjściowe 2 22 51 3" xfId="15396"/>
    <cellStyle name="Dane wyjściowe 2 22 52" xfId="15397"/>
    <cellStyle name="Dane wyjściowe 2 22 52 2" xfId="15398"/>
    <cellStyle name="Dane wyjściowe 2 22 52 3" xfId="15399"/>
    <cellStyle name="Dane wyjściowe 2 22 53" xfId="15400"/>
    <cellStyle name="Dane wyjściowe 2 22 53 2" xfId="15401"/>
    <cellStyle name="Dane wyjściowe 2 22 53 3" xfId="15402"/>
    <cellStyle name="Dane wyjściowe 2 22 54" xfId="15403"/>
    <cellStyle name="Dane wyjściowe 2 22 54 2" xfId="15404"/>
    <cellStyle name="Dane wyjściowe 2 22 54 3" xfId="15405"/>
    <cellStyle name="Dane wyjściowe 2 22 55" xfId="15406"/>
    <cellStyle name="Dane wyjściowe 2 22 55 2" xfId="15407"/>
    <cellStyle name="Dane wyjściowe 2 22 55 3" xfId="15408"/>
    <cellStyle name="Dane wyjściowe 2 22 56" xfId="15409"/>
    <cellStyle name="Dane wyjściowe 2 22 56 2" xfId="15410"/>
    <cellStyle name="Dane wyjściowe 2 22 56 3" xfId="15411"/>
    <cellStyle name="Dane wyjściowe 2 22 57" xfId="15412"/>
    <cellStyle name="Dane wyjściowe 2 22 58" xfId="15413"/>
    <cellStyle name="Dane wyjściowe 2 22 6" xfId="15414"/>
    <cellStyle name="Dane wyjściowe 2 22 6 2" xfId="15415"/>
    <cellStyle name="Dane wyjściowe 2 22 6 3" xfId="15416"/>
    <cellStyle name="Dane wyjściowe 2 22 6 4" xfId="15417"/>
    <cellStyle name="Dane wyjściowe 2 22 7" xfId="15418"/>
    <cellStyle name="Dane wyjściowe 2 22 7 2" xfId="15419"/>
    <cellStyle name="Dane wyjściowe 2 22 7 3" xfId="15420"/>
    <cellStyle name="Dane wyjściowe 2 22 7 4" xfId="15421"/>
    <cellStyle name="Dane wyjściowe 2 22 8" xfId="15422"/>
    <cellStyle name="Dane wyjściowe 2 22 8 2" xfId="15423"/>
    <cellStyle name="Dane wyjściowe 2 22 8 3" xfId="15424"/>
    <cellStyle name="Dane wyjściowe 2 22 8 4" xfId="15425"/>
    <cellStyle name="Dane wyjściowe 2 22 9" xfId="15426"/>
    <cellStyle name="Dane wyjściowe 2 22 9 2" xfId="15427"/>
    <cellStyle name="Dane wyjściowe 2 22 9 3" xfId="15428"/>
    <cellStyle name="Dane wyjściowe 2 22 9 4" xfId="15429"/>
    <cellStyle name="Dane wyjściowe 2 23" xfId="15430"/>
    <cellStyle name="Dane wyjściowe 2 23 10" xfId="15431"/>
    <cellStyle name="Dane wyjściowe 2 23 10 2" xfId="15432"/>
    <cellStyle name="Dane wyjściowe 2 23 10 3" xfId="15433"/>
    <cellStyle name="Dane wyjściowe 2 23 10 4" xfId="15434"/>
    <cellStyle name="Dane wyjściowe 2 23 11" xfId="15435"/>
    <cellStyle name="Dane wyjściowe 2 23 11 2" xfId="15436"/>
    <cellStyle name="Dane wyjściowe 2 23 11 3" xfId="15437"/>
    <cellStyle name="Dane wyjściowe 2 23 11 4" xfId="15438"/>
    <cellStyle name="Dane wyjściowe 2 23 12" xfId="15439"/>
    <cellStyle name="Dane wyjściowe 2 23 12 2" xfId="15440"/>
    <cellStyle name="Dane wyjściowe 2 23 12 3" xfId="15441"/>
    <cellStyle name="Dane wyjściowe 2 23 12 4" xfId="15442"/>
    <cellStyle name="Dane wyjściowe 2 23 13" xfId="15443"/>
    <cellStyle name="Dane wyjściowe 2 23 13 2" xfId="15444"/>
    <cellStyle name="Dane wyjściowe 2 23 13 3" xfId="15445"/>
    <cellStyle name="Dane wyjściowe 2 23 13 4" xfId="15446"/>
    <cellStyle name="Dane wyjściowe 2 23 14" xfId="15447"/>
    <cellStyle name="Dane wyjściowe 2 23 14 2" xfId="15448"/>
    <cellStyle name="Dane wyjściowe 2 23 14 3" xfId="15449"/>
    <cellStyle name="Dane wyjściowe 2 23 14 4" xfId="15450"/>
    <cellStyle name="Dane wyjściowe 2 23 15" xfId="15451"/>
    <cellStyle name="Dane wyjściowe 2 23 15 2" xfId="15452"/>
    <cellStyle name="Dane wyjściowe 2 23 15 3" xfId="15453"/>
    <cellStyle name="Dane wyjściowe 2 23 15 4" xfId="15454"/>
    <cellStyle name="Dane wyjściowe 2 23 16" xfId="15455"/>
    <cellStyle name="Dane wyjściowe 2 23 16 2" xfId="15456"/>
    <cellStyle name="Dane wyjściowe 2 23 16 3" xfId="15457"/>
    <cellStyle name="Dane wyjściowe 2 23 16 4" xfId="15458"/>
    <cellStyle name="Dane wyjściowe 2 23 17" xfId="15459"/>
    <cellStyle name="Dane wyjściowe 2 23 17 2" xfId="15460"/>
    <cellStyle name="Dane wyjściowe 2 23 17 3" xfId="15461"/>
    <cellStyle name="Dane wyjściowe 2 23 17 4" xfId="15462"/>
    <cellStyle name="Dane wyjściowe 2 23 18" xfId="15463"/>
    <cellStyle name="Dane wyjściowe 2 23 18 2" xfId="15464"/>
    <cellStyle name="Dane wyjściowe 2 23 18 3" xfId="15465"/>
    <cellStyle name="Dane wyjściowe 2 23 18 4" xfId="15466"/>
    <cellStyle name="Dane wyjściowe 2 23 19" xfId="15467"/>
    <cellStyle name="Dane wyjściowe 2 23 19 2" xfId="15468"/>
    <cellStyle name="Dane wyjściowe 2 23 19 3" xfId="15469"/>
    <cellStyle name="Dane wyjściowe 2 23 19 4" xfId="15470"/>
    <cellStyle name="Dane wyjściowe 2 23 2" xfId="15471"/>
    <cellStyle name="Dane wyjściowe 2 23 2 2" xfId="15472"/>
    <cellStyle name="Dane wyjściowe 2 23 2 3" xfId="15473"/>
    <cellStyle name="Dane wyjściowe 2 23 2 4" xfId="15474"/>
    <cellStyle name="Dane wyjściowe 2 23 20" xfId="15475"/>
    <cellStyle name="Dane wyjściowe 2 23 20 2" xfId="15476"/>
    <cellStyle name="Dane wyjściowe 2 23 20 3" xfId="15477"/>
    <cellStyle name="Dane wyjściowe 2 23 20 4" xfId="15478"/>
    <cellStyle name="Dane wyjściowe 2 23 21" xfId="15479"/>
    <cellStyle name="Dane wyjściowe 2 23 21 2" xfId="15480"/>
    <cellStyle name="Dane wyjściowe 2 23 21 3" xfId="15481"/>
    <cellStyle name="Dane wyjściowe 2 23 22" xfId="15482"/>
    <cellStyle name="Dane wyjściowe 2 23 22 2" xfId="15483"/>
    <cellStyle name="Dane wyjściowe 2 23 22 3" xfId="15484"/>
    <cellStyle name="Dane wyjściowe 2 23 23" xfId="15485"/>
    <cellStyle name="Dane wyjściowe 2 23 23 2" xfId="15486"/>
    <cellStyle name="Dane wyjściowe 2 23 23 3" xfId="15487"/>
    <cellStyle name="Dane wyjściowe 2 23 24" xfId="15488"/>
    <cellStyle name="Dane wyjściowe 2 23 24 2" xfId="15489"/>
    <cellStyle name="Dane wyjściowe 2 23 24 3" xfId="15490"/>
    <cellStyle name="Dane wyjściowe 2 23 25" xfId="15491"/>
    <cellStyle name="Dane wyjściowe 2 23 25 2" xfId="15492"/>
    <cellStyle name="Dane wyjściowe 2 23 25 3" xfId="15493"/>
    <cellStyle name="Dane wyjściowe 2 23 26" xfId="15494"/>
    <cellStyle name="Dane wyjściowe 2 23 26 2" xfId="15495"/>
    <cellStyle name="Dane wyjściowe 2 23 26 3" xfId="15496"/>
    <cellStyle name="Dane wyjściowe 2 23 27" xfId="15497"/>
    <cellStyle name="Dane wyjściowe 2 23 27 2" xfId="15498"/>
    <cellStyle name="Dane wyjściowe 2 23 27 3" xfId="15499"/>
    <cellStyle name="Dane wyjściowe 2 23 28" xfId="15500"/>
    <cellStyle name="Dane wyjściowe 2 23 28 2" xfId="15501"/>
    <cellStyle name="Dane wyjściowe 2 23 28 3" xfId="15502"/>
    <cellStyle name="Dane wyjściowe 2 23 29" xfId="15503"/>
    <cellStyle name="Dane wyjściowe 2 23 29 2" xfId="15504"/>
    <cellStyle name="Dane wyjściowe 2 23 29 3" xfId="15505"/>
    <cellStyle name="Dane wyjściowe 2 23 3" xfId="15506"/>
    <cellStyle name="Dane wyjściowe 2 23 3 2" xfId="15507"/>
    <cellStyle name="Dane wyjściowe 2 23 3 3" xfId="15508"/>
    <cellStyle name="Dane wyjściowe 2 23 3 4" xfId="15509"/>
    <cellStyle name="Dane wyjściowe 2 23 30" xfId="15510"/>
    <cellStyle name="Dane wyjściowe 2 23 30 2" xfId="15511"/>
    <cellStyle name="Dane wyjściowe 2 23 30 3" xfId="15512"/>
    <cellStyle name="Dane wyjściowe 2 23 31" xfId="15513"/>
    <cellStyle name="Dane wyjściowe 2 23 31 2" xfId="15514"/>
    <cellStyle name="Dane wyjściowe 2 23 31 3" xfId="15515"/>
    <cellStyle name="Dane wyjściowe 2 23 32" xfId="15516"/>
    <cellStyle name="Dane wyjściowe 2 23 32 2" xfId="15517"/>
    <cellStyle name="Dane wyjściowe 2 23 32 3" xfId="15518"/>
    <cellStyle name="Dane wyjściowe 2 23 33" xfId="15519"/>
    <cellStyle name="Dane wyjściowe 2 23 33 2" xfId="15520"/>
    <cellStyle name="Dane wyjściowe 2 23 33 3" xfId="15521"/>
    <cellStyle name="Dane wyjściowe 2 23 34" xfId="15522"/>
    <cellStyle name="Dane wyjściowe 2 23 34 2" xfId="15523"/>
    <cellStyle name="Dane wyjściowe 2 23 34 3" xfId="15524"/>
    <cellStyle name="Dane wyjściowe 2 23 35" xfId="15525"/>
    <cellStyle name="Dane wyjściowe 2 23 35 2" xfId="15526"/>
    <cellStyle name="Dane wyjściowe 2 23 35 3" xfId="15527"/>
    <cellStyle name="Dane wyjściowe 2 23 36" xfId="15528"/>
    <cellStyle name="Dane wyjściowe 2 23 36 2" xfId="15529"/>
    <cellStyle name="Dane wyjściowe 2 23 36 3" xfId="15530"/>
    <cellStyle name="Dane wyjściowe 2 23 37" xfId="15531"/>
    <cellStyle name="Dane wyjściowe 2 23 37 2" xfId="15532"/>
    <cellStyle name="Dane wyjściowe 2 23 37 3" xfId="15533"/>
    <cellStyle name="Dane wyjściowe 2 23 38" xfId="15534"/>
    <cellStyle name="Dane wyjściowe 2 23 38 2" xfId="15535"/>
    <cellStyle name="Dane wyjściowe 2 23 38 3" xfId="15536"/>
    <cellStyle name="Dane wyjściowe 2 23 39" xfId="15537"/>
    <cellStyle name="Dane wyjściowe 2 23 39 2" xfId="15538"/>
    <cellStyle name="Dane wyjściowe 2 23 39 3" xfId="15539"/>
    <cellStyle name="Dane wyjściowe 2 23 4" xfId="15540"/>
    <cellStyle name="Dane wyjściowe 2 23 4 2" xfId="15541"/>
    <cellStyle name="Dane wyjściowe 2 23 4 3" xfId="15542"/>
    <cellStyle name="Dane wyjściowe 2 23 4 4" xfId="15543"/>
    <cellStyle name="Dane wyjściowe 2 23 40" xfId="15544"/>
    <cellStyle name="Dane wyjściowe 2 23 40 2" xfId="15545"/>
    <cellStyle name="Dane wyjściowe 2 23 40 3" xfId="15546"/>
    <cellStyle name="Dane wyjściowe 2 23 41" xfId="15547"/>
    <cellStyle name="Dane wyjściowe 2 23 41 2" xfId="15548"/>
    <cellStyle name="Dane wyjściowe 2 23 41 3" xfId="15549"/>
    <cellStyle name="Dane wyjściowe 2 23 42" xfId="15550"/>
    <cellStyle name="Dane wyjściowe 2 23 42 2" xfId="15551"/>
    <cellStyle name="Dane wyjściowe 2 23 42 3" xfId="15552"/>
    <cellStyle name="Dane wyjściowe 2 23 43" xfId="15553"/>
    <cellStyle name="Dane wyjściowe 2 23 43 2" xfId="15554"/>
    <cellStyle name="Dane wyjściowe 2 23 43 3" xfId="15555"/>
    <cellStyle name="Dane wyjściowe 2 23 44" xfId="15556"/>
    <cellStyle name="Dane wyjściowe 2 23 44 2" xfId="15557"/>
    <cellStyle name="Dane wyjściowe 2 23 44 3" xfId="15558"/>
    <cellStyle name="Dane wyjściowe 2 23 45" xfId="15559"/>
    <cellStyle name="Dane wyjściowe 2 23 45 2" xfId="15560"/>
    <cellStyle name="Dane wyjściowe 2 23 45 3" xfId="15561"/>
    <cellStyle name="Dane wyjściowe 2 23 46" xfId="15562"/>
    <cellStyle name="Dane wyjściowe 2 23 46 2" xfId="15563"/>
    <cellStyle name="Dane wyjściowe 2 23 46 3" xfId="15564"/>
    <cellStyle name="Dane wyjściowe 2 23 47" xfId="15565"/>
    <cellStyle name="Dane wyjściowe 2 23 47 2" xfId="15566"/>
    <cellStyle name="Dane wyjściowe 2 23 47 3" xfId="15567"/>
    <cellStyle name="Dane wyjściowe 2 23 48" xfId="15568"/>
    <cellStyle name="Dane wyjściowe 2 23 48 2" xfId="15569"/>
    <cellStyle name="Dane wyjściowe 2 23 48 3" xfId="15570"/>
    <cellStyle name="Dane wyjściowe 2 23 49" xfId="15571"/>
    <cellStyle name="Dane wyjściowe 2 23 49 2" xfId="15572"/>
    <cellStyle name="Dane wyjściowe 2 23 49 3" xfId="15573"/>
    <cellStyle name="Dane wyjściowe 2 23 5" xfId="15574"/>
    <cellStyle name="Dane wyjściowe 2 23 5 2" xfId="15575"/>
    <cellStyle name="Dane wyjściowe 2 23 5 3" xfId="15576"/>
    <cellStyle name="Dane wyjściowe 2 23 5 4" xfId="15577"/>
    <cellStyle name="Dane wyjściowe 2 23 50" xfId="15578"/>
    <cellStyle name="Dane wyjściowe 2 23 50 2" xfId="15579"/>
    <cellStyle name="Dane wyjściowe 2 23 50 3" xfId="15580"/>
    <cellStyle name="Dane wyjściowe 2 23 51" xfId="15581"/>
    <cellStyle name="Dane wyjściowe 2 23 51 2" xfId="15582"/>
    <cellStyle name="Dane wyjściowe 2 23 51 3" xfId="15583"/>
    <cellStyle name="Dane wyjściowe 2 23 52" xfId="15584"/>
    <cellStyle name="Dane wyjściowe 2 23 52 2" xfId="15585"/>
    <cellStyle name="Dane wyjściowe 2 23 52 3" xfId="15586"/>
    <cellStyle name="Dane wyjściowe 2 23 53" xfId="15587"/>
    <cellStyle name="Dane wyjściowe 2 23 53 2" xfId="15588"/>
    <cellStyle name="Dane wyjściowe 2 23 53 3" xfId="15589"/>
    <cellStyle name="Dane wyjściowe 2 23 54" xfId="15590"/>
    <cellStyle name="Dane wyjściowe 2 23 54 2" xfId="15591"/>
    <cellStyle name="Dane wyjściowe 2 23 54 3" xfId="15592"/>
    <cellStyle name="Dane wyjściowe 2 23 55" xfId="15593"/>
    <cellStyle name="Dane wyjściowe 2 23 55 2" xfId="15594"/>
    <cellStyle name="Dane wyjściowe 2 23 55 3" xfId="15595"/>
    <cellStyle name="Dane wyjściowe 2 23 56" xfId="15596"/>
    <cellStyle name="Dane wyjściowe 2 23 56 2" xfId="15597"/>
    <cellStyle name="Dane wyjściowe 2 23 56 3" xfId="15598"/>
    <cellStyle name="Dane wyjściowe 2 23 57" xfId="15599"/>
    <cellStyle name="Dane wyjściowe 2 23 58" xfId="15600"/>
    <cellStyle name="Dane wyjściowe 2 23 6" xfId="15601"/>
    <cellStyle name="Dane wyjściowe 2 23 6 2" xfId="15602"/>
    <cellStyle name="Dane wyjściowe 2 23 6 3" xfId="15603"/>
    <cellStyle name="Dane wyjściowe 2 23 6 4" xfId="15604"/>
    <cellStyle name="Dane wyjściowe 2 23 7" xfId="15605"/>
    <cellStyle name="Dane wyjściowe 2 23 7 2" xfId="15606"/>
    <cellStyle name="Dane wyjściowe 2 23 7 3" xfId="15607"/>
    <cellStyle name="Dane wyjściowe 2 23 7 4" xfId="15608"/>
    <cellStyle name="Dane wyjściowe 2 23 8" xfId="15609"/>
    <cellStyle name="Dane wyjściowe 2 23 8 2" xfId="15610"/>
    <cellStyle name="Dane wyjściowe 2 23 8 3" xfId="15611"/>
    <cellStyle name="Dane wyjściowe 2 23 8 4" xfId="15612"/>
    <cellStyle name="Dane wyjściowe 2 23 9" xfId="15613"/>
    <cellStyle name="Dane wyjściowe 2 23 9 2" xfId="15614"/>
    <cellStyle name="Dane wyjściowe 2 23 9 3" xfId="15615"/>
    <cellStyle name="Dane wyjściowe 2 23 9 4" xfId="15616"/>
    <cellStyle name="Dane wyjściowe 2 24" xfId="15617"/>
    <cellStyle name="Dane wyjściowe 2 24 10" xfId="15618"/>
    <cellStyle name="Dane wyjściowe 2 24 10 2" xfId="15619"/>
    <cellStyle name="Dane wyjściowe 2 24 10 3" xfId="15620"/>
    <cellStyle name="Dane wyjściowe 2 24 10 4" xfId="15621"/>
    <cellStyle name="Dane wyjściowe 2 24 11" xfId="15622"/>
    <cellStyle name="Dane wyjściowe 2 24 11 2" xfId="15623"/>
    <cellStyle name="Dane wyjściowe 2 24 11 3" xfId="15624"/>
    <cellStyle name="Dane wyjściowe 2 24 11 4" xfId="15625"/>
    <cellStyle name="Dane wyjściowe 2 24 12" xfId="15626"/>
    <cellStyle name="Dane wyjściowe 2 24 12 2" xfId="15627"/>
    <cellStyle name="Dane wyjściowe 2 24 12 3" xfId="15628"/>
    <cellStyle name="Dane wyjściowe 2 24 12 4" xfId="15629"/>
    <cellStyle name="Dane wyjściowe 2 24 13" xfId="15630"/>
    <cellStyle name="Dane wyjściowe 2 24 13 2" xfId="15631"/>
    <cellStyle name="Dane wyjściowe 2 24 13 3" xfId="15632"/>
    <cellStyle name="Dane wyjściowe 2 24 13 4" xfId="15633"/>
    <cellStyle name="Dane wyjściowe 2 24 14" xfId="15634"/>
    <cellStyle name="Dane wyjściowe 2 24 14 2" xfId="15635"/>
    <cellStyle name="Dane wyjściowe 2 24 14 3" xfId="15636"/>
    <cellStyle name="Dane wyjściowe 2 24 14 4" xfId="15637"/>
    <cellStyle name="Dane wyjściowe 2 24 15" xfId="15638"/>
    <cellStyle name="Dane wyjściowe 2 24 15 2" xfId="15639"/>
    <cellStyle name="Dane wyjściowe 2 24 15 3" xfId="15640"/>
    <cellStyle name="Dane wyjściowe 2 24 15 4" xfId="15641"/>
    <cellStyle name="Dane wyjściowe 2 24 16" xfId="15642"/>
    <cellStyle name="Dane wyjściowe 2 24 16 2" xfId="15643"/>
    <cellStyle name="Dane wyjściowe 2 24 16 3" xfId="15644"/>
    <cellStyle name="Dane wyjściowe 2 24 16 4" xfId="15645"/>
    <cellStyle name="Dane wyjściowe 2 24 17" xfId="15646"/>
    <cellStyle name="Dane wyjściowe 2 24 17 2" xfId="15647"/>
    <cellStyle name="Dane wyjściowe 2 24 17 3" xfId="15648"/>
    <cellStyle name="Dane wyjściowe 2 24 17 4" xfId="15649"/>
    <cellStyle name="Dane wyjściowe 2 24 18" xfId="15650"/>
    <cellStyle name="Dane wyjściowe 2 24 18 2" xfId="15651"/>
    <cellStyle name="Dane wyjściowe 2 24 18 3" xfId="15652"/>
    <cellStyle name="Dane wyjściowe 2 24 18 4" xfId="15653"/>
    <cellStyle name="Dane wyjściowe 2 24 19" xfId="15654"/>
    <cellStyle name="Dane wyjściowe 2 24 19 2" xfId="15655"/>
    <cellStyle name="Dane wyjściowe 2 24 19 3" xfId="15656"/>
    <cellStyle name="Dane wyjściowe 2 24 19 4" xfId="15657"/>
    <cellStyle name="Dane wyjściowe 2 24 2" xfId="15658"/>
    <cellStyle name="Dane wyjściowe 2 24 2 2" xfId="15659"/>
    <cellStyle name="Dane wyjściowe 2 24 2 3" xfId="15660"/>
    <cellStyle name="Dane wyjściowe 2 24 2 4" xfId="15661"/>
    <cellStyle name="Dane wyjściowe 2 24 20" xfId="15662"/>
    <cellStyle name="Dane wyjściowe 2 24 20 2" xfId="15663"/>
    <cellStyle name="Dane wyjściowe 2 24 20 3" xfId="15664"/>
    <cellStyle name="Dane wyjściowe 2 24 20 4" xfId="15665"/>
    <cellStyle name="Dane wyjściowe 2 24 21" xfId="15666"/>
    <cellStyle name="Dane wyjściowe 2 24 21 2" xfId="15667"/>
    <cellStyle name="Dane wyjściowe 2 24 21 3" xfId="15668"/>
    <cellStyle name="Dane wyjściowe 2 24 22" xfId="15669"/>
    <cellStyle name="Dane wyjściowe 2 24 22 2" xfId="15670"/>
    <cellStyle name="Dane wyjściowe 2 24 22 3" xfId="15671"/>
    <cellStyle name="Dane wyjściowe 2 24 23" xfId="15672"/>
    <cellStyle name="Dane wyjściowe 2 24 23 2" xfId="15673"/>
    <cellStyle name="Dane wyjściowe 2 24 23 3" xfId="15674"/>
    <cellStyle name="Dane wyjściowe 2 24 24" xfId="15675"/>
    <cellStyle name="Dane wyjściowe 2 24 24 2" xfId="15676"/>
    <cellStyle name="Dane wyjściowe 2 24 24 3" xfId="15677"/>
    <cellStyle name="Dane wyjściowe 2 24 25" xfId="15678"/>
    <cellStyle name="Dane wyjściowe 2 24 25 2" xfId="15679"/>
    <cellStyle name="Dane wyjściowe 2 24 25 3" xfId="15680"/>
    <cellStyle name="Dane wyjściowe 2 24 26" xfId="15681"/>
    <cellStyle name="Dane wyjściowe 2 24 26 2" xfId="15682"/>
    <cellStyle name="Dane wyjściowe 2 24 26 3" xfId="15683"/>
    <cellStyle name="Dane wyjściowe 2 24 27" xfId="15684"/>
    <cellStyle name="Dane wyjściowe 2 24 27 2" xfId="15685"/>
    <cellStyle name="Dane wyjściowe 2 24 27 3" xfId="15686"/>
    <cellStyle name="Dane wyjściowe 2 24 28" xfId="15687"/>
    <cellStyle name="Dane wyjściowe 2 24 28 2" xfId="15688"/>
    <cellStyle name="Dane wyjściowe 2 24 28 3" xfId="15689"/>
    <cellStyle name="Dane wyjściowe 2 24 29" xfId="15690"/>
    <cellStyle name="Dane wyjściowe 2 24 29 2" xfId="15691"/>
    <cellStyle name="Dane wyjściowe 2 24 29 3" xfId="15692"/>
    <cellStyle name="Dane wyjściowe 2 24 3" xfId="15693"/>
    <cellStyle name="Dane wyjściowe 2 24 3 2" xfId="15694"/>
    <cellStyle name="Dane wyjściowe 2 24 3 3" xfId="15695"/>
    <cellStyle name="Dane wyjściowe 2 24 3 4" xfId="15696"/>
    <cellStyle name="Dane wyjściowe 2 24 30" xfId="15697"/>
    <cellStyle name="Dane wyjściowe 2 24 30 2" xfId="15698"/>
    <cellStyle name="Dane wyjściowe 2 24 30 3" xfId="15699"/>
    <cellStyle name="Dane wyjściowe 2 24 31" xfId="15700"/>
    <cellStyle name="Dane wyjściowe 2 24 31 2" xfId="15701"/>
    <cellStyle name="Dane wyjściowe 2 24 31 3" xfId="15702"/>
    <cellStyle name="Dane wyjściowe 2 24 32" xfId="15703"/>
    <cellStyle name="Dane wyjściowe 2 24 32 2" xfId="15704"/>
    <cellStyle name="Dane wyjściowe 2 24 32 3" xfId="15705"/>
    <cellStyle name="Dane wyjściowe 2 24 33" xfId="15706"/>
    <cellStyle name="Dane wyjściowe 2 24 33 2" xfId="15707"/>
    <cellStyle name="Dane wyjściowe 2 24 33 3" xfId="15708"/>
    <cellStyle name="Dane wyjściowe 2 24 34" xfId="15709"/>
    <cellStyle name="Dane wyjściowe 2 24 34 2" xfId="15710"/>
    <cellStyle name="Dane wyjściowe 2 24 34 3" xfId="15711"/>
    <cellStyle name="Dane wyjściowe 2 24 35" xfId="15712"/>
    <cellStyle name="Dane wyjściowe 2 24 35 2" xfId="15713"/>
    <cellStyle name="Dane wyjściowe 2 24 35 3" xfId="15714"/>
    <cellStyle name="Dane wyjściowe 2 24 36" xfId="15715"/>
    <cellStyle name="Dane wyjściowe 2 24 36 2" xfId="15716"/>
    <cellStyle name="Dane wyjściowe 2 24 36 3" xfId="15717"/>
    <cellStyle name="Dane wyjściowe 2 24 37" xfId="15718"/>
    <cellStyle name="Dane wyjściowe 2 24 37 2" xfId="15719"/>
    <cellStyle name="Dane wyjściowe 2 24 37 3" xfId="15720"/>
    <cellStyle name="Dane wyjściowe 2 24 38" xfId="15721"/>
    <cellStyle name="Dane wyjściowe 2 24 38 2" xfId="15722"/>
    <cellStyle name="Dane wyjściowe 2 24 38 3" xfId="15723"/>
    <cellStyle name="Dane wyjściowe 2 24 39" xfId="15724"/>
    <cellStyle name="Dane wyjściowe 2 24 39 2" xfId="15725"/>
    <cellStyle name="Dane wyjściowe 2 24 39 3" xfId="15726"/>
    <cellStyle name="Dane wyjściowe 2 24 4" xfId="15727"/>
    <cellStyle name="Dane wyjściowe 2 24 4 2" xfId="15728"/>
    <cellStyle name="Dane wyjściowe 2 24 4 3" xfId="15729"/>
    <cellStyle name="Dane wyjściowe 2 24 4 4" xfId="15730"/>
    <cellStyle name="Dane wyjściowe 2 24 40" xfId="15731"/>
    <cellStyle name="Dane wyjściowe 2 24 40 2" xfId="15732"/>
    <cellStyle name="Dane wyjściowe 2 24 40 3" xfId="15733"/>
    <cellStyle name="Dane wyjściowe 2 24 41" xfId="15734"/>
    <cellStyle name="Dane wyjściowe 2 24 41 2" xfId="15735"/>
    <cellStyle name="Dane wyjściowe 2 24 41 3" xfId="15736"/>
    <cellStyle name="Dane wyjściowe 2 24 42" xfId="15737"/>
    <cellStyle name="Dane wyjściowe 2 24 42 2" xfId="15738"/>
    <cellStyle name="Dane wyjściowe 2 24 42 3" xfId="15739"/>
    <cellStyle name="Dane wyjściowe 2 24 43" xfId="15740"/>
    <cellStyle name="Dane wyjściowe 2 24 43 2" xfId="15741"/>
    <cellStyle name="Dane wyjściowe 2 24 43 3" xfId="15742"/>
    <cellStyle name="Dane wyjściowe 2 24 44" xfId="15743"/>
    <cellStyle name="Dane wyjściowe 2 24 44 2" xfId="15744"/>
    <cellStyle name="Dane wyjściowe 2 24 44 3" xfId="15745"/>
    <cellStyle name="Dane wyjściowe 2 24 45" xfId="15746"/>
    <cellStyle name="Dane wyjściowe 2 24 45 2" xfId="15747"/>
    <cellStyle name="Dane wyjściowe 2 24 45 3" xfId="15748"/>
    <cellStyle name="Dane wyjściowe 2 24 46" xfId="15749"/>
    <cellStyle name="Dane wyjściowe 2 24 46 2" xfId="15750"/>
    <cellStyle name="Dane wyjściowe 2 24 46 3" xfId="15751"/>
    <cellStyle name="Dane wyjściowe 2 24 47" xfId="15752"/>
    <cellStyle name="Dane wyjściowe 2 24 47 2" xfId="15753"/>
    <cellStyle name="Dane wyjściowe 2 24 47 3" xfId="15754"/>
    <cellStyle name="Dane wyjściowe 2 24 48" xfId="15755"/>
    <cellStyle name="Dane wyjściowe 2 24 48 2" xfId="15756"/>
    <cellStyle name="Dane wyjściowe 2 24 48 3" xfId="15757"/>
    <cellStyle name="Dane wyjściowe 2 24 49" xfId="15758"/>
    <cellStyle name="Dane wyjściowe 2 24 49 2" xfId="15759"/>
    <cellStyle name="Dane wyjściowe 2 24 49 3" xfId="15760"/>
    <cellStyle name="Dane wyjściowe 2 24 5" xfId="15761"/>
    <cellStyle name="Dane wyjściowe 2 24 5 2" xfId="15762"/>
    <cellStyle name="Dane wyjściowe 2 24 5 3" xfId="15763"/>
    <cellStyle name="Dane wyjściowe 2 24 5 4" xfId="15764"/>
    <cellStyle name="Dane wyjściowe 2 24 50" xfId="15765"/>
    <cellStyle name="Dane wyjściowe 2 24 50 2" xfId="15766"/>
    <cellStyle name="Dane wyjściowe 2 24 50 3" xfId="15767"/>
    <cellStyle name="Dane wyjściowe 2 24 51" xfId="15768"/>
    <cellStyle name="Dane wyjściowe 2 24 51 2" xfId="15769"/>
    <cellStyle name="Dane wyjściowe 2 24 51 3" xfId="15770"/>
    <cellStyle name="Dane wyjściowe 2 24 52" xfId="15771"/>
    <cellStyle name="Dane wyjściowe 2 24 52 2" xfId="15772"/>
    <cellStyle name="Dane wyjściowe 2 24 52 3" xfId="15773"/>
    <cellStyle name="Dane wyjściowe 2 24 53" xfId="15774"/>
    <cellStyle name="Dane wyjściowe 2 24 53 2" xfId="15775"/>
    <cellStyle name="Dane wyjściowe 2 24 53 3" xfId="15776"/>
    <cellStyle name="Dane wyjściowe 2 24 54" xfId="15777"/>
    <cellStyle name="Dane wyjściowe 2 24 54 2" xfId="15778"/>
    <cellStyle name="Dane wyjściowe 2 24 54 3" xfId="15779"/>
    <cellStyle name="Dane wyjściowe 2 24 55" xfId="15780"/>
    <cellStyle name="Dane wyjściowe 2 24 55 2" xfId="15781"/>
    <cellStyle name="Dane wyjściowe 2 24 55 3" xfId="15782"/>
    <cellStyle name="Dane wyjściowe 2 24 56" xfId="15783"/>
    <cellStyle name="Dane wyjściowe 2 24 56 2" xfId="15784"/>
    <cellStyle name="Dane wyjściowe 2 24 56 3" xfId="15785"/>
    <cellStyle name="Dane wyjściowe 2 24 57" xfId="15786"/>
    <cellStyle name="Dane wyjściowe 2 24 58" xfId="15787"/>
    <cellStyle name="Dane wyjściowe 2 24 6" xfId="15788"/>
    <cellStyle name="Dane wyjściowe 2 24 6 2" xfId="15789"/>
    <cellStyle name="Dane wyjściowe 2 24 6 3" xfId="15790"/>
    <cellStyle name="Dane wyjściowe 2 24 6 4" xfId="15791"/>
    <cellStyle name="Dane wyjściowe 2 24 7" xfId="15792"/>
    <cellStyle name="Dane wyjściowe 2 24 7 2" xfId="15793"/>
    <cellStyle name="Dane wyjściowe 2 24 7 3" xfId="15794"/>
    <cellStyle name="Dane wyjściowe 2 24 7 4" xfId="15795"/>
    <cellStyle name="Dane wyjściowe 2 24 8" xfId="15796"/>
    <cellStyle name="Dane wyjściowe 2 24 8 2" xfId="15797"/>
    <cellStyle name="Dane wyjściowe 2 24 8 3" xfId="15798"/>
    <cellStyle name="Dane wyjściowe 2 24 8 4" xfId="15799"/>
    <cellStyle name="Dane wyjściowe 2 24 9" xfId="15800"/>
    <cellStyle name="Dane wyjściowe 2 24 9 2" xfId="15801"/>
    <cellStyle name="Dane wyjściowe 2 24 9 3" xfId="15802"/>
    <cellStyle name="Dane wyjściowe 2 24 9 4" xfId="15803"/>
    <cellStyle name="Dane wyjściowe 2 25" xfId="15804"/>
    <cellStyle name="Dane wyjściowe 2 25 10" xfId="15805"/>
    <cellStyle name="Dane wyjściowe 2 25 10 2" xfId="15806"/>
    <cellStyle name="Dane wyjściowe 2 25 10 3" xfId="15807"/>
    <cellStyle name="Dane wyjściowe 2 25 10 4" xfId="15808"/>
    <cellStyle name="Dane wyjściowe 2 25 11" xfId="15809"/>
    <cellStyle name="Dane wyjściowe 2 25 11 2" xfId="15810"/>
    <cellStyle name="Dane wyjściowe 2 25 11 3" xfId="15811"/>
    <cellStyle name="Dane wyjściowe 2 25 11 4" xfId="15812"/>
    <cellStyle name="Dane wyjściowe 2 25 12" xfId="15813"/>
    <cellStyle name="Dane wyjściowe 2 25 12 2" xfId="15814"/>
    <cellStyle name="Dane wyjściowe 2 25 12 3" xfId="15815"/>
    <cellStyle name="Dane wyjściowe 2 25 12 4" xfId="15816"/>
    <cellStyle name="Dane wyjściowe 2 25 13" xfId="15817"/>
    <cellStyle name="Dane wyjściowe 2 25 13 2" xfId="15818"/>
    <cellStyle name="Dane wyjściowe 2 25 13 3" xfId="15819"/>
    <cellStyle name="Dane wyjściowe 2 25 13 4" xfId="15820"/>
    <cellStyle name="Dane wyjściowe 2 25 14" xfId="15821"/>
    <cellStyle name="Dane wyjściowe 2 25 14 2" xfId="15822"/>
    <cellStyle name="Dane wyjściowe 2 25 14 3" xfId="15823"/>
    <cellStyle name="Dane wyjściowe 2 25 14 4" xfId="15824"/>
    <cellStyle name="Dane wyjściowe 2 25 15" xfId="15825"/>
    <cellStyle name="Dane wyjściowe 2 25 15 2" xfId="15826"/>
    <cellStyle name="Dane wyjściowe 2 25 15 3" xfId="15827"/>
    <cellStyle name="Dane wyjściowe 2 25 15 4" xfId="15828"/>
    <cellStyle name="Dane wyjściowe 2 25 16" xfId="15829"/>
    <cellStyle name="Dane wyjściowe 2 25 16 2" xfId="15830"/>
    <cellStyle name="Dane wyjściowe 2 25 16 3" xfId="15831"/>
    <cellStyle name="Dane wyjściowe 2 25 16 4" xfId="15832"/>
    <cellStyle name="Dane wyjściowe 2 25 17" xfId="15833"/>
    <cellStyle name="Dane wyjściowe 2 25 17 2" xfId="15834"/>
    <cellStyle name="Dane wyjściowe 2 25 17 3" xfId="15835"/>
    <cellStyle name="Dane wyjściowe 2 25 17 4" xfId="15836"/>
    <cellStyle name="Dane wyjściowe 2 25 18" xfId="15837"/>
    <cellStyle name="Dane wyjściowe 2 25 18 2" xfId="15838"/>
    <cellStyle name="Dane wyjściowe 2 25 18 3" xfId="15839"/>
    <cellStyle name="Dane wyjściowe 2 25 18 4" xfId="15840"/>
    <cellStyle name="Dane wyjściowe 2 25 19" xfId="15841"/>
    <cellStyle name="Dane wyjściowe 2 25 19 2" xfId="15842"/>
    <cellStyle name="Dane wyjściowe 2 25 19 3" xfId="15843"/>
    <cellStyle name="Dane wyjściowe 2 25 19 4" xfId="15844"/>
    <cellStyle name="Dane wyjściowe 2 25 2" xfId="15845"/>
    <cellStyle name="Dane wyjściowe 2 25 2 2" xfId="15846"/>
    <cellStyle name="Dane wyjściowe 2 25 2 3" xfId="15847"/>
    <cellStyle name="Dane wyjściowe 2 25 2 4" xfId="15848"/>
    <cellStyle name="Dane wyjściowe 2 25 20" xfId="15849"/>
    <cellStyle name="Dane wyjściowe 2 25 20 2" xfId="15850"/>
    <cellStyle name="Dane wyjściowe 2 25 20 3" xfId="15851"/>
    <cellStyle name="Dane wyjściowe 2 25 20 4" xfId="15852"/>
    <cellStyle name="Dane wyjściowe 2 25 21" xfId="15853"/>
    <cellStyle name="Dane wyjściowe 2 25 21 2" xfId="15854"/>
    <cellStyle name="Dane wyjściowe 2 25 21 3" xfId="15855"/>
    <cellStyle name="Dane wyjściowe 2 25 22" xfId="15856"/>
    <cellStyle name="Dane wyjściowe 2 25 22 2" xfId="15857"/>
    <cellStyle name="Dane wyjściowe 2 25 22 3" xfId="15858"/>
    <cellStyle name="Dane wyjściowe 2 25 23" xfId="15859"/>
    <cellStyle name="Dane wyjściowe 2 25 23 2" xfId="15860"/>
    <cellStyle name="Dane wyjściowe 2 25 23 3" xfId="15861"/>
    <cellStyle name="Dane wyjściowe 2 25 24" xfId="15862"/>
    <cellStyle name="Dane wyjściowe 2 25 24 2" xfId="15863"/>
    <cellStyle name="Dane wyjściowe 2 25 24 3" xfId="15864"/>
    <cellStyle name="Dane wyjściowe 2 25 25" xfId="15865"/>
    <cellStyle name="Dane wyjściowe 2 25 25 2" xfId="15866"/>
    <cellStyle name="Dane wyjściowe 2 25 25 3" xfId="15867"/>
    <cellStyle name="Dane wyjściowe 2 25 26" xfId="15868"/>
    <cellStyle name="Dane wyjściowe 2 25 26 2" xfId="15869"/>
    <cellStyle name="Dane wyjściowe 2 25 26 3" xfId="15870"/>
    <cellStyle name="Dane wyjściowe 2 25 27" xfId="15871"/>
    <cellStyle name="Dane wyjściowe 2 25 27 2" xfId="15872"/>
    <cellStyle name="Dane wyjściowe 2 25 27 3" xfId="15873"/>
    <cellStyle name="Dane wyjściowe 2 25 28" xfId="15874"/>
    <cellStyle name="Dane wyjściowe 2 25 28 2" xfId="15875"/>
    <cellStyle name="Dane wyjściowe 2 25 28 3" xfId="15876"/>
    <cellStyle name="Dane wyjściowe 2 25 29" xfId="15877"/>
    <cellStyle name="Dane wyjściowe 2 25 29 2" xfId="15878"/>
    <cellStyle name="Dane wyjściowe 2 25 29 3" xfId="15879"/>
    <cellStyle name="Dane wyjściowe 2 25 3" xfId="15880"/>
    <cellStyle name="Dane wyjściowe 2 25 3 2" xfId="15881"/>
    <cellStyle name="Dane wyjściowe 2 25 3 3" xfId="15882"/>
    <cellStyle name="Dane wyjściowe 2 25 3 4" xfId="15883"/>
    <cellStyle name="Dane wyjściowe 2 25 30" xfId="15884"/>
    <cellStyle name="Dane wyjściowe 2 25 30 2" xfId="15885"/>
    <cellStyle name="Dane wyjściowe 2 25 30 3" xfId="15886"/>
    <cellStyle name="Dane wyjściowe 2 25 31" xfId="15887"/>
    <cellStyle name="Dane wyjściowe 2 25 31 2" xfId="15888"/>
    <cellStyle name="Dane wyjściowe 2 25 31 3" xfId="15889"/>
    <cellStyle name="Dane wyjściowe 2 25 32" xfId="15890"/>
    <cellStyle name="Dane wyjściowe 2 25 32 2" xfId="15891"/>
    <cellStyle name="Dane wyjściowe 2 25 32 3" xfId="15892"/>
    <cellStyle name="Dane wyjściowe 2 25 33" xfId="15893"/>
    <cellStyle name="Dane wyjściowe 2 25 33 2" xfId="15894"/>
    <cellStyle name="Dane wyjściowe 2 25 33 3" xfId="15895"/>
    <cellStyle name="Dane wyjściowe 2 25 34" xfId="15896"/>
    <cellStyle name="Dane wyjściowe 2 25 34 2" xfId="15897"/>
    <cellStyle name="Dane wyjściowe 2 25 34 3" xfId="15898"/>
    <cellStyle name="Dane wyjściowe 2 25 35" xfId="15899"/>
    <cellStyle name="Dane wyjściowe 2 25 35 2" xfId="15900"/>
    <cellStyle name="Dane wyjściowe 2 25 35 3" xfId="15901"/>
    <cellStyle name="Dane wyjściowe 2 25 36" xfId="15902"/>
    <cellStyle name="Dane wyjściowe 2 25 36 2" xfId="15903"/>
    <cellStyle name="Dane wyjściowe 2 25 36 3" xfId="15904"/>
    <cellStyle name="Dane wyjściowe 2 25 37" xfId="15905"/>
    <cellStyle name="Dane wyjściowe 2 25 37 2" xfId="15906"/>
    <cellStyle name="Dane wyjściowe 2 25 37 3" xfId="15907"/>
    <cellStyle name="Dane wyjściowe 2 25 38" xfId="15908"/>
    <cellStyle name="Dane wyjściowe 2 25 38 2" xfId="15909"/>
    <cellStyle name="Dane wyjściowe 2 25 38 3" xfId="15910"/>
    <cellStyle name="Dane wyjściowe 2 25 39" xfId="15911"/>
    <cellStyle name="Dane wyjściowe 2 25 39 2" xfId="15912"/>
    <cellStyle name="Dane wyjściowe 2 25 39 3" xfId="15913"/>
    <cellStyle name="Dane wyjściowe 2 25 4" xfId="15914"/>
    <cellStyle name="Dane wyjściowe 2 25 4 2" xfId="15915"/>
    <cellStyle name="Dane wyjściowe 2 25 4 3" xfId="15916"/>
    <cellStyle name="Dane wyjściowe 2 25 4 4" xfId="15917"/>
    <cellStyle name="Dane wyjściowe 2 25 40" xfId="15918"/>
    <cellStyle name="Dane wyjściowe 2 25 40 2" xfId="15919"/>
    <cellStyle name="Dane wyjściowe 2 25 40 3" xfId="15920"/>
    <cellStyle name="Dane wyjściowe 2 25 41" xfId="15921"/>
    <cellStyle name="Dane wyjściowe 2 25 41 2" xfId="15922"/>
    <cellStyle name="Dane wyjściowe 2 25 41 3" xfId="15923"/>
    <cellStyle name="Dane wyjściowe 2 25 42" xfId="15924"/>
    <cellStyle name="Dane wyjściowe 2 25 42 2" xfId="15925"/>
    <cellStyle name="Dane wyjściowe 2 25 42 3" xfId="15926"/>
    <cellStyle name="Dane wyjściowe 2 25 43" xfId="15927"/>
    <cellStyle name="Dane wyjściowe 2 25 43 2" xfId="15928"/>
    <cellStyle name="Dane wyjściowe 2 25 43 3" xfId="15929"/>
    <cellStyle name="Dane wyjściowe 2 25 44" xfId="15930"/>
    <cellStyle name="Dane wyjściowe 2 25 44 2" xfId="15931"/>
    <cellStyle name="Dane wyjściowe 2 25 44 3" xfId="15932"/>
    <cellStyle name="Dane wyjściowe 2 25 45" xfId="15933"/>
    <cellStyle name="Dane wyjściowe 2 25 45 2" xfId="15934"/>
    <cellStyle name="Dane wyjściowe 2 25 45 3" xfId="15935"/>
    <cellStyle name="Dane wyjściowe 2 25 46" xfId="15936"/>
    <cellStyle name="Dane wyjściowe 2 25 46 2" xfId="15937"/>
    <cellStyle name="Dane wyjściowe 2 25 46 3" xfId="15938"/>
    <cellStyle name="Dane wyjściowe 2 25 47" xfId="15939"/>
    <cellStyle name="Dane wyjściowe 2 25 47 2" xfId="15940"/>
    <cellStyle name="Dane wyjściowe 2 25 47 3" xfId="15941"/>
    <cellStyle name="Dane wyjściowe 2 25 48" xfId="15942"/>
    <cellStyle name="Dane wyjściowe 2 25 48 2" xfId="15943"/>
    <cellStyle name="Dane wyjściowe 2 25 48 3" xfId="15944"/>
    <cellStyle name="Dane wyjściowe 2 25 49" xfId="15945"/>
    <cellStyle name="Dane wyjściowe 2 25 49 2" xfId="15946"/>
    <cellStyle name="Dane wyjściowe 2 25 49 3" xfId="15947"/>
    <cellStyle name="Dane wyjściowe 2 25 5" xfId="15948"/>
    <cellStyle name="Dane wyjściowe 2 25 5 2" xfId="15949"/>
    <cellStyle name="Dane wyjściowe 2 25 5 3" xfId="15950"/>
    <cellStyle name="Dane wyjściowe 2 25 5 4" xfId="15951"/>
    <cellStyle name="Dane wyjściowe 2 25 50" xfId="15952"/>
    <cellStyle name="Dane wyjściowe 2 25 50 2" xfId="15953"/>
    <cellStyle name="Dane wyjściowe 2 25 50 3" xfId="15954"/>
    <cellStyle name="Dane wyjściowe 2 25 51" xfId="15955"/>
    <cellStyle name="Dane wyjściowe 2 25 51 2" xfId="15956"/>
    <cellStyle name="Dane wyjściowe 2 25 51 3" xfId="15957"/>
    <cellStyle name="Dane wyjściowe 2 25 52" xfId="15958"/>
    <cellStyle name="Dane wyjściowe 2 25 52 2" xfId="15959"/>
    <cellStyle name="Dane wyjściowe 2 25 52 3" xfId="15960"/>
    <cellStyle name="Dane wyjściowe 2 25 53" xfId="15961"/>
    <cellStyle name="Dane wyjściowe 2 25 53 2" xfId="15962"/>
    <cellStyle name="Dane wyjściowe 2 25 53 3" xfId="15963"/>
    <cellStyle name="Dane wyjściowe 2 25 54" xfId="15964"/>
    <cellStyle name="Dane wyjściowe 2 25 54 2" xfId="15965"/>
    <cellStyle name="Dane wyjściowe 2 25 54 3" xfId="15966"/>
    <cellStyle name="Dane wyjściowe 2 25 55" xfId="15967"/>
    <cellStyle name="Dane wyjściowe 2 25 55 2" xfId="15968"/>
    <cellStyle name="Dane wyjściowe 2 25 55 3" xfId="15969"/>
    <cellStyle name="Dane wyjściowe 2 25 56" xfId="15970"/>
    <cellStyle name="Dane wyjściowe 2 25 56 2" xfId="15971"/>
    <cellStyle name="Dane wyjściowe 2 25 56 3" xfId="15972"/>
    <cellStyle name="Dane wyjściowe 2 25 57" xfId="15973"/>
    <cellStyle name="Dane wyjściowe 2 25 58" xfId="15974"/>
    <cellStyle name="Dane wyjściowe 2 25 6" xfId="15975"/>
    <cellStyle name="Dane wyjściowe 2 25 6 2" xfId="15976"/>
    <cellStyle name="Dane wyjściowe 2 25 6 3" xfId="15977"/>
    <cellStyle name="Dane wyjściowe 2 25 6 4" xfId="15978"/>
    <cellStyle name="Dane wyjściowe 2 25 7" xfId="15979"/>
    <cellStyle name="Dane wyjściowe 2 25 7 2" xfId="15980"/>
    <cellStyle name="Dane wyjściowe 2 25 7 3" xfId="15981"/>
    <cellStyle name="Dane wyjściowe 2 25 7 4" xfId="15982"/>
    <cellStyle name="Dane wyjściowe 2 25 8" xfId="15983"/>
    <cellStyle name="Dane wyjściowe 2 25 8 2" xfId="15984"/>
    <cellStyle name="Dane wyjściowe 2 25 8 3" xfId="15985"/>
    <cellStyle name="Dane wyjściowe 2 25 8 4" xfId="15986"/>
    <cellStyle name="Dane wyjściowe 2 25 9" xfId="15987"/>
    <cellStyle name="Dane wyjściowe 2 25 9 2" xfId="15988"/>
    <cellStyle name="Dane wyjściowe 2 25 9 3" xfId="15989"/>
    <cellStyle name="Dane wyjściowe 2 25 9 4" xfId="15990"/>
    <cellStyle name="Dane wyjściowe 2 26" xfId="15991"/>
    <cellStyle name="Dane wyjściowe 2 26 10" xfId="15992"/>
    <cellStyle name="Dane wyjściowe 2 26 10 2" xfId="15993"/>
    <cellStyle name="Dane wyjściowe 2 26 10 3" xfId="15994"/>
    <cellStyle name="Dane wyjściowe 2 26 10 4" xfId="15995"/>
    <cellStyle name="Dane wyjściowe 2 26 11" xfId="15996"/>
    <cellStyle name="Dane wyjściowe 2 26 11 2" xfId="15997"/>
    <cellStyle name="Dane wyjściowe 2 26 11 3" xfId="15998"/>
    <cellStyle name="Dane wyjściowe 2 26 11 4" xfId="15999"/>
    <cellStyle name="Dane wyjściowe 2 26 12" xfId="16000"/>
    <cellStyle name="Dane wyjściowe 2 26 12 2" xfId="16001"/>
    <cellStyle name="Dane wyjściowe 2 26 12 3" xfId="16002"/>
    <cellStyle name="Dane wyjściowe 2 26 12 4" xfId="16003"/>
    <cellStyle name="Dane wyjściowe 2 26 13" xfId="16004"/>
    <cellStyle name="Dane wyjściowe 2 26 13 2" xfId="16005"/>
    <cellStyle name="Dane wyjściowe 2 26 13 3" xfId="16006"/>
    <cellStyle name="Dane wyjściowe 2 26 13 4" xfId="16007"/>
    <cellStyle name="Dane wyjściowe 2 26 14" xfId="16008"/>
    <cellStyle name="Dane wyjściowe 2 26 14 2" xfId="16009"/>
    <cellStyle name="Dane wyjściowe 2 26 14 3" xfId="16010"/>
    <cellStyle name="Dane wyjściowe 2 26 14 4" xfId="16011"/>
    <cellStyle name="Dane wyjściowe 2 26 15" xfId="16012"/>
    <cellStyle name="Dane wyjściowe 2 26 15 2" xfId="16013"/>
    <cellStyle name="Dane wyjściowe 2 26 15 3" xfId="16014"/>
    <cellStyle name="Dane wyjściowe 2 26 15 4" xfId="16015"/>
    <cellStyle name="Dane wyjściowe 2 26 16" xfId="16016"/>
    <cellStyle name="Dane wyjściowe 2 26 16 2" xfId="16017"/>
    <cellStyle name="Dane wyjściowe 2 26 16 3" xfId="16018"/>
    <cellStyle name="Dane wyjściowe 2 26 16 4" xfId="16019"/>
    <cellStyle name="Dane wyjściowe 2 26 17" xfId="16020"/>
    <cellStyle name="Dane wyjściowe 2 26 17 2" xfId="16021"/>
    <cellStyle name="Dane wyjściowe 2 26 17 3" xfId="16022"/>
    <cellStyle name="Dane wyjściowe 2 26 17 4" xfId="16023"/>
    <cellStyle name="Dane wyjściowe 2 26 18" xfId="16024"/>
    <cellStyle name="Dane wyjściowe 2 26 18 2" xfId="16025"/>
    <cellStyle name="Dane wyjściowe 2 26 18 3" xfId="16026"/>
    <cellStyle name="Dane wyjściowe 2 26 18 4" xfId="16027"/>
    <cellStyle name="Dane wyjściowe 2 26 19" xfId="16028"/>
    <cellStyle name="Dane wyjściowe 2 26 19 2" xfId="16029"/>
    <cellStyle name="Dane wyjściowe 2 26 19 3" xfId="16030"/>
    <cellStyle name="Dane wyjściowe 2 26 19 4" xfId="16031"/>
    <cellStyle name="Dane wyjściowe 2 26 2" xfId="16032"/>
    <cellStyle name="Dane wyjściowe 2 26 2 2" xfId="16033"/>
    <cellStyle name="Dane wyjściowe 2 26 2 3" xfId="16034"/>
    <cellStyle name="Dane wyjściowe 2 26 2 4" xfId="16035"/>
    <cellStyle name="Dane wyjściowe 2 26 20" xfId="16036"/>
    <cellStyle name="Dane wyjściowe 2 26 20 2" xfId="16037"/>
    <cellStyle name="Dane wyjściowe 2 26 20 3" xfId="16038"/>
    <cellStyle name="Dane wyjściowe 2 26 20 4" xfId="16039"/>
    <cellStyle name="Dane wyjściowe 2 26 21" xfId="16040"/>
    <cellStyle name="Dane wyjściowe 2 26 21 2" xfId="16041"/>
    <cellStyle name="Dane wyjściowe 2 26 21 3" xfId="16042"/>
    <cellStyle name="Dane wyjściowe 2 26 22" xfId="16043"/>
    <cellStyle name="Dane wyjściowe 2 26 22 2" xfId="16044"/>
    <cellStyle name="Dane wyjściowe 2 26 22 3" xfId="16045"/>
    <cellStyle name="Dane wyjściowe 2 26 23" xfId="16046"/>
    <cellStyle name="Dane wyjściowe 2 26 23 2" xfId="16047"/>
    <cellStyle name="Dane wyjściowe 2 26 23 3" xfId="16048"/>
    <cellStyle name="Dane wyjściowe 2 26 24" xfId="16049"/>
    <cellStyle name="Dane wyjściowe 2 26 24 2" xfId="16050"/>
    <cellStyle name="Dane wyjściowe 2 26 24 3" xfId="16051"/>
    <cellStyle name="Dane wyjściowe 2 26 25" xfId="16052"/>
    <cellStyle name="Dane wyjściowe 2 26 25 2" xfId="16053"/>
    <cellStyle name="Dane wyjściowe 2 26 25 3" xfId="16054"/>
    <cellStyle name="Dane wyjściowe 2 26 26" xfId="16055"/>
    <cellStyle name="Dane wyjściowe 2 26 26 2" xfId="16056"/>
    <cellStyle name="Dane wyjściowe 2 26 26 3" xfId="16057"/>
    <cellStyle name="Dane wyjściowe 2 26 27" xfId="16058"/>
    <cellStyle name="Dane wyjściowe 2 26 27 2" xfId="16059"/>
    <cellStyle name="Dane wyjściowe 2 26 27 3" xfId="16060"/>
    <cellStyle name="Dane wyjściowe 2 26 28" xfId="16061"/>
    <cellStyle name="Dane wyjściowe 2 26 28 2" xfId="16062"/>
    <cellStyle name="Dane wyjściowe 2 26 28 3" xfId="16063"/>
    <cellStyle name="Dane wyjściowe 2 26 29" xfId="16064"/>
    <cellStyle name="Dane wyjściowe 2 26 29 2" xfId="16065"/>
    <cellStyle name="Dane wyjściowe 2 26 29 3" xfId="16066"/>
    <cellStyle name="Dane wyjściowe 2 26 3" xfId="16067"/>
    <cellStyle name="Dane wyjściowe 2 26 3 2" xfId="16068"/>
    <cellStyle name="Dane wyjściowe 2 26 3 3" xfId="16069"/>
    <cellStyle name="Dane wyjściowe 2 26 3 4" xfId="16070"/>
    <cellStyle name="Dane wyjściowe 2 26 30" xfId="16071"/>
    <cellStyle name="Dane wyjściowe 2 26 30 2" xfId="16072"/>
    <cellStyle name="Dane wyjściowe 2 26 30 3" xfId="16073"/>
    <cellStyle name="Dane wyjściowe 2 26 31" xfId="16074"/>
    <cellStyle name="Dane wyjściowe 2 26 31 2" xfId="16075"/>
    <cellStyle name="Dane wyjściowe 2 26 31 3" xfId="16076"/>
    <cellStyle name="Dane wyjściowe 2 26 32" xfId="16077"/>
    <cellStyle name="Dane wyjściowe 2 26 32 2" xfId="16078"/>
    <cellStyle name="Dane wyjściowe 2 26 32 3" xfId="16079"/>
    <cellStyle name="Dane wyjściowe 2 26 33" xfId="16080"/>
    <cellStyle name="Dane wyjściowe 2 26 33 2" xfId="16081"/>
    <cellStyle name="Dane wyjściowe 2 26 33 3" xfId="16082"/>
    <cellStyle name="Dane wyjściowe 2 26 34" xfId="16083"/>
    <cellStyle name="Dane wyjściowe 2 26 34 2" xfId="16084"/>
    <cellStyle name="Dane wyjściowe 2 26 34 3" xfId="16085"/>
    <cellStyle name="Dane wyjściowe 2 26 35" xfId="16086"/>
    <cellStyle name="Dane wyjściowe 2 26 35 2" xfId="16087"/>
    <cellStyle name="Dane wyjściowe 2 26 35 3" xfId="16088"/>
    <cellStyle name="Dane wyjściowe 2 26 36" xfId="16089"/>
    <cellStyle name="Dane wyjściowe 2 26 36 2" xfId="16090"/>
    <cellStyle name="Dane wyjściowe 2 26 36 3" xfId="16091"/>
    <cellStyle name="Dane wyjściowe 2 26 37" xfId="16092"/>
    <cellStyle name="Dane wyjściowe 2 26 37 2" xfId="16093"/>
    <cellStyle name="Dane wyjściowe 2 26 37 3" xfId="16094"/>
    <cellStyle name="Dane wyjściowe 2 26 38" xfId="16095"/>
    <cellStyle name="Dane wyjściowe 2 26 38 2" xfId="16096"/>
    <cellStyle name="Dane wyjściowe 2 26 38 3" xfId="16097"/>
    <cellStyle name="Dane wyjściowe 2 26 39" xfId="16098"/>
    <cellStyle name="Dane wyjściowe 2 26 39 2" xfId="16099"/>
    <cellStyle name="Dane wyjściowe 2 26 39 3" xfId="16100"/>
    <cellStyle name="Dane wyjściowe 2 26 4" xfId="16101"/>
    <cellStyle name="Dane wyjściowe 2 26 4 2" xfId="16102"/>
    <cellStyle name="Dane wyjściowe 2 26 4 3" xfId="16103"/>
    <cellStyle name="Dane wyjściowe 2 26 4 4" xfId="16104"/>
    <cellStyle name="Dane wyjściowe 2 26 40" xfId="16105"/>
    <cellStyle name="Dane wyjściowe 2 26 40 2" xfId="16106"/>
    <cellStyle name="Dane wyjściowe 2 26 40 3" xfId="16107"/>
    <cellStyle name="Dane wyjściowe 2 26 41" xfId="16108"/>
    <cellStyle name="Dane wyjściowe 2 26 41 2" xfId="16109"/>
    <cellStyle name="Dane wyjściowe 2 26 41 3" xfId="16110"/>
    <cellStyle name="Dane wyjściowe 2 26 42" xfId="16111"/>
    <cellStyle name="Dane wyjściowe 2 26 42 2" xfId="16112"/>
    <cellStyle name="Dane wyjściowe 2 26 42 3" xfId="16113"/>
    <cellStyle name="Dane wyjściowe 2 26 43" xfId="16114"/>
    <cellStyle name="Dane wyjściowe 2 26 43 2" xfId="16115"/>
    <cellStyle name="Dane wyjściowe 2 26 43 3" xfId="16116"/>
    <cellStyle name="Dane wyjściowe 2 26 44" xfId="16117"/>
    <cellStyle name="Dane wyjściowe 2 26 44 2" xfId="16118"/>
    <cellStyle name="Dane wyjściowe 2 26 44 3" xfId="16119"/>
    <cellStyle name="Dane wyjściowe 2 26 45" xfId="16120"/>
    <cellStyle name="Dane wyjściowe 2 26 45 2" xfId="16121"/>
    <cellStyle name="Dane wyjściowe 2 26 45 3" xfId="16122"/>
    <cellStyle name="Dane wyjściowe 2 26 46" xfId="16123"/>
    <cellStyle name="Dane wyjściowe 2 26 46 2" xfId="16124"/>
    <cellStyle name="Dane wyjściowe 2 26 46 3" xfId="16125"/>
    <cellStyle name="Dane wyjściowe 2 26 47" xfId="16126"/>
    <cellStyle name="Dane wyjściowe 2 26 47 2" xfId="16127"/>
    <cellStyle name="Dane wyjściowe 2 26 47 3" xfId="16128"/>
    <cellStyle name="Dane wyjściowe 2 26 48" xfId="16129"/>
    <cellStyle name="Dane wyjściowe 2 26 48 2" xfId="16130"/>
    <cellStyle name="Dane wyjściowe 2 26 48 3" xfId="16131"/>
    <cellStyle name="Dane wyjściowe 2 26 49" xfId="16132"/>
    <cellStyle name="Dane wyjściowe 2 26 49 2" xfId="16133"/>
    <cellStyle name="Dane wyjściowe 2 26 49 3" xfId="16134"/>
    <cellStyle name="Dane wyjściowe 2 26 5" xfId="16135"/>
    <cellStyle name="Dane wyjściowe 2 26 5 2" xfId="16136"/>
    <cellStyle name="Dane wyjściowe 2 26 5 3" xfId="16137"/>
    <cellStyle name="Dane wyjściowe 2 26 5 4" xfId="16138"/>
    <cellStyle name="Dane wyjściowe 2 26 50" xfId="16139"/>
    <cellStyle name="Dane wyjściowe 2 26 50 2" xfId="16140"/>
    <cellStyle name="Dane wyjściowe 2 26 50 3" xfId="16141"/>
    <cellStyle name="Dane wyjściowe 2 26 51" xfId="16142"/>
    <cellStyle name="Dane wyjściowe 2 26 51 2" xfId="16143"/>
    <cellStyle name="Dane wyjściowe 2 26 51 3" xfId="16144"/>
    <cellStyle name="Dane wyjściowe 2 26 52" xfId="16145"/>
    <cellStyle name="Dane wyjściowe 2 26 52 2" xfId="16146"/>
    <cellStyle name="Dane wyjściowe 2 26 52 3" xfId="16147"/>
    <cellStyle name="Dane wyjściowe 2 26 53" xfId="16148"/>
    <cellStyle name="Dane wyjściowe 2 26 53 2" xfId="16149"/>
    <cellStyle name="Dane wyjściowe 2 26 53 3" xfId="16150"/>
    <cellStyle name="Dane wyjściowe 2 26 54" xfId="16151"/>
    <cellStyle name="Dane wyjściowe 2 26 54 2" xfId="16152"/>
    <cellStyle name="Dane wyjściowe 2 26 54 3" xfId="16153"/>
    <cellStyle name="Dane wyjściowe 2 26 55" xfId="16154"/>
    <cellStyle name="Dane wyjściowe 2 26 55 2" xfId="16155"/>
    <cellStyle name="Dane wyjściowe 2 26 55 3" xfId="16156"/>
    <cellStyle name="Dane wyjściowe 2 26 56" xfId="16157"/>
    <cellStyle name="Dane wyjściowe 2 26 56 2" xfId="16158"/>
    <cellStyle name="Dane wyjściowe 2 26 56 3" xfId="16159"/>
    <cellStyle name="Dane wyjściowe 2 26 57" xfId="16160"/>
    <cellStyle name="Dane wyjściowe 2 26 58" xfId="16161"/>
    <cellStyle name="Dane wyjściowe 2 26 6" xfId="16162"/>
    <cellStyle name="Dane wyjściowe 2 26 6 2" xfId="16163"/>
    <cellStyle name="Dane wyjściowe 2 26 6 3" xfId="16164"/>
    <cellStyle name="Dane wyjściowe 2 26 6 4" xfId="16165"/>
    <cellStyle name="Dane wyjściowe 2 26 7" xfId="16166"/>
    <cellStyle name="Dane wyjściowe 2 26 7 2" xfId="16167"/>
    <cellStyle name="Dane wyjściowe 2 26 7 3" xfId="16168"/>
    <cellStyle name="Dane wyjściowe 2 26 7 4" xfId="16169"/>
    <cellStyle name="Dane wyjściowe 2 26 8" xfId="16170"/>
    <cellStyle name="Dane wyjściowe 2 26 8 2" xfId="16171"/>
    <cellStyle name="Dane wyjściowe 2 26 8 3" xfId="16172"/>
    <cellStyle name="Dane wyjściowe 2 26 8 4" xfId="16173"/>
    <cellStyle name="Dane wyjściowe 2 26 9" xfId="16174"/>
    <cellStyle name="Dane wyjściowe 2 26 9 2" xfId="16175"/>
    <cellStyle name="Dane wyjściowe 2 26 9 3" xfId="16176"/>
    <cellStyle name="Dane wyjściowe 2 26 9 4" xfId="16177"/>
    <cellStyle name="Dane wyjściowe 2 27" xfId="16178"/>
    <cellStyle name="Dane wyjściowe 2 27 10" xfId="16179"/>
    <cellStyle name="Dane wyjściowe 2 27 10 2" xfId="16180"/>
    <cellStyle name="Dane wyjściowe 2 27 10 3" xfId="16181"/>
    <cellStyle name="Dane wyjściowe 2 27 10 4" xfId="16182"/>
    <cellStyle name="Dane wyjściowe 2 27 11" xfId="16183"/>
    <cellStyle name="Dane wyjściowe 2 27 11 2" xfId="16184"/>
    <cellStyle name="Dane wyjściowe 2 27 11 3" xfId="16185"/>
    <cellStyle name="Dane wyjściowe 2 27 11 4" xfId="16186"/>
    <cellStyle name="Dane wyjściowe 2 27 12" xfId="16187"/>
    <cellStyle name="Dane wyjściowe 2 27 12 2" xfId="16188"/>
    <cellStyle name="Dane wyjściowe 2 27 12 3" xfId="16189"/>
    <cellStyle name="Dane wyjściowe 2 27 12 4" xfId="16190"/>
    <cellStyle name="Dane wyjściowe 2 27 13" xfId="16191"/>
    <cellStyle name="Dane wyjściowe 2 27 13 2" xfId="16192"/>
    <cellStyle name="Dane wyjściowe 2 27 13 3" xfId="16193"/>
    <cellStyle name="Dane wyjściowe 2 27 13 4" xfId="16194"/>
    <cellStyle name="Dane wyjściowe 2 27 14" xfId="16195"/>
    <cellStyle name="Dane wyjściowe 2 27 14 2" xfId="16196"/>
    <cellStyle name="Dane wyjściowe 2 27 14 3" xfId="16197"/>
    <cellStyle name="Dane wyjściowe 2 27 14 4" xfId="16198"/>
    <cellStyle name="Dane wyjściowe 2 27 15" xfId="16199"/>
    <cellStyle name="Dane wyjściowe 2 27 15 2" xfId="16200"/>
    <cellStyle name="Dane wyjściowe 2 27 15 3" xfId="16201"/>
    <cellStyle name="Dane wyjściowe 2 27 15 4" xfId="16202"/>
    <cellStyle name="Dane wyjściowe 2 27 16" xfId="16203"/>
    <cellStyle name="Dane wyjściowe 2 27 16 2" xfId="16204"/>
    <cellStyle name="Dane wyjściowe 2 27 16 3" xfId="16205"/>
    <cellStyle name="Dane wyjściowe 2 27 16 4" xfId="16206"/>
    <cellStyle name="Dane wyjściowe 2 27 17" xfId="16207"/>
    <cellStyle name="Dane wyjściowe 2 27 17 2" xfId="16208"/>
    <cellStyle name="Dane wyjściowe 2 27 17 3" xfId="16209"/>
    <cellStyle name="Dane wyjściowe 2 27 17 4" xfId="16210"/>
    <cellStyle name="Dane wyjściowe 2 27 18" xfId="16211"/>
    <cellStyle name="Dane wyjściowe 2 27 18 2" xfId="16212"/>
    <cellStyle name="Dane wyjściowe 2 27 18 3" xfId="16213"/>
    <cellStyle name="Dane wyjściowe 2 27 18 4" xfId="16214"/>
    <cellStyle name="Dane wyjściowe 2 27 19" xfId="16215"/>
    <cellStyle name="Dane wyjściowe 2 27 19 2" xfId="16216"/>
    <cellStyle name="Dane wyjściowe 2 27 19 3" xfId="16217"/>
    <cellStyle name="Dane wyjściowe 2 27 19 4" xfId="16218"/>
    <cellStyle name="Dane wyjściowe 2 27 2" xfId="16219"/>
    <cellStyle name="Dane wyjściowe 2 27 2 2" xfId="16220"/>
    <cellStyle name="Dane wyjściowe 2 27 2 3" xfId="16221"/>
    <cellStyle name="Dane wyjściowe 2 27 2 4" xfId="16222"/>
    <cellStyle name="Dane wyjściowe 2 27 20" xfId="16223"/>
    <cellStyle name="Dane wyjściowe 2 27 20 2" xfId="16224"/>
    <cellStyle name="Dane wyjściowe 2 27 20 3" xfId="16225"/>
    <cellStyle name="Dane wyjściowe 2 27 20 4" xfId="16226"/>
    <cellStyle name="Dane wyjściowe 2 27 21" xfId="16227"/>
    <cellStyle name="Dane wyjściowe 2 27 21 2" xfId="16228"/>
    <cellStyle name="Dane wyjściowe 2 27 21 3" xfId="16229"/>
    <cellStyle name="Dane wyjściowe 2 27 22" xfId="16230"/>
    <cellStyle name="Dane wyjściowe 2 27 22 2" xfId="16231"/>
    <cellStyle name="Dane wyjściowe 2 27 22 3" xfId="16232"/>
    <cellStyle name="Dane wyjściowe 2 27 23" xfId="16233"/>
    <cellStyle name="Dane wyjściowe 2 27 23 2" xfId="16234"/>
    <cellStyle name="Dane wyjściowe 2 27 23 3" xfId="16235"/>
    <cellStyle name="Dane wyjściowe 2 27 24" xfId="16236"/>
    <cellStyle name="Dane wyjściowe 2 27 24 2" xfId="16237"/>
    <cellStyle name="Dane wyjściowe 2 27 24 3" xfId="16238"/>
    <cellStyle name="Dane wyjściowe 2 27 25" xfId="16239"/>
    <cellStyle name="Dane wyjściowe 2 27 25 2" xfId="16240"/>
    <cellStyle name="Dane wyjściowe 2 27 25 3" xfId="16241"/>
    <cellStyle name="Dane wyjściowe 2 27 26" xfId="16242"/>
    <cellStyle name="Dane wyjściowe 2 27 26 2" xfId="16243"/>
    <cellStyle name="Dane wyjściowe 2 27 26 3" xfId="16244"/>
    <cellStyle name="Dane wyjściowe 2 27 27" xfId="16245"/>
    <cellStyle name="Dane wyjściowe 2 27 27 2" xfId="16246"/>
    <cellStyle name="Dane wyjściowe 2 27 27 3" xfId="16247"/>
    <cellStyle name="Dane wyjściowe 2 27 28" xfId="16248"/>
    <cellStyle name="Dane wyjściowe 2 27 28 2" xfId="16249"/>
    <cellStyle name="Dane wyjściowe 2 27 28 3" xfId="16250"/>
    <cellStyle name="Dane wyjściowe 2 27 29" xfId="16251"/>
    <cellStyle name="Dane wyjściowe 2 27 29 2" xfId="16252"/>
    <cellStyle name="Dane wyjściowe 2 27 29 3" xfId="16253"/>
    <cellStyle name="Dane wyjściowe 2 27 3" xfId="16254"/>
    <cellStyle name="Dane wyjściowe 2 27 3 2" xfId="16255"/>
    <cellStyle name="Dane wyjściowe 2 27 3 3" xfId="16256"/>
    <cellStyle name="Dane wyjściowe 2 27 3 4" xfId="16257"/>
    <cellStyle name="Dane wyjściowe 2 27 30" xfId="16258"/>
    <cellStyle name="Dane wyjściowe 2 27 30 2" xfId="16259"/>
    <cellStyle name="Dane wyjściowe 2 27 30 3" xfId="16260"/>
    <cellStyle name="Dane wyjściowe 2 27 31" xfId="16261"/>
    <cellStyle name="Dane wyjściowe 2 27 31 2" xfId="16262"/>
    <cellStyle name="Dane wyjściowe 2 27 31 3" xfId="16263"/>
    <cellStyle name="Dane wyjściowe 2 27 32" xfId="16264"/>
    <cellStyle name="Dane wyjściowe 2 27 32 2" xfId="16265"/>
    <cellStyle name="Dane wyjściowe 2 27 32 3" xfId="16266"/>
    <cellStyle name="Dane wyjściowe 2 27 33" xfId="16267"/>
    <cellStyle name="Dane wyjściowe 2 27 33 2" xfId="16268"/>
    <cellStyle name="Dane wyjściowe 2 27 33 3" xfId="16269"/>
    <cellStyle name="Dane wyjściowe 2 27 34" xfId="16270"/>
    <cellStyle name="Dane wyjściowe 2 27 34 2" xfId="16271"/>
    <cellStyle name="Dane wyjściowe 2 27 34 3" xfId="16272"/>
    <cellStyle name="Dane wyjściowe 2 27 35" xfId="16273"/>
    <cellStyle name="Dane wyjściowe 2 27 35 2" xfId="16274"/>
    <cellStyle name="Dane wyjściowe 2 27 35 3" xfId="16275"/>
    <cellStyle name="Dane wyjściowe 2 27 36" xfId="16276"/>
    <cellStyle name="Dane wyjściowe 2 27 36 2" xfId="16277"/>
    <cellStyle name="Dane wyjściowe 2 27 36 3" xfId="16278"/>
    <cellStyle name="Dane wyjściowe 2 27 37" xfId="16279"/>
    <cellStyle name="Dane wyjściowe 2 27 37 2" xfId="16280"/>
    <cellStyle name="Dane wyjściowe 2 27 37 3" xfId="16281"/>
    <cellStyle name="Dane wyjściowe 2 27 38" xfId="16282"/>
    <cellStyle name="Dane wyjściowe 2 27 38 2" xfId="16283"/>
    <cellStyle name="Dane wyjściowe 2 27 38 3" xfId="16284"/>
    <cellStyle name="Dane wyjściowe 2 27 39" xfId="16285"/>
    <cellStyle name="Dane wyjściowe 2 27 39 2" xfId="16286"/>
    <cellStyle name="Dane wyjściowe 2 27 39 3" xfId="16287"/>
    <cellStyle name="Dane wyjściowe 2 27 4" xfId="16288"/>
    <cellStyle name="Dane wyjściowe 2 27 4 2" xfId="16289"/>
    <cellStyle name="Dane wyjściowe 2 27 4 3" xfId="16290"/>
    <cellStyle name="Dane wyjściowe 2 27 4 4" xfId="16291"/>
    <cellStyle name="Dane wyjściowe 2 27 40" xfId="16292"/>
    <cellStyle name="Dane wyjściowe 2 27 40 2" xfId="16293"/>
    <cellStyle name="Dane wyjściowe 2 27 40 3" xfId="16294"/>
    <cellStyle name="Dane wyjściowe 2 27 41" xfId="16295"/>
    <cellStyle name="Dane wyjściowe 2 27 41 2" xfId="16296"/>
    <cellStyle name="Dane wyjściowe 2 27 41 3" xfId="16297"/>
    <cellStyle name="Dane wyjściowe 2 27 42" xfId="16298"/>
    <cellStyle name="Dane wyjściowe 2 27 42 2" xfId="16299"/>
    <cellStyle name="Dane wyjściowe 2 27 42 3" xfId="16300"/>
    <cellStyle name="Dane wyjściowe 2 27 43" xfId="16301"/>
    <cellStyle name="Dane wyjściowe 2 27 43 2" xfId="16302"/>
    <cellStyle name="Dane wyjściowe 2 27 43 3" xfId="16303"/>
    <cellStyle name="Dane wyjściowe 2 27 44" xfId="16304"/>
    <cellStyle name="Dane wyjściowe 2 27 44 2" xfId="16305"/>
    <cellStyle name="Dane wyjściowe 2 27 44 3" xfId="16306"/>
    <cellStyle name="Dane wyjściowe 2 27 45" xfId="16307"/>
    <cellStyle name="Dane wyjściowe 2 27 45 2" xfId="16308"/>
    <cellStyle name="Dane wyjściowe 2 27 45 3" xfId="16309"/>
    <cellStyle name="Dane wyjściowe 2 27 46" xfId="16310"/>
    <cellStyle name="Dane wyjściowe 2 27 46 2" xfId="16311"/>
    <cellStyle name="Dane wyjściowe 2 27 46 3" xfId="16312"/>
    <cellStyle name="Dane wyjściowe 2 27 47" xfId="16313"/>
    <cellStyle name="Dane wyjściowe 2 27 47 2" xfId="16314"/>
    <cellStyle name="Dane wyjściowe 2 27 47 3" xfId="16315"/>
    <cellStyle name="Dane wyjściowe 2 27 48" xfId="16316"/>
    <cellStyle name="Dane wyjściowe 2 27 48 2" xfId="16317"/>
    <cellStyle name="Dane wyjściowe 2 27 48 3" xfId="16318"/>
    <cellStyle name="Dane wyjściowe 2 27 49" xfId="16319"/>
    <cellStyle name="Dane wyjściowe 2 27 49 2" xfId="16320"/>
    <cellStyle name="Dane wyjściowe 2 27 49 3" xfId="16321"/>
    <cellStyle name="Dane wyjściowe 2 27 5" xfId="16322"/>
    <cellStyle name="Dane wyjściowe 2 27 5 2" xfId="16323"/>
    <cellStyle name="Dane wyjściowe 2 27 5 3" xfId="16324"/>
    <cellStyle name="Dane wyjściowe 2 27 5 4" xfId="16325"/>
    <cellStyle name="Dane wyjściowe 2 27 50" xfId="16326"/>
    <cellStyle name="Dane wyjściowe 2 27 50 2" xfId="16327"/>
    <cellStyle name="Dane wyjściowe 2 27 50 3" xfId="16328"/>
    <cellStyle name="Dane wyjściowe 2 27 51" xfId="16329"/>
    <cellStyle name="Dane wyjściowe 2 27 51 2" xfId="16330"/>
    <cellStyle name="Dane wyjściowe 2 27 51 3" xfId="16331"/>
    <cellStyle name="Dane wyjściowe 2 27 52" xfId="16332"/>
    <cellStyle name="Dane wyjściowe 2 27 52 2" xfId="16333"/>
    <cellStyle name="Dane wyjściowe 2 27 52 3" xfId="16334"/>
    <cellStyle name="Dane wyjściowe 2 27 53" xfId="16335"/>
    <cellStyle name="Dane wyjściowe 2 27 53 2" xfId="16336"/>
    <cellStyle name="Dane wyjściowe 2 27 53 3" xfId="16337"/>
    <cellStyle name="Dane wyjściowe 2 27 54" xfId="16338"/>
    <cellStyle name="Dane wyjściowe 2 27 54 2" xfId="16339"/>
    <cellStyle name="Dane wyjściowe 2 27 54 3" xfId="16340"/>
    <cellStyle name="Dane wyjściowe 2 27 55" xfId="16341"/>
    <cellStyle name="Dane wyjściowe 2 27 55 2" xfId="16342"/>
    <cellStyle name="Dane wyjściowe 2 27 55 3" xfId="16343"/>
    <cellStyle name="Dane wyjściowe 2 27 56" xfId="16344"/>
    <cellStyle name="Dane wyjściowe 2 27 56 2" xfId="16345"/>
    <cellStyle name="Dane wyjściowe 2 27 56 3" xfId="16346"/>
    <cellStyle name="Dane wyjściowe 2 27 57" xfId="16347"/>
    <cellStyle name="Dane wyjściowe 2 27 58" xfId="16348"/>
    <cellStyle name="Dane wyjściowe 2 27 6" xfId="16349"/>
    <cellStyle name="Dane wyjściowe 2 27 6 2" xfId="16350"/>
    <cellStyle name="Dane wyjściowe 2 27 6 3" xfId="16351"/>
    <cellStyle name="Dane wyjściowe 2 27 6 4" xfId="16352"/>
    <cellStyle name="Dane wyjściowe 2 27 7" xfId="16353"/>
    <cellStyle name="Dane wyjściowe 2 27 7 2" xfId="16354"/>
    <cellStyle name="Dane wyjściowe 2 27 7 3" xfId="16355"/>
    <cellStyle name="Dane wyjściowe 2 27 7 4" xfId="16356"/>
    <cellStyle name="Dane wyjściowe 2 27 8" xfId="16357"/>
    <cellStyle name="Dane wyjściowe 2 27 8 2" xfId="16358"/>
    <cellStyle name="Dane wyjściowe 2 27 8 3" xfId="16359"/>
    <cellStyle name="Dane wyjściowe 2 27 8 4" xfId="16360"/>
    <cellStyle name="Dane wyjściowe 2 27 9" xfId="16361"/>
    <cellStyle name="Dane wyjściowe 2 27 9 2" xfId="16362"/>
    <cellStyle name="Dane wyjściowe 2 27 9 3" xfId="16363"/>
    <cellStyle name="Dane wyjściowe 2 27 9 4" xfId="16364"/>
    <cellStyle name="Dane wyjściowe 2 28" xfId="16365"/>
    <cellStyle name="Dane wyjściowe 2 28 10" xfId="16366"/>
    <cellStyle name="Dane wyjściowe 2 28 10 2" xfId="16367"/>
    <cellStyle name="Dane wyjściowe 2 28 10 3" xfId="16368"/>
    <cellStyle name="Dane wyjściowe 2 28 10 4" xfId="16369"/>
    <cellStyle name="Dane wyjściowe 2 28 11" xfId="16370"/>
    <cellStyle name="Dane wyjściowe 2 28 11 2" xfId="16371"/>
    <cellStyle name="Dane wyjściowe 2 28 11 3" xfId="16372"/>
    <cellStyle name="Dane wyjściowe 2 28 11 4" xfId="16373"/>
    <cellStyle name="Dane wyjściowe 2 28 12" xfId="16374"/>
    <cellStyle name="Dane wyjściowe 2 28 12 2" xfId="16375"/>
    <cellStyle name="Dane wyjściowe 2 28 12 3" xfId="16376"/>
    <cellStyle name="Dane wyjściowe 2 28 12 4" xfId="16377"/>
    <cellStyle name="Dane wyjściowe 2 28 13" xfId="16378"/>
    <cellStyle name="Dane wyjściowe 2 28 13 2" xfId="16379"/>
    <cellStyle name="Dane wyjściowe 2 28 13 3" xfId="16380"/>
    <cellStyle name="Dane wyjściowe 2 28 13 4" xfId="16381"/>
    <cellStyle name="Dane wyjściowe 2 28 14" xfId="16382"/>
    <cellStyle name="Dane wyjściowe 2 28 14 2" xfId="16383"/>
    <cellStyle name="Dane wyjściowe 2 28 14 3" xfId="16384"/>
    <cellStyle name="Dane wyjściowe 2 28 14 4" xfId="16385"/>
    <cellStyle name="Dane wyjściowe 2 28 15" xfId="16386"/>
    <cellStyle name="Dane wyjściowe 2 28 15 2" xfId="16387"/>
    <cellStyle name="Dane wyjściowe 2 28 15 3" xfId="16388"/>
    <cellStyle name="Dane wyjściowe 2 28 15 4" xfId="16389"/>
    <cellStyle name="Dane wyjściowe 2 28 16" xfId="16390"/>
    <cellStyle name="Dane wyjściowe 2 28 16 2" xfId="16391"/>
    <cellStyle name="Dane wyjściowe 2 28 16 3" xfId="16392"/>
    <cellStyle name="Dane wyjściowe 2 28 16 4" xfId="16393"/>
    <cellStyle name="Dane wyjściowe 2 28 17" xfId="16394"/>
    <cellStyle name="Dane wyjściowe 2 28 17 2" xfId="16395"/>
    <cellStyle name="Dane wyjściowe 2 28 17 3" xfId="16396"/>
    <cellStyle name="Dane wyjściowe 2 28 17 4" xfId="16397"/>
    <cellStyle name="Dane wyjściowe 2 28 18" xfId="16398"/>
    <cellStyle name="Dane wyjściowe 2 28 18 2" xfId="16399"/>
    <cellStyle name="Dane wyjściowe 2 28 18 3" xfId="16400"/>
    <cellStyle name="Dane wyjściowe 2 28 18 4" xfId="16401"/>
    <cellStyle name="Dane wyjściowe 2 28 19" xfId="16402"/>
    <cellStyle name="Dane wyjściowe 2 28 19 2" xfId="16403"/>
    <cellStyle name="Dane wyjściowe 2 28 19 3" xfId="16404"/>
    <cellStyle name="Dane wyjściowe 2 28 19 4" xfId="16405"/>
    <cellStyle name="Dane wyjściowe 2 28 2" xfId="16406"/>
    <cellStyle name="Dane wyjściowe 2 28 2 2" xfId="16407"/>
    <cellStyle name="Dane wyjściowe 2 28 2 3" xfId="16408"/>
    <cellStyle name="Dane wyjściowe 2 28 2 4" xfId="16409"/>
    <cellStyle name="Dane wyjściowe 2 28 20" xfId="16410"/>
    <cellStyle name="Dane wyjściowe 2 28 20 2" xfId="16411"/>
    <cellStyle name="Dane wyjściowe 2 28 20 3" xfId="16412"/>
    <cellStyle name="Dane wyjściowe 2 28 20 4" xfId="16413"/>
    <cellStyle name="Dane wyjściowe 2 28 21" xfId="16414"/>
    <cellStyle name="Dane wyjściowe 2 28 21 2" xfId="16415"/>
    <cellStyle name="Dane wyjściowe 2 28 21 3" xfId="16416"/>
    <cellStyle name="Dane wyjściowe 2 28 22" xfId="16417"/>
    <cellStyle name="Dane wyjściowe 2 28 22 2" xfId="16418"/>
    <cellStyle name="Dane wyjściowe 2 28 22 3" xfId="16419"/>
    <cellStyle name="Dane wyjściowe 2 28 23" xfId="16420"/>
    <cellStyle name="Dane wyjściowe 2 28 23 2" xfId="16421"/>
    <cellStyle name="Dane wyjściowe 2 28 23 3" xfId="16422"/>
    <cellStyle name="Dane wyjściowe 2 28 24" xfId="16423"/>
    <cellStyle name="Dane wyjściowe 2 28 24 2" xfId="16424"/>
    <cellStyle name="Dane wyjściowe 2 28 24 3" xfId="16425"/>
    <cellStyle name="Dane wyjściowe 2 28 25" xfId="16426"/>
    <cellStyle name="Dane wyjściowe 2 28 25 2" xfId="16427"/>
    <cellStyle name="Dane wyjściowe 2 28 25 3" xfId="16428"/>
    <cellStyle name="Dane wyjściowe 2 28 26" xfId="16429"/>
    <cellStyle name="Dane wyjściowe 2 28 26 2" xfId="16430"/>
    <cellStyle name="Dane wyjściowe 2 28 26 3" xfId="16431"/>
    <cellStyle name="Dane wyjściowe 2 28 27" xfId="16432"/>
    <cellStyle name="Dane wyjściowe 2 28 27 2" xfId="16433"/>
    <cellStyle name="Dane wyjściowe 2 28 27 3" xfId="16434"/>
    <cellStyle name="Dane wyjściowe 2 28 28" xfId="16435"/>
    <cellStyle name="Dane wyjściowe 2 28 28 2" xfId="16436"/>
    <cellStyle name="Dane wyjściowe 2 28 28 3" xfId="16437"/>
    <cellStyle name="Dane wyjściowe 2 28 29" xfId="16438"/>
    <cellStyle name="Dane wyjściowe 2 28 29 2" xfId="16439"/>
    <cellStyle name="Dane wyjściowe 2 28 29 3" xfId="16440"/>
    <cellStyle name="Dane wyjściowe 2 28 3" xfId="16441"/>
    <cellStyle name="Dane wyjściowe 2 28 3 2" xfId="16442"/>
    <cellStyle name="Dane wyjściowe 2 28 3 3" xfId="16443"/>
    <cellStyle name="Dane wyjściowe 2 28 3 4" xfId="16444"/>
    <cellStyle name="Dane wyjściowe 2 28 30" xfId="16445"/>
    <cellStyle name="Dane wyjściowe 2 28 30 2" xfId="16446"/>
    <cellStyle name="Dane wyjściowe 2 28 30 3" xfId="16447"/>
    <cellStyle name="Dane wyjściowe 2 28 31" xfId="16448"/>
    <cellStyle name="Dane wyjściowe 2 28 31 2" xfId="16449"/>
    <cellStyle name="Dane wyjściowe 2 28 31 3" xfId="16450"/>
    <cellStyle name="Dane wyjściowe 2 28 32" xfId="16451"/>
    <cellStyle name="Dane wyjściowe 2 28 32 2" xfId="16452"/>
    <cellStyle name="Dane wyjściowe 2 28 32 3" xfId="16453"/>
    <cellStyle name="Dane wyjściowe 2 28 33" xfId="16454"/>
    <cellStyle name="Dane wyjściowe 2 28 33 2" xfId="16455"/>
    <cellStyle name="Dane wyjściowe 2 28 33 3" xfId="16456"/>
    <cellStyle name="Dane wyjściowe 2 28 34" xfId="16457"/>
    <cellStyle name="Dane wyjściowe 2 28 34 2" xfId="16458"/>
    <cellStyle name="Dane wyjściowe 2 28 34 3" xfId="16459"/>
    <cellStyle name="Dane wyjściowe 2 28 35" xfId="16460"/>
    <cellStyle name="Dane wyjściowe 2 28 35 2" xfId="16461"/>
    <cellStyle name="Dane wyjściowe 2 28 35 3" xfId="16462"/>
    <cellStyle name="Dane wyjściowe 2 28 36" xfId="16463"/>
    <cellStyle name="Dane wyjściowe 2 28 36 2" xfId="16464"/>
    <cellStyle name="Dane wyjściowe 2 28 36 3" xfId="16465"/>
    <cellStyle name="Dane wyjściowe 2 28 37" xfId="16466"/>
    <cellStyle name="Dane wyjściowe 2 28 37 2" xfId="16467"/>
    <cellStyle name="Dane wyjściowe 2 28 37 3" xfId="16468"/>
    <cellStyle name="Dane wyjściowe 2 28 38" xfId="16469"/>
    <cellStyle name="Dane wyjściowe 2 28 38 2" xfId="16470"/>
    <cellStyle name="Dane wyjściowe 2 28 38 3" xfId="16471"/>
    <cellStyle name="Dane wyjściowe 2 28 39" xfId="16472"/>
    <cellStyle name="Dane wyjściowe 2 28 39 2" xfId="16473"/>
    <cellStyle name="Dane wyjściowe 2 28 39 3" xfId="16474"/>
    <cellStyle name="Dane wyjściowe 2 28 4" xfId="16475"/>
    <cellStyle name="Dane wyjściowe 2 28 4 2" xfId="16476"/>
    <cellStyle name="Dane wyjściowe 2 28 4 3" xfId="16477"/>
    <cellStyle name="Dane wyjściowe 2 28 4 4" xfId="16478"/>
    <cellStyle name="Dane wyjściowe 2 28 40" xfId="16479"/>
    <cellStyle name="Dane wyjściowe 2 28 40 2" xfId="16480"/>
    <cellStyle name="Dane wyjściowe 2 28 40 3" xfId="16481"/>
    <cellStyle name="Dane wyjściowe 2 28 41" xfId="16482"/>
    <cellStyle name="Dane wyjściowe 2 28 41 2" xfId="16483"/>
    <cellStyle name="Dane wyjściowe 2 28 41 3" xfId="16484"/>
    <cellStyle name="Dane wyjściowe 2 28 42" xfId="16485"/>
    <cellStyle name="Dane wyjściowe 2 28 42 2" xfId="16486"/>
    <cellStyle name="Dane wyjściowe 2 28 42 3" xfId="16487"/>
    <cellStyle name="Dane wyjściowe 2 28 43" xfId="16488"/>
    <cellStyle name="Dane wyjściowe 2 28 43 2" xfId="16489"/>
    <cellStyle name="Dane wyjściowe 2 28 43 3" xfId="16490"/>
    <cellStyle name="Dane wyjściowe 2 28 44" xfId="16491"/>
    <cellStyle name="Dane wyjściowe 2 28 44 2" xfId="16492"/>
    <cellStyle name="Dane wyjściowe 2 28 44 3" xfId="16493"/>
    <cellStyle name="Dane wyjściowe 2 28 45" xfId="16494"/>
    <cellStyle name="Dane wyjściowe 2 28 45 2" xfId="16495"/>
    <cellStyle name="Dane wyjściowe 2 28 45 3" xfId="16496"/>
    <cellStyle name="Dane wyjściowe 2 28 46" xfId="16497"/>
    <cellStyle name="Dane wyjściowe 2 28 46 2" xfId="16498"/>
    <cellStyle name="Dane wyjściowe 2 28 46 3" xfId="16499"/>
    <cellStyle name="Dane wyjściowe 2 28 47" xfId="16500"/>
    <cellStyle name="Dane wyjściowe 2 28 47 2" xfId="16501"/>
    <cellStyle name="Dane wyjściowe 2 28 47 3" xfId="16502"/>
    <cellStyle name="Dane wyjściowe 2 28 48" xfId="16503"/>
    <cellStyle name="Dane wyjściowe 2 28 48 2" xfId="16504"/>
    <cellStyle name="Dane wyjściowe 2 28 48 3" xfId="16505"/>
    <cellStyle name="Dane wyjściowe 2 28 49" xfId="16506"/>
    <cellStyle name="Dane wyjściowe 2 28 49 2" xfId="16507"/>
    <cellStyle name="Dane wyjściowe 2 28 49 3" xfId="16508"/>
    <cellStyle name="Dane wyjściowe 2 28 5" xfId="16509"/>
    <cellStyle name="Dane wyjściowe 2 28 5 2" xfId="16510"/>
    <cellStyle name="Dane wyjściowe 2 28 5 3" xfId="16511"/>
    <cellStyle name="Dane wyjściowe 2 28 5 4" xfId="16512"/>
    <cellStyle name="Dane wyjściowe 2 28 50" xfId="16513"/>
    <cellStyle name="Dane wyjściowe 2 28 50 2" xfId="16514"/>
    <cellStyle name="Dane wyjściowe 2 28 50 3" xfId="16515"/>
    <cellStyle name="Dane wyjściowe 2 28 51" xfId="16516"/>
    <cellStyle name="Dane wyjściowe 2 28 51 2" xfId="16517"/>
    <cellStyle name="Dane wyjściowe 2 28 51 3" xfId="16518"/>
    <cellStyle name="Dane wyjściowe 2 28 52" xfId="16519"/>
    <cellStyle name="Dane wyjściowe 2 28 52 2" xfId="16520"/>
    <cellStyle name="Dane wyjściowe 2 28 52 3" xfId="16521"/>
    <cellStyle name="Dane wyjściowe 2 28 53" xfId="16522"/>
    <cellStyle name="Dane wyjściowe 2 28 53 2" xfId="16523"/>
    <cellStyle name="Dane wyjściowe 2 28 53 3" xfId="16524"/>
    <cellStyle name="Dane wyjściowe 2 28 54" xfId="16525"/>
    <cellStyle name="Dane wyjściowe 2 28 54 2" xfId="16526"/>
    <cellStyle name="Dane wyjściowe 2 28 54 3" xfId="16527"/>
    <cellStyle name="Dane wyjściowe 2 28 55" xfId="16528"/>
    <cellStyle name="Dane wyjściowe 2 28 55 2" xfId="16529"/>
    <cellStyle name="Dane wyjściowe 2 28 55 3" xfId="16530"/>
    <cellStyle name="Dane wyjściowe 2 28 56" xfId="16531"/>
    <cellStyle name="Dane wyjściowe 2 28 56 2" xfId="16532"/>
    <cellStyle name="Dane wyjściowe 2 28 56 3" xfId="16533"/>
    <cellStyle name="Dane wyjściowe 2 28 57" xfId="16534"/>
    <cellStyle name="Dane wyjściowe 2 28 58" xfId="16535"/>
    <cellStyle name="Dane wyjściowe 2 28 6" xfId="16536"/>
    <cellStyle name="Dane wyjściowe 2 28 6 2" xfId="16537"/>
    <cellStyle name="Dane wyjściowe 2 28 6 3" xfId="16538"/>
    <cellStyle name="Dane wyjściowe 2 28 6 4" xfId="16539"/>
    <cellStyle name="Dane wyjściowe 2 28 7" xfId="16540"/>
    <cellStyle name="Dane wyjściowe 2 28 7 2" xfId="16541"/>
    <cellStyle name="Dane wyjściowe 2 28 7 3" xfId="16542"/>
    <cellStyle name="Dane wyjściowe 2 28 7 4" xfId="16543"/>
    <cellStyle name="Dane wyjściowe 2 28 8" xfId="16544"/>
    <cellStyle name="Dane wyjściowe 2 28 8 2" xfId="16545"/>
    <cellStyle name="Dane wyjściowe 2 28 8 3" xfId="16546"/>
    <cellStyle name="Dane wyjściowe 2 28 8 4" xfId="16547"/>
    <cellStyle name="Dane wyjściowe 2 28 9" xfId="16548"/>
    <cellStyle name="Dane wyjściowe 2 28 9 2" xfId="16549"/>
    <cellStyle name="Dane wyjściowe 2 28 9 3" xfId="16550"/>
    <cellStyle name="Dane wyjściowe 2 28 9 4" xfId="16551"/>
    <cellStyle name="Dane wyjściowe 2 29" xfId="16552"/>
    <cellStyle name="Dane wyjściowe 2 29 2" xfId="16553"/>
    <cellStyle name="Dane wyjściowe 2 29 3" xfId="16554"/>
    <cellStyle name="Dane wyjściowe 2 29 4" xfId="16555"/>
    <cellStyle name="Dane wyjściowe 2 3" xfId="16556"/>
    <cellStyle name="Dane wyjściowe 2 3 10" xfId="16557"/>
    <cellStyle name="Dane wyjściowe 2 3 10 2" xfId="16558"/>
    <cellStyle name="Dane wyjściowe 2 3 10 3" xfId="16559"/>
    <cellStyle name="Dane wyjściowe 2 3 10 4" xfId="16560"/>
    <cellStyle name="Dane wyjściowe 2 3 11" xfId="16561"/>
    <cellStyle name="Dane wyjściowe 2 3 11 2" xfId="16562"/>
    <cellStyle name="Dane wyjściowe 2 3 11 3" xfId="16563"/>
    <cellStyle name="Dane wyjściowe 2 3 11 4" xfId="16564"/>
    <cellStyle name="Dane wyjściowe 2 3 12" xfId="16565"/>
    <cellStyle name="Dane wyjściowe 2 3 12 2" xfId="16566"/>
    <cellStyle name="Dane wyjściowe 2 3 12 3" xfId="16567"/>
    <cellStyle name="Dane wyjściowe 2 3 12 4" xfId="16568"/>
    <cellStyle name="Dane wyjściowe 2 3 13" xfId="16569"/>
    <cellStyle name="Dane wyjściowe 2 3 13 2" xfId="16570"/>
    <cellStyle name="Dane wyjściowe 2 3 13 3" xfId="16571"/>
    <cellStyle name="Dane wyjściowe 2 3 13 4" xfId="16572"/>
    <cellStyle name="Dane wyjściowe 2 3 14" xfId="16573"/>
    <cellStyle name="Dane wyjściowe 2 3 14 2" xfId="16574"/>
    <cellStyle name="Dane wyjściowe 2 3 14 3" xfId="16575"/>
    <cellStyle name="Dane wyjściowe 2 3 14 4" xfId="16576"/>
    <cellStyle name="Dane wyjściowe 2 3 15" xfId="16577"/>
    <cellStyle name="Dane wyjściowe 2 3 15 2" xfId="16578"/>
    <cellStyle name="Dane wyjściowe 2 3 15 3" xfId="16579"/>
    <cellStyle name="Dane wyjściowe 2 3 15 4" xfId="16580"/>
    <cellStyle name="Dane wyjściowe 2 3 16" xfId="16581"/>
    <cellStyle name="Dane wyjściowe 2 3 16 2" xfId="16582"/>
    <cellStyle name="Dane wyjściowe 2 3 16 3" xfId="16583"/>
    <cellStyle name="Dane wyjściowe 2 3 16 4" xfId="16584"/>
    <cellStyle name="Dane wyjściowe 2 3 17" xfId="16585"/>
    <cellStyle name="Dane wyjściowe 2 3 17 2" xfId="16586"/>
    <cellStyle name="Dane wyjściowe 2 3 17 3" xfId="16587"/>
    <cellStyle name="Dane wyjściowe 2 3 17 4" xfId="16588"/>
    <cellStyle name="Dane wyjściowe 2 3 18" xfId="16589"/>
    <cellStyle name="Dane wyjściowe 2 3 18 2" xfId="16590"/>
    <cellStyle name="Dane wyjściowe 2 3 18 3" xfId="16591"/>
    <cellStyle name="Dane wyjściowe 2 3 18 4" xfId="16592"/>
    <cellStyle name="Dane wyjściowe 2 3 19" xfId="16593"/>
    <cellStyle name="Dane wyjściowe 2 3 19 2" xfId="16594"/>
    <cellStyle name="Dane wyjściowe 2 3 19 3" xfId="16595"/>
    <cellStyle name="Dane wyjściowe 2 3 19 4" xfId="16596"/>
    <cellStyle name="Dane wyjściowe 2 3 2" xfId="16597"/>
    <cellStyle name="Dane wyjściowe 2 3 2 2" xfId="16598"/>
    <cellStyle name="Dane wyjściowe 2 3 2 3" xfId="16599"/>
    <cellStyle name="Dane wyjściowe 2 3 2 4" xfId="16600"/>
    <cellStyle name="Dane wyjściowe 2 3 20" xfId="16601"/>
    <cellStyle name="Dane wyjściowe 2 3 20 2" xfId="16602"/>
    <cellStyle name="Dane wyjściowe 2 3 20 3" xfId="16603"/>
    <cellStyle name="Dane wyjściowe 2 3 20 4" xfId="16604"/>
    <cellStyle name="Dane wyjściowe 2 3 21" xfId="16605"/>
    <cellStyle name="Dane wyjściowe 2 3 21 2" xfId="16606"/>
    <cellStyle name="Dane wyjściowe 2 3 21 3" xfId="16607"/>
    <cellStyle name="Dane wyjściowe 2 3 22" xfId="16608"/>
    <cellStyle name="Dane wyjściowe 2 3 22 2" xfId="16609"/>
    <cellStyle name="Dane wyjściowe 2 3 22 3" xfId="16610"/>
    <cellStyle name="Dane wyjściowe 2 3 23" xfId="16611"/>
    <cellStyle name="Dane wyjściowe 2 3 23 2" xfId="16612"/>
    <cellStyle name="Dane wyjściowe 2 3 23 3" xfId="16613"/>
    <cellStyle name="Dane wyjściowe 2 3 24" xfId="16614"/>
    <cellStyle name="Dane wyjściowe 2 3 24 2" xfId="16615"/>
    <cellStyle name="Dane wyjściowe 2 3 24 3" xfId="16616"/>
    <cellStyle name="Dane wyjściowe 2 3 25" xfId="16617"/>
    <cellStyle name="Dane wyjściowe 2 3 25 2" xfId="16618"/>
    <cellStyle name="Dane wyjściowe 2 3 25 3" xfId="16619"/>
    <cellStyle name="Dane wyjściowe 2 3 26" xfId="16620"/>
    <cellStyle name="Dane wyjściowe 2 3 26 2" xfId="16621"/>
    <cellStyle name="Dane wyjściowe 2 3 26 3" xfId="16622"/>
    <cellStyle name="Dane wyjściowe 2 3 27" xfId="16623"/>
    <cellStyle name="Dane wyjściowe 2 3 27 2" xfId="16624"/>
    <cellStyle name="Dane wyjściowe 2 3 27 3" xfId="16625"/>
    <cellStyle name="Dane wyjściowe 2 3 28" xfId="16626"/>
    <cellStyle name="Dane wyjściowe 2 3 28 2" xfId="16627"/>
    <cellStyle name="Dane wyjściowe 2 3 28 3" xfId="16628"/>
    <cellStyle name="Dane wyjściowe 2 3 29" xfId="16629"/>
    <cellStyle name="Dane wyjściowe 2 3 29 2" xfId="16630"/>
    <cellStyle name="Dane wyjściowe 2 3 29 3" xfId="16631"/>
    <cellStyle name="Dane wyjściowe 2 3 3" xfId="16632"/>
    <cellStyle name="Dane wyjściowe 2 3 3 2" xfId="16633"/>
    <cellStyle name="Dane wyjściowe 2 3 3 3" xfId="16634"/>
    <cellStyle name="Dane wyjściowe 2 3 3 4" xfId="16635"/>
    <cellStyle name="Dane wyjściowe 2 3 30" xfId="16636"/>
    <cellStyle name="Dane wyjściowe 2 3 30 2" xfId="16637"/>
    <cellStyle name="Dane wyjściowe 2 3 30 3" xfId="16638"/>
    <cellStyle name="Dane wyjściowe 2 3 31" xfId="16639"/>
    <cellStyle name="Dane wyjściowe 2 3 31 2" xfId="16640"/>
    <cellStyle name="Dane wyjściowe 2 3 31 3" xfId="16641"/>
    <cellStyle name="Dane wyjściowe 2 3 32" xfId="16642"/>
    <cellStyle name="Dane wyjściowe 2 3 32 2" xfId="16643"/>
    <cellStyle name="Dane wyjściowe 2 3 32 3" xfId="16644"/>
    <cellStyle name="Dane wyjściowe 2 3 33" xfId="16645"/>
    <cellStyle name="Dane wyjściowe 2 3 33 2" xfId="16646"/>
    <cellStyle name="Dane wyjściowe 2 3 33 3" xfId="16647"/>
    <cellStyle name="Dane wyjściowe 2 3 34" xfId="16648"/>
    <cellStyle name="Dane wyjściowe 2 3 34 2" xfId="16649"/>
    <cellStyle name="Dane wyjściowe 2 3 34 3" xfId="16650"/>
    <cellStyle name="Dane wyjściowe 2 3 35" xfId="16651"/>
    <cellStyle name="Dane wyjściowe 2 3 35 2" xfId="16652"/>
    <cellStyle name="Dane wyjściowe 2 3 35 3" xfId="16653"/>
    <cellStyle name="Dane wyjściowe 2 3 36" xfId="16654"/>
    <cellStyle name="Dane wyjściowe 2 3 36 2" xfId="16655"/>
    <cellStyle name="Dane wyjściowe 2 3 36 3" xfId="16656"/>
    <cellStyle name="Dane wyjściowe 2 3 37" xfId="16657"/>
    <cellStyle name="Dane wyjściowe 2 3 37 2" xfId="16658"/>
    <cellStyle name="Dane wyjściowe 2 3 37 3" xfId="16659"/>
    <cellStyle name="Dane wyjściowe 2 3 38" xfId="16660"/>
    <cellStyle name="Dane wyjściowe 2 3 38 2" xfId="16661"/>
    <cellStyle name="Dane wyjściowe 2 3 38 3" xfId="16662"/>
    <cellStyle name="Dane wyjściowe 2 3 39" xfId="16663"/>
    <cellStyle name="Dane wyjściowe 2 3 39 2" xfId="16664"/>
    <cellStyle name="Dane wyjściowe 2 3 39 3" xfId="16665"/>
    <cellStyle name="Dane wyjściowe 2 3 4" xfId="16666"/>
    <cellStyle name="Dane wyjściowe 2 3 4 2" xfId="16667"/>
    <cellStyle name="Dane wyjściowe 2 3 4 3" xfId="16668"/>
    <cellStyle name="Dane wyjściowe 2 3 4 4" xfId="16669"/>
    <cellStyle name="Dane wyjściowe 2 3 40" xfId="16670"/>
    <cellStyle name="Dane wyjściowe 2 3 40 2" xfId="16671"/>
    <cellStyle name="Dane wyjściowe 2 3 40 3" xfId="16672"/>
    <cellStyle name="Dane wyjściowe 2 3 41" xfId="16673"/>
    <cellStyle name="Dane wyjściowe 2 3 41 2" xfId="16674"/>
    <cellStyle name="Dane wyjściowe 2 3 41 3" xfId="16675"/>
    <cellStyle name="Dane wyjściowe 2 3 42" xfId="16676"/>
    <cellStyle name="Dane wyjściowe 2 3 42 2" xfId="16677"/>
    <cellStyle name="Dane wyjściowe 2 3 42 3" xfId="16678"/>
    <cellStyle name="Dane wyjściowe 2 3 43" xfId="16679"/>
    <cellStyle name="Dane wyjściowe 2 3 43 2" xfId="16680"/>
    <cellStyle name="Dane wyjściowe 2 3 43 3" xfId="16681"/>
    <cellStyle name="Dane wyjściowe 2 3 44" xfId="16682"/>
    <cellStyle name="Dane wyjściowe 2 3 44 2" xfId="16683"/>
    <cellStyle name="Dane wyjściowe 2 3 44 3" xfId="16684"/>
    <cellStyle name="Dane wyjściowe 2 3 45" xfId="16685"/>
    <cellStyle name="Dane wyjściowe 2 3 45 2" xfId="16686"/>
    <cellStyle name="Dane wyjściowe 2 3 45 3" xfId="16687"/>
    <cellStyle name="Dane wyjściowe 2 3 46" xfId="16688"/>
    <cellStyle name="Dane wyjściowe 2 3 46 2" xfId="16689"/>
    <cellStyle name="Dane wyjściowe 2 3 46 3" xfId="16690"/>
    <cellStyle name="Dane wyjściowe 2 3 47" xfId="16691"/>
    <cellStyle name="Dane wyjściowe 2 3 47 2" xfId="16692"/>
    <cellStyle name="Dane wyjściowe 2 3 47 3" xfId="16693"/>
    <cellStyle name="Dane wyjściowe 2 3 48" xfId="16694"/>
    <cellStyle name="Dane wyjściowe 2 3 48 2" xfId="16695"/>
    <cellStyle name="Dane wyjściowe 2 3 48 3" xfId="16696"/>
    <cellStyle name="Dane wyjściowe 2 3 49" xfId="16697"/>
    <cellStyle name="Dane wyjściowe 2 3 49 2" xfId="16698"/>
    <cellStyle name="Dane wyjściowe 2 3 49 3" xfId="16699"/>
    <cellStyle name="Dane wyjściowe 2 3 5" xfId="16700"/>
    <cellStyle name="Dane wyjściowe 2 3 5 2" xfId="16701"/>
    <cellStyle name="Dane wyjściowe 2 3 5 3" xfId="16702"/>
    <cellStyle name="Dane wyjściowe 2 3 5 4" xfId="16703"/>
    <cellStyle name="Dane wyjściowe 2 3 50" xfId="16704"/>
    <cellStyle name="Dane wyjściowe 2 3 50 2" xfId="16705"/>
    <cellStyle name="Dane wyjściowe 2 3 50 3" xfId="16706"/>
    <cellStyle name="Dane wyjściowe 2 3 51" xfId="16707"/>
    <cellStyle name="Dane wyjściowe 2 3 51 2" xfId="16708"/>
    <cellStyle name="Dane wyjściowe 2 3 51 3" xfId="16709"/>
    <cellStyle name="Dane wyjściowe 2 3 52" xfId="16710"/>
    <cellStyle name="Dane wyjściowe 2 3 52 2" xfId="16711"/>
    <cellStyle name="Dane wyjściowe 2 3 52 3" xfId="16712"/>
    <cellStyle name="Dane wyjściowe 2 3 53" xfId="16713"/>
    <cellStyle name="Dane wyjściowe 2 3 53 2" xfId="16714"/>
    <cellStyle name="Dane wyjściowe 2 3 53 3" xfId="16715"/>
    <cellStyle name="Dane wyjściowe 2 3 54" xfId="16716"/>
    <cellStyle name="Dane wyjściowe 2 3 54 2" xfId="16717"/>
    <cellStyle name="Dane wyjściowe 2 3 54 3" xfId="16718"/>
    <cellStyle name="Dane wyjściowe 2 3 55" xfId="16719"/>
    <cellStyle name="Dane wyjściowe 2 3 55 2" xfId="16720"/>
    <cellStyle name="Dane wyjściowe 2 3 55 3" xfId="16721"/>
    <cellStyle name="Dane wyjściowe 2 3 56" xfId="16722"/>
    <cellStyle name="Dane wyjściowe 2 3 56 2" xfId="16723"/>
    <cellStyle name="Dane wyjściowe 2 3 56 3" xfId="16724"/>
    <cellStyle name="Dane wyjściowe 2 3 57" xfId="16725"/>
    <cellStyle name="Dane wyjściowe 2 3 58" xfId="16726"/>
    <cellStyle name="Dane wyjściowe 2 3 6" xfId="16727"/>
    <cellStyle name="Dane wyjściowe 2 3 6 2" xfId="16728"/>
    <cellStyle name="Dane wyjściowe 2 3 6 3" xfId="16729"/>
    <cellStyle name="Dane wyjściowe 2 3 6 4" xfId="16730"/>
    <cellStyle name="Dane wyjściowe 2 3 7" xfId="16731"/>
    <cellStyle name="Dane wyjściowe 2 3 7 2" xfId="16732"/>
    <cellStyle name="Dane wyjściowe 2 3 7 3" xfId="16733"/>
    <cellStyle name="Dane wyjściowe 2 3 7 4" xfId="16734"/>
    <cellStyle name="Dane wyjściowe 2 3 8" xfId="16735"/>
    <cellStyle name="Dane wyjściowe 2 3 8 2" xfId="16736"/>
    <cellStyle name="Dane wyjściowe 2 3 8 3" xfId="16737"/>
    <cellStyle name="Dane wyjściowe 2 3 8 4" xfId="16738"/>
    <cellStyle name="Dane wyjściowe 2 3 9" xfId="16739"/>
    <cellStyle name="Dane wyjściowe 2 3 9 2" xfId="16740"/>
    <cellStyle name="Dane wyjściowe 2 3 9 3" xfId="16741"/>
    <cellStyle name="Dane wyjściowe 2 3 9 4" xfId="16742"/>
    <cellStyle name="Dane wyjściowe 2 30" xfId="16743"/>
    <cellStyle name="Dane wyjściowe 2 30 2" xfId="16744"/>
    <cellStyle name="Dane wyjściowe 2 30 3" xfId="16745"/>
    <cellStyle name="Dane wyjściowe 2 30 4" xfId="16746"/>
    <cellStyle name="Dane wyjściowe 2 31" xfId="16747"/>
    <cellStyle name="Dane wyjściowe 2 31 2" xfId="16748"/>
    <cellStyle name="Dane wyjściowe 2 31 3" xfId="16749"/>
    <cellStyle name="Dane wyjściowe 2 31 4" xfId="16750"/>
    <cellStyle name="Dane wyjściowe 2 32" xfId="16751"/>
    <cellStyle name="Dane wyjściowe 2 32 2" xfId="16752"/>
    <cellStyle name="Dane wyjściowe 2 32 3" xfId="16753"/>
    <cellStyle name="Dane wyjściowe 2 32 4" xfId="16754"/>
    <cellStyle name="Dane wyjściowe 2 33" xfId="16755"/>
    <cellStyle name="Dane wyjściowe 2 33 2" xfId="16756"/>
    <cellStyle name="Dane wyjściowe 2 33 3" xfId="16757"/>
    <cellStyle name="Dane wyjściowe 2 33 4" xfId="16758"/>
    <cellStyle name="Dane wyjściowe 2 34" xfId="16759"/>
    <cellStyle name="Dane wyjściowe 2 34 2" xfId="16760"/>
    <cellStyle name="Dane wyjściowe 2 34 3" xfId="16761"/>
    <cellStyle name="Dane wyjściowe 2 34 4" xfId="16762"/>
    <cellStyle name="Dane wyjściowe 2 35" xfId="16763"/>
    <cellStyle name="Dane wyjściowe 2 35 2" xfId="16764"/>
    <cellStyle name="Dane wyjściowe 2 35 3" xfId="16765"/>
    <cellStyle name="Dane wyjściowe 2 35 4" xfId="16766"/>
    <cellStyle name="Dane wyjściowe 2 36" xfId="16767"/>
    <cellStyle name="Dane wyjściowe 2 36 2" xfId="16768"/>
    <cellStyle name="Dane wyjściowe 2 36 3" xfId="16769"/>
    <cellStyle name="Dane wyjściowe 2 36 4" xfId="16770"/>
    <cellStyle name="Dane wyjściowe 2 37" xfId="16771"/>
    <cellStyle name="Dane wyjściowe 2 37 2" xfId="16772"/>
    <cellStyle name="Dane wyjściowe 2 37 3" xfId="16773"/>
    <cellStyle name="Dane wyjściowe 2 37 4" xfId="16774"/>
    <cellStyle name="Dane wyjściowe 2 38" xfId="16775"/>
    <cellStyle name="Dane wyjściowe 2 38 2" xfId="16776"/>
    <cellStyle name="Dane wyjściowe 2 38 3" xfId="16777"/>
    <cellStyle name="Dane wyjściowe 2 38 4" xfId="16778"/>
    <cellStyle name="Dane wyjściowe 2 39" xfId="16779"/>
    <cellStyle name="Dane wyjściowe 2 39 2" xfId="16780"/>
    <cellStyle name="Dane wyjściowe 2 39 3" xfId="16781"/>
    <cellStyle name="Dane wyjściowe 2 39 4" xfId="16782"/>
    <cellStyle name="Dane wyjściowe 2 4" xfId="16783"/>
    <cellStyle name="Dane wyjściowe 2 4 10" xfId="16784"/>
    <cellStyle name="Dane wyjściowe 2 4 10 2" xfId="16785"/>
    <cellStyle name="Dane wyjściowe 2 4 10 3" xfId="16786"/>
    <cellStyle name="Dane wyjściowe 2 4 10 4" xfId="16787"/>
    <cellStyle name="Dane wyjściowe 2 4 11" xfId="16788"/>
    <cellStyle name="Dane wyjściowe 2 4 11 2" xfId="16789"/>
    <cellStyle name="Dane wyjściowe 2 4 11 3" xfId="16790"/>
    <cellStyle name="Dane wyjściowe 2 4 11 4" xfId="16791"/>
    <cellStyle name="Dane wyjściowe 2 4 12" xfId="16792"/>
    <cellStyle name="Dane wyjściowe 2 4 12 2" xfId="16793"/>
    <cellStyle name="Dane wyjściowe 2 4 12 3" xfId="16794"/>
    <cellStyle name="Dane wyjściowe 2 4 12 4" xfId="16795"/>
    <cellStyle name="Dane wyjściowe 2 4 13" xfId="16796"/>
    <cellStyle name="Dane wyjściowe 2 4 13 2" xfId="16797"/>
    <cellStyle name="Dane wyjściowe 2 4 13 3" xfId="16798"/>
    <cellStyle name="Dane wyjściowe 2 4 13 4" xfId="16799"/>
    <cellStyle name="Dane wyjściowe 2 4 14" xfId="16800"/>
    <cellStyle name="Dane wyjściowe 2 4 14 2" xfId="16801"/>
    <cellStyle name="Dane wyjściowe 2 4 14 3" xfId="16802"/>
    <cellStyle name="Dane wyjściowe 2 4 14 4" xfId="16803"/>
    <cellStyle name="Dane wyjściowe 2 4 15" xfId="16804"/>
    <cellStyle name="Dane wyjściowe 2 4 15 2" xfId="16805"/>
    <cellStyle name="Dane wyjściowe 2 4 15 3" xfId="16806"/>
    <cellStyle name="Dane wyjściowe 2 4 15 4" xfId="16807"/>
    <cellStyle name="Dane wyjściowe 2 4 16" xfId="16808"/>
    <cellStyle name="Dane wyjściowe 2 4 16 2" xfId="16809"/>
    <cellStyle name="Dane wyjściowe 2 4 16 3" xfId="16810"/>
    <cellStyle name="Dane wyjściowe 2 4 16 4" xfId="16811"/>
    <cellStyle name="Dane wyjściowe 2 4 17" xfId="16812"/>
    <cellStyle name="Dane wyjściowe 2 4 17 2" xfId="16813"/>
    <cellStyle name="Dane wyjściowe 2 4 17 3" xfId="16814"/>
    <cellStyle name="Dane wyjściowe 2 4 17 4" xfId="16815"/>
    <cellStyle name="Dane wyjściowe 2 4 18" xfId="16816"/>
    <cellStyle name="Dane wyjściowe 2 4 18 2" xfId="16817"/>
    <cellStyle name="Dane wyjściowe 2 4 18 3" xfId="16818"/>
    <cellStyle name="Dane wyjściowe 2 4 18 4" xfId="16819"/>
    <cellStyle name="Dane wyjściowe 2 4 19" xfId="16820"/>
    <cellStyle name="Dane wyjściowe 2 4 19 2" xfId="16821"/>
    <cellStyle name="Dane wyjściowe 2 4 19 3" xfId="16822"/>
    <cellStyle name="Dane wyjściowe 2 4 19 4" xfId="16823"/>
    <cellStyle name="Dane wyjściowe 2 4 2" xfId="16824"/>
    <cellStyle name="Dane wyjściowe 2 4 2 2" xfId="16825"/>
    <cellStyle name="Dane wyjściowe 2 4 2 3" xfId="16826"/>
    <cellStyle name="Dane wyjściowe 2 4 2 4" xfId="16827"/>
    <cellStyle name="Dane wyjściowe 2 4 20" xfId="16828"/>
    <cellStyle name="Dane wyjściowe 2 4 20 2" xfId="16829"/>
    <cellStyle name="Dane wyjściowe 2 4 20 3" xfId="16830"/>
    <cellStyle name="Dane wyjściowe 2 4 20 4" xfId="16831"/>
    <cellStyle name="Dane wyjściowe 2 4 21" xfId="16832"/>
    <cellStyle name="Dane wyjściowe 2 4 21 2" xfId="16833"/>
    <cellStyle name="Dane wyjściowe 2 4 21 3" xfId="16834"/>
    <cellStyle name="Dane wyjściowe 2 4 22" xfId="16835"/>
    <cellStyle name="Dane wyjściowe 2 4 22 2" xfId="16836"/>
    <cellStyle name="Dane wyjściowe 2 4 22 3" xfId="16837"/>
    <cellStyle name="Dane wyjściowe 2 4 23" xfId="16838"/>
    <cellStyle name="Dane wyjściowe 2 4 23 2" xfId="16839"/>
    <cellStyle name="Dane wyjściowe 2 4 23 3" xfId="16840"/>
    <cellStyle name="Dane wyjściowe 2 4 24" xfId="16841"/>
    <cellStyle name="Dane wyjściowe 2 4 24 2" xfId="16842"/>
    <cellStyle name="Dane wyjściowe 2 4 24 3" xfId="16843"/>
    <cellStyle name="Dane wyjściowe 2 4 25" xfId="16844"/>
    <cellStyle name="Dane wyjściowe 2 4 25 2" xfId="16845"/>
    <cellStyle name="Dane wyjściowe 2 4 25 3" xfId="16846"/>
    <cellStyle name="Dane wyjściowe 2 4 26" xfId="16847"/>
    <cellStyle name="Dane wyjściowe 2 4 26 2" xfId="16848"/>
    <cellStyle name="Dane wyjściowe 2 4 26 3" xfId="16849"/>
    <cellStyle name="Dane wyjściowe 2 4 27" xfId="16850"/>
    <cellStyle name="Dane wyjściowe 2 4 27 2" xfId="16851"/>
    <cellStyle name="Dane wyjściowe 2 4 27 3" xfId="16852"/>
    <cellStyle name="Dane wyjściowe 2 4 28" xfId="16853"/>
    <cellStyle name="Dane wyjściowe 2 4 28 2" xfId="16854"/>
    <cellStyle name="Dane wyjściowe 2 4 28 3" xfId="16855"/>
    <cellStyle name="Dane wyjściowe 2 4 29" xfId="16856"/>
    <cellStyle name="Dane wyjściowe 2 4 29 2" xfId="16857"/>
    <cellStyle name="Dane wyjściowe 2 4 29 3" xfId="16858"/>
    <cellStyle name="Dane wyjściowe 2 4 3" xfId="16859"/>
    <cellStyle name="Dane wyjściowe 2 4 3 2" xfId="16860"/>
    <cellStyle name="Dane wyjściowe 2 4 3 3" xfId="16861"/>
    <cellStyle name="Dane wyjściowe 2 4 3 4" xfId="16862"/>
    <cellStyle name="Dane wyjściowe 2 4 30" xfId="16863"/>
    <cellStyle name="Dane wyjściowe 2 4 30 2" xfId="16864"/>
    <cellStyle name="Dane wyjściowe 2 4 30 3" xfId="16865"/>
    <cellStyle name="Dane wyjściowe 2 4 31" xfId="16866"/>
    <cellStyle name="Dane wyjściowe 2 4 31 2" xfId="16867"/>
    <cellStyle name="Dane wyjściowe 2 4 31 3" xfId="16868"/>
    <cellStyle name="Dane wyjściowe 2 4 32" xfId="16869"/>
    <cellStyle name="Dane wyjściowe 2 4 32 2" xfId="16870"/>
    <cellStyle name="Dane wyjściowe 2 4 32 3" xfId="16871"/>
    <cellStyle name="Dane wyjściowe 2 4 33" xfId="16872"/>
    <cellStyle name="Dane wyjściowe 2 4 33 2" xfId="16873"/>
    <cellStyle name="Dane wyjściowe 2 4 33 3" xfId="16874"/>
    <cellStyle name="Dane wyjściowe 2 4 34" xfId="16875"/>
    <cellStyle name="Dane wyjściowe 2 4 34 2" xfId="16876"/>
    <cellStyle name="Dane wyjściowe 2 4 34 3" xfId="16877"/>
    <cellStyle name="Dane wyjściowe 2 4 35" xfId="16878"/>
    <cellStyle name="Dane wyjściowe 2 4 35 2" xfId="16879"/>
    <cellStyle name="Dane wyjściowe 2 4 35 3" xfId="16880"/>
    <cellStyle name="Dane wyjściowe 2 4 36" xfId="16881"/>
    <cellStyle name="Dane wyjściowe 2 4 36 2" xfId="16882"/>
    <cellStyle name="Dane wyjściowe 2 4 36 3" xfId="16883"/>
    <cellStyle name="Dane wyjściowe 2 4 37" xfId="16884"/>
    <cellStyle name="Dane wyjściowe 2 4 37 2" xfId="16885"/>
    <cellStyle name="Dane wyjściowe 2 4 37 3" xfId="16886"/>
    <cellStyle name="Dane wyjściowe 2 4 38" xfId="16887"/>
    <cellStyle name="Dane wyjściowe 2 4 38 2" xfId="16888"/>
    <cellStyle name="Dane wyjściowe 2 4 38 3" xfId="16889"/>
    <cellStyle name="Dane wyjściowe 2 4 39" xfId="16890"/>
    <cellStyle name="Dane wyjściowe 2 4 39 2" xfId="16891"/>
    <cellStyle name="Dane wyjściowe 2 4 39 3" xfId="16892"/>
    <cellStyle name="Dane wyjściowe 2 4 4" xfId="16893"/>
    <cellStyle name="Dane wyjściowe 2 4 4 2" xfId="16894"/>
    <cellStyle name="Dane wyjściowe 2 4 4 3" xfId="16895"/>
    <cellStyle name="Dane wyjściowe 2 4 4 4" xfId="16896"/>
    <cellStyle name="Dane wyjściowe 2 4 40" xfId="16897"/>
    <cellStyle name="Dane wyjściowe 2 4 40 2" xfId="16898"/>
    <cellStyle name="Dane wyjściowe 2 4 40 3" xfId="16899"/>
    <cellStyle name="Dane wyjściowe 2 4 41" xfId="16900"/>
    <cellStyle name="Dane wyjściowe 2 4 41 2" xfId="16901"/>
    <cellStyle name="Dane wyjściowe 2 4 41 3" xfId="16902"/>
    <cellStyle name="Dane wyjściowe 2 4 42" xfId="16903"/>
    <cellStyle name="Dane wyjściowe 2 4 42 2" xfId="16904"/>
    <cellStyle name="Dane wyjściowe 2 4 42 3" xfId="16905"/>
    <cellStyle name="Dane wyjściowe 2 4 43" xfId="16906"/>
    <cellStyle name="Dane wyjściowe 2 4 43 2" xfId="16907"/>
    <cellStyle name="Dane wyjściowe 2 4 43 3" xfId="16908"/>
    <cellStyle name="Dane wyjściowe 2 4 44" xfId="16909"/>
    <cellStyle name="Dane wyjściowe 2 4 44 2" xfId="16910"/>
    <cellStyle name="Dane wyjściowe 2 4 44 3" xfId="16911"/>
    <cellStyle name="Dane wyjściowe 2 4 45" xfId="16912"/>
    <cellStyle name="Dane wyjściowe 2 4 45 2" xfId="16913"/>
    <cellStyle name="Dane wyjściowe 2 4 45 3" xfId="16914"/>
    <cellStyle name="Dane wyjściowe 2 4 46" xfId="16915"/>
    <cellStyle name="Dane wyjściowe 2 4 46 2" xfId="16916"/>
    <cellStyle name="Dane wyjściowe 2 4 46 3" xfId="16917"/>
    <cellStyle name="Dane wyjściowe 2 4 47" xfId="16918"/>
    <cellStyle name="Dane wyjściowe 2 4 47 2" xfId="16919"/>
    <cellStyle name="Dane wyjściowe 2 4 47 3" xfId="16920"/>
    <cellStyle name="Dane wyjściowe 2 4 48" xfId="16921"/>
    <cellStyle name="Dane wyjściowe 2 4 48 2" xfId="16922"/>
    <cellStyle name="Dane wyjściowe 2 4 48 3" xfId="16923"/>
    <cellStyle name="Dane wyjściowe 2 4 49" xfId="16924"/>
    <cellStyle name="Dane wyjściowe 2 4 49 2" xfId="16925"/>
    <cellStyle name="Dane wyjściowe 2 4 49 3" xfId="16926"/>
    <cellStyle name="Dane wyjściowe 2 4 5" xfId="16927"/>
    <cellStyle name="Dane wyjściowe 2 4 5 2" xfId="16928"/>
    <cellStyle name="Dane wyjściowe 2 4 5 3" xfId="16929"/>
    <cellStyle name="Dane wyjściowe 2 4 5 4" xfId="16930"/>
    <cellStyle name="Dane wyjściowe 2 4 50" xfId="16931"/>
    <cellStyle name="Dane wyjściowe 2 4 50 2" xfId="16932"/>
    <cellStyle name="Dane wyjściowe 2 4 50 3" xfId="16933"/>
    <cellStyle name="Dane wyjściowe 2 4 51" xfId="16934"/>
    <cellStyle name="Dane wyjściowe 2 4 51 2" xfId="16935"/>
    <cellStyle name="Dane wyjściowe 2 4 51 3" xfId="16936"/>
    <cellStyle name="Dane wyjściowe 2 4 52" xfId="16937"/>
    <cellStyle name="Dane wyjściowe 2 4 52 2" xfId="16938"/>
    <cellStyle name="Dane wyjściowe 2 4 52 3" xfId="16939"/>
    <cellStyle name="Dane wyjściowe 2 4 53" xfId="16940"/>
    <cellStyle name="Dane wyjściowe 2 4 53 2" xfId="16941"/>
    <cellStyle name="Dane wyjściowe 2 4 53 3" xfId="16942"/>
    <cellStyle name="Dane wyjściowe 2 4 54" xfId="16943"/>
    <cellStyle name="Dane wyjściowe 2 4 54 2" xfId="16944"/>
    <cellStyle name="Dane wyjściowe 2 4 54 3" xfId="16945"/>
    <cellStyle name="Dane wyjściowe 2 4 55" xfId="16946"/>
    <cellStyle name="Dane wyjściowe 2 4 55 2" xfId="16947"/>
    <cellStyle name="Dane wyjściowe 2 4 55 3" xfId="16948"/>
    <cellStyle name="Dane wyjściowe 2 4 56" xfId="16949"/>
    <cellStyle name="Dane wyjściowe 2 4 56 2" xfId="16950"/>
    <cellStyle name="Dane wyjściowe 2 4 56 3" xfId="16951"/>
    <cellStyle name="Dane wyjściowe 2 4 57" xfId="16952"/>
    <cellStyle name="Dane wyjściowe 2 4 58" xfId="16953"/>
    <cellStyle name="Dane wyjściowe 2 4 6" xfId="16954"/>
    <cellStyle name="Dane wyjściowe 2 4 6 2" xfId="16955"/>
    <cellStyle name="Dane wyjściowe 2 4 6 3" xfId="16956"/>
    <cellStyle name="Dane wyjściowe 2 4 6 4" xfId="16957"/>
    <cellStyle name="Dane wyjściowe 2 4 7" xfId="16958"/>
    <cellStyle name="Dane wyjściowe 2 4 7 2" xfId="16959"/>
    <cellStyle name="Dane wyjściowe 2 4 7 3" xfId="16960"/>
    <cellStyle name="Dane wyjściowe 2 4 7 4" xfId="16961"/>
    <cellStyle name="Dane wyjściowe 2 4 8" xfId="16962"/>
    <cellStyle name="Dane wyjściowe 2 4 8 2" xfId="16963"/>
    <cellStyle name="Dane wyjściowe 2 4 8 3" xfId="16964"/>
    <cellStyle name="Dane wyjściowe 2 4 8 4" xfId="16965"/>
    <cellStyle name="Dane wyjściowe 2 4 9" xfId="16966"/>
    <cellStyle name="Dane wyjściowe 2 4 9 2" xfId="16967"/>
    <cellStyle name="Dane wyjściowe 2 4 9 3" xfId="16968"/>
    <cellStyle name="Dane wyjściowe 2 4 9 4" xfId="16969"/>
    <cellStyle name="Dane wyjściowe 2 40" xfId="16970"/>
    <cellStyle name="Dane wyjściowe 2 40 2" xfId="16971"/>
    <cellStyle name="Dane wyjściowe 2 40 3" xfId="16972"/>
    <cellStyle name="Dane wyjściowe 2 40 4" xfId="16973"/>
    <cellStyle name="Dane wyjściowe 2 41" xfId="16974"/>
    <cellStyle name="Dane wyjściowe 2 41 2" xfId="16975"/>
    <cellStyle name="Dane wyjściowe 2 41 3" xfId="16976"/>
    <cellStyle name="Dane wyjściowe 2 41 4" xfId="16977"/>
    <cellStyle name="Dane wyjściowe 2 42" xfId="16978"/>
    <cellStyle name="Dane wyjściowe 2 42 2" xfId="16979"/>
    <cellStyle name="Dane wyjściowe 2 42 3" xfId="16980"/>
    <cellStyle name="Dane wyjściowe 2 42 4" xfId="16981"/>
    <cellStyle name="Dane wyjściowe 2 43" xfId="16982"/>
    <cellStyle name="Dane wyjściowe 2 43 2" xfId="16983"/>
    <cellStyle name="Dane wyjściowe 2 43 3" xfId="16984"/>
    <cellStyle name="Dane wyjściowe 2 43 4" xfId="16985"/>
    <cellStyle name="Dane wyjściowe 2 44" xfId="16986"/>
    <cellStyle name="Dane wyjściowe 2 44 2" xfId="16987"/>
    <cellStyle name="Dane wyjściowe 2 44 3" xfId="16988"/>
    <cellStyle name="Dane wyjściowe 2 44 4" xfId="16989"/>
    <cellStyle name="Dane wyjściowe 2 45" xfId="16990"/>
    <cellStyle name="Dane wyjściowe 2 45 2" xfId="16991"/>
    <cellStyle name="Dane wyjściowe 2 45 3" xfId="16992"/>
    <cellStyle name="Dane wyjściowe 2 45 4" xfId="16993"/>
    <cellStyle name="Dane wyjściowe 2 46" xfId="16994"/>
    <cellStyle name="Dane wyjściowe 2 46 2" xfId="16995"/>
    <cellStyle name="Dane wyjściowe 2 46 3" xfId="16996"/>
    <cellStyle name="Dane wyjściowe 2 46 4" xfId="16997"/>
    <cellStyle name="Dane wyjściowe 2 47" xfId="16998"/>
    <cellStyle name="Dane wyjściowe 2 47 2" xfId="16999"/>
    <cellStyle name="Dane wyjściowe 2 47 3" xfId="17000"/>
    <cellStyle name="Dane wyjściowe 2 47 4" xfId="17001"/>
    <cellStyle name="Dane wyjściowe 2 48" xfId="17002"/>
    <cellStyle name="Dane wyjściowe 2 48 2" xfId="17003"/>
    <cellStyle name="Dane wyjściowe 2 48 3" xfId="17004"/>
    <cellStyle name="Dane wyjściowe 2 48 4" xfId="17005"/>
    <cellStyle name="Dane wyjściowe 2 49" xfId="17006"/>
    <cellStyle name="Dane wyjściowe 2 49 2" xfId="17007"/>
    <cellStyle name="Dane wyjściowe 2 49 3" xfId="17008"/>
    <cellStyle name="Dane wyjściowe 2 49 4" xfId="17009"/>
    <cellStyle name="Dane wyjściowe 2 5" xfId="17010"/>
    <cellStyle name="Dane wyjściowe 2 5 10" xfId="17011"/>
    <cellStyle name="Dane wyjściowe 2 5 10 2" xfId="17012"/>
    <cellStyle name="Dane wyjściowe 2 5 10 3" xfId="17013"/>
    <cellStyle name="Dane wyjściowe 2 5 10 4" xfId="17014"/>
    <cellStyle name="Dane wyjściowe 2 5 11" xfId="17015"/>
    <cellStyle name="Dane wyjściowe 2 5 11 2" xfId="17016"/>
    <cellStyle name="Dane wyjściowe 2 5 11 3" xfId="17017"/>
    <cellStyle name="Dane wyjściowe 2 5 11 4" xfId="17018"/>
    <cellStyle name="Dane wyjściowe 2 5 12" xfId="17019"/>
    <cellStyle name="Dane wyjściowe 2 5 12 2" xfId="17020"/>
    <cellStyle name="Dane wyjściowe 2 5 12 3" xfId="17021"/>
    <cellStyle name="Dane wyjściowe 2 5 12 4" xfId="17022"/>
    <cellStyle name="Dane wyjściowe 2 5 13" xfId="17023"/>
    <cellStyle name="Dane wyjściowe 2 5 13 2" xfId="17024"/>
    <cellStyle name="Dane wyjściowe 2 5 13 3" xfId="17025"/>
    <cellStyle name="Dane wyjściowe 2 5 13 4" xfId="17026"/>
    <cellStyle name="Dane wyjściowe 2 5 14" xfId="17027"/>
    <cellStyle name="Dane wyjściowe 2 5 14 2" xfId="17028"/>
    <cellStyle name="Dane wyjściowe 2 5 14 3" xfId="17029"/>
    <cellStyle name="Dane wyjściowe 2 5 14 4" xfId="17030"/>
    <cellStyle name="Dane wyjściowe 2 5 15" xfId="17031"/>
    <cellStyle name="Dane wyjściowe 2 5 15 2" xfId="17032"/>
    <cellStyle name="Dane wyjściowe 2 5 15 3" xfId="17033"/>
    <cellStyle name="Dane wyjściowe 2 5 15 4" xfId="17034"/>
    <cellStyle name="Dane wyjściowe 2 5 16" xfId="17035"/>
    <cellStyle name="Dane wyjściowe 2 5 16 2" xfId="17036"/>
    <cellStyle name="Dane wyjściowe 2 5 16 3" xfId="17037"/>
    <cellStyle name="Dane wyjściowe 2 5 16 4" xfId="17038"/>
    <cellStyle name="Dane wyjściowe 2 5 17" xfId="17039"/>
    <cellStyle name="Dane wyjściowe 2 5 17 2" xfId="17040"/>
    <cellStyle name="Dane wyjściowe 2 5 17 3" xfId="17041"/>
    <cellStyle name="Dane wyjściowe 2 5 17 4" xfId="17042"/>
    <cellStyle name="Dane wyjściowe 2 5 18" xfId="17043"/>
    <cellStyle name="Dane wyjściowe 2 5 18 2" xfId="17044"/>
    <cellStyle name="Dane wyjściowe 2 5 18 3" xfId="17045"/>
    <cellStyle name="Dane wyjściowe 2 5 18 4" xfId="17046"/>
    <cellStyle name="Dane wyjściowe 2 5 19" xfId="17047"/>
    <cellStyle name="Dane wyjściowe 2 5 19 2" xfId="17048"/>
    <cellStyle name="Dane wyjściowe 2 5 19 3" xfId="17049"/>
    <cellStyle name="Dane wyjściowe 2 5 19 4" xfId="17050"/>
    <cellStyle name="Dane wyjściowe 2 5 2" xfId="17051"/>
    <cellStyle name="Dane wyjściowe 2 5 2 2" xfId="17052"/>
    <cellStyle name="Dane wyjściowe 2 5 2 3" xfId="17053"/>
    <cellStyle name="Dane wyjściowe 2 5 2 4" xfId="17054"/>
    <cellStyle name="Dane wyjściowe 2 5 20" xfId="17055"/>
    <cellStyle name="Dane wyjściowe 2 5 20 2" xfId="17056"/>
    <cellStyle name="Dane wyjściowe 2 5 20 3" xfId="17057"/>
    <cellStyle name="Dane wyjściowe 2 5 20 4" xfId="17058"/>
    <cellStyle name="Dane wyjściowe 2 5 21" xfId="17059"/>
    <cellStyle name="Dane wyjściowe 2 5 21 2" xfId="17060"/>
    <cellStyle name="Dane wyjściowe 2 5 21 3" xfId="17061"/>
    <cellStyle name="Dane wyjściowe 2 5 22" xfId="17062"/>
    <cellStyle name="Dane wyjściowe 2 5 22 2" xfId="17063"/>
    <cellStyle name="Dane wyjściowe 2 5 22 3" xfId="17064"/>
    <cellStyle name="Dane wyjściowe 2 5 23" xfId="17065"/>
    <cellStyle name="Dane wyjściowe 2 5 23 2" xfId="17066"/>
    <cellStyle name="Dane wyjściowe 2 5 23 3" xfId="17067"/>
    <cellStyle name="Dane wyjściowe 2 5 24" xfId="17068"/>
    <cellStyle name="Dane wyjściowe 2 5 24 2" xfId="17069"/>
    <cellStyle name="Dane wyjściowe 2 5 24 3" xfId="17070"/>
    <cellStyle name="Dane wyjściowe 2 5 25" xfId="17071"/>
    <cellStyle name="Dane wyjściowe 2 5 25 2" xfId="17072"/>
    <cellStyle name="Dane wyjściowe 2 5 25 3" xfId="17073"/>
    <cellStyle name="Dane wyjściowe 2 5 26" xfId="17074"/>
    <cellStyle name="Dane wyjściowe 2 5 26 2" xfId="17075"/>
    <cellStyle name="Dane wyjściowe 2 5 26 3" xfId="17076"/>
    <cellStyle name="Dane wyjściowe 2 5 27" xfId="17077"/>
    <cellStyle name="Dane wyjściowe 2 5 27 2" xfId="17078"/>
    <cellStyle name="Dane wyjściowe 2 5 27 3" xfId="17079"/>
    <cellStyle name="Dane wyjściowe 2 5 28" xfId="17080"/>
    <cellStyle name="Dane wyjściowe 2 5 28 2" xfId="17081"/>
    <cellStyle name="Dane wyjściowe 2 5 28 3" xfId="17082"/>
    <cellStyle name="Dane wyjściowe 2 5 29" xfId="17083"/>
    <cellStyle name="Dane wyjściowe 2 5 29 2" xfId="17084"/>
    <cellStyle name="Dane wyjściowe 2 5 29 3" xfId="17085"/>
    <cellStyle name="Dane wyjściowe 2 5 3" xfId="17086"/>
    <cellStyle name="Dane wyjściowe 2 5 3 2" xfId="17087"/>
    <cellStyle name="Dane wyjściowe 2 5 3 3" xfId="17088"/>
    <cellStyle name="Dane wyjściowe 2 5 3 4" xfId="17089"/>
    <cellStyle name="Dane wyjściowe 2 5 30" xfId="17090"/>
    <cellStyle name="Dane wyjściowe 2 5 30 2" xfId="17091"/>
    <cellStyle name="Dane wyjściowe 2 5 30 3" xfId="17092"/>
    <cellStyle name="Dane wyjściowe 2 5 31" xfId="17093"/>
    <cellStyle name="Dane wyjściowe 2 5 31 2" xfId="17094"/>
    <cellStyle name="Dane wyjściowe 2 5 31 3" xfId="17095"/>
    <cellStyle name="Dane wyjściowe 2 5 32" xfId="17096"/>
    <cellStyle name="Dane wyjściowe 2 5 32 2" xfId="17097"/>
    <cellStyle name="Dane wyjściowe 2 5 32 3" xfId="17098"/>
    <cellStyle name="Dane wyjściowe 2 5 33" xfId="17099"/>
    <cellStyle name="Dane wyjściowe 2 5 33 2" xfId="17100"/>
    <cellStyle name="Dane wyjściowe 2 5 33 3" xfId="17101"/>
    <cellStyle name="Dane wyjściowe 2 5 34" xfId="17102"/>
    <cellStyle name="Dane wyjściowe 2 5 34 2" xfId="17103"/>
    <cellStyle name="Dane wyjściowe 2 5 34 3" xfId="17104"/>
    <cellStyle name="Dane wyjściowe 2 5 35" xfId="17105"/>
    <cellStyle name="Dane wyjściowe 2 5 35 2" xfId="17106"/>
    <cellStyle name="Dane wyjściowe 2 5 35 3" xfId="17107"/>
    <cellStyle name="Dane wyjściowe 2 5 36" xfId="17108"/>
    <cellStyle name="Dane wyjściowe 2 5 36 2" xfId="17109"/>
    <cellStyle name="Dane wyjściowe 2 5 36 3" xfId="17110"/>
    <cellStyle name="Dane wyjściowe 2 5 37" xfId="17111"/>
    <cellStyle name="Dane wyjściowe 2 5 37 2" xfId="17112"/>
    <cellStyle name="Dane wyjściowe 2 5 37 3" xfId="17113"/>
    <cellStyle name="Dane wyjściowe 2 5 38" xfId="17114"/>
    <cellStyle name="Dane wyjściowe 2 5 38 2" xfId="17115"/>
    <cellStyle name="Dane wyjściowe 2 5 38 3" xfId="17116"/>
    <cellStyle name="Dane wyjściowe 2 5 39" xfId="17117"/>
    <cellStyle name="Dane wyjściowe 2 5 39 2" xfId="17118"/>
    <cellStyle name="Dane wyjściowe 2 5 39 3" xfId="17119"/>
    <cellStyle name="Dane wyjściowe 2 5 4" xfId="17120"/>
    <cellStyle name="Dane wyjściowe 2 5 4 2" xfId="17121"/>
    <cellStyle name="Dane wyjściowe 2 5 4 3" xfId="17122"/>
    <cellStyle name="Dane wyjściowe 2 5 4 4" xfId="17123"/>
    <cellStyle name="Dane wyjściowe 2 5 40" xfId="17124"/>
    <cellStyle name="Dane wyjściowe 2 5 40 2" xfId="17125"/>
    <cellStyle name="Dane wyjściowe 2 5 40 3" xfId="17126"/>
    <cellStyle name="Dane wyjściowe 2 5 41" xfId="17127"/>
    <cellStyle name="Dane wyjściowe 2 5 41 2" xfId="17128"/>
    <cellStyle name="Dane wyjściowe 2 5 41 3" xfId="17129"/>
    <cellStyle name="Dane wyjściowe 2 5 42" xfId="17130"/>
    <cellStyle name="Dane wyjściowe 2 5 42 2" xfId="17131"/>
    <cellStyle name="Dane wyjściowe 2 5 42 3" xfId="17132"/>
    <cellStyle name="Dane wyjściowe 2 5 43" xfId="17133"/>
    <cellStyle name="Dane wyjściowe 2 5 43 2" xfId="17134"/>
    <cellStyle name="Dane wyjściowe 2 5 43 3" xfId="17135"/>
    <cellStyle name="Dane wyjściowe 2 5 44" xfId="17136"/>
    <cellStyle name="Dane wyjściowe 2 5 44 2" xfId="17137"/>
    <cellStyle name="Dane wyjściowe 2 5 44 3" xfId="17138"/>
    <cellStyle name="Dane wyjściowe 2 5 45" xfId="17139"/>
    <cellStyle name="Dane wyjściowe 2 5 45 2" xfId="17140"/>
    <cellStyle name="Dane wyjściowe 2 5 45 3" xfId="17141"/>
    <cellStyle name="Dane wyjściowe 2 5 46" xfId="17142"/>
    <cellStyle name="Dane wyjściowe 2 5 46 2" xfId="17143"/>
    <cellStyle name="Dane wyjściowe 2 5 46 3" xfId="17144"/>
    <cellStyle name="Dane wyjściowe 2 5 47" xfId="17145"/>
    <cellStyle name="Dane wyjściowe 2 5 47 2" xfId="17146"/>
    <cellStyle name="Dane wyjściowe 2 5 47 3" xfId="17147"/>
    <cellStyle name="Dane wyjściowe 2 5 48" xfId="17148"/>
    <cellStyle name="Dane wyjściowe 2 5 48 2" xfId="17149"/>
    <cellStyle name="Dane wyjściowe 2 5 48 3" xfId="17150"/>
    <cellStyle name="Dane wyjściowe 2 5 49" xfId="17151"/>
    <cellStyle name="Dane wyjściowe 2 5 49 2" xfId="17152"/>
    <cellStyle name="Dane wyjściowe 2 5 49 3" xfId="17153"/>
    <cellStyle name="Dane wyjściowe 2 5 5" xfId="17154"/>
    <cellStyle name="Dane wyjściowe 2 5 5 2" xfId="17155"/>
    <cellStyle name="Dane wyjściowe 2 5 5 3" xfId="17156"/>
    <cellStyle name="Dane wyjściowe 2 5 5 4" xfId="17157"/>
    <cellStyle name="Dane wyjściowe 2 5 50" xfId="17158"/>
    <cellStyle name="Dane wyjściowe 2 5 50 2" xfId="17159"/>
    <cellStyle name="Dane wyjściowe 2 5 50 3" xfId="17160"/>
    <cellStyle name="Dane wyjściowe 2 5 51" xfId="17161"/>
    <cellStyle name="Dane wyjściowe 2 5 51 2" xfId="17162"/>
    <cellStyle name="Dane wyjściowe 2 5 51 3" xfId="17163"/>
    <cellStyle name="Dane wyjściowe 2 5 52" xfId="17164"/>
    <cellStyle name="Dane wyjściowe 2 5 52 2" xfId="17165"/>
    <cellStyle name="Dane wyjściowe 2 5 52 3" xfId="17166"/>
    <cellStyle name="Dane wyjściowe 2 5 53" xfId="17167"/>
    <cellStyle name="Dane wyjściowe 2 5 53 2" xfId="17168"/>
    <cellStyle name="Dane wyjściowe 2 5 53 3" xfId="17169"/>
    <cellStyle name="Dane wyjściowe 2 5 54" xfId="17170"/>
    <cellStyle name="Dane wyjściowe 2 5 54 2" xfId="17171"/>
    <cellStyle name="Dane wyjściowe 2 5 54 3" xfId="17172"/>
    <cellStyle name="Dane wyjściowe 2 5 55" xfId="17173"/>
    <cellStyle name="Dane wyjściowe 2 5 55 2" xfId="17174"/>
    <cellStyle name="Dane wyjściowe 2 5 55 3" xfId="17175"/>
    <cellStyle name="Dane wyjściowe 2 5 56" xfId="17176"/>
    <cellStyle name="Dane wyjściowe 2 5 56 2" xfId="17177"/>
    <cellStyle name="Dane wyjściowe 2 5 56 3" xfId="17178"/>
    <cellStyle name="Dane wyjściowe 2 5 57" xfId="17179"/>
    <cellStyle name="Dane wyjściowe 2 5 58" xfId="17180"/>
    <cellStyle name="Dane wyjściowe 2 5 6" xfId="17181"/>
    <cellStyle name="Dane wyjściowe 2 5 6 2" xfId="17182"/>
    <cellStyle name="Dane wyjściowe 2 5 6 3" xfId="17183"/>
    <cellStyle name="Dane wyjściowe 2 5 6 4" xfId="17184"/>
    <cellStyle name="Dane wyjściowe 2 5 7" xfId="17185"/>
    <cellStyle name="Dane wyjściowe 2 5 7 2" xfId="17186"/>
    <cellStyle name="Dane wyjściowe 2 5 7 3" xfId="17187"/>
    <cellStyle name="Dane wyjściowe 2 5 7 4" xfId="17188"/>
    <cellStyle name="Dane wyjściowe 2 5 8" xfId="17189"/>
    <cellStyle name="Dane wyjściowe 2 5 8 2" xfId="17190"/>
    <cellStyle name="Dane wyjściowe 2 5 8 3" xfId="17191"/>
    <cellStyle name="Dane wyjściowe 2 5 8 4" xfId="17192"/>
    <cellStyle name="Dane wyjściowe 2 5 9" xfId="17193"/>
    <cellStyle name="Dane wyjściowe 2 5 9 2" xfId="17194"/>
    <cellStyle name="Dane wyjściowe 2 5 9 3" xfId="17195"/>
    <cellStyle name="Dane wyjściowe 2 5 9 4" xfId="17196"/>
    <cellStyle name="Dane wyjściowe 2 50" xfId="17197"/>
    <cellStyle name="Dane wyjściowe 2 50 2" xfId="17198"/>
    <cellStyle name="Dane wyjściowe 2 50 3" xfId="17199"/>
    <cellStyle name="Dane wyjściowe 2 50 4" xfId="17200"/>
    <cellStyle name="Dane wyjściowe 2 51" xfId="17201"/>
    <cellStyle name="Dane wyjściowe 2 51 2" xfId="17202"/>
    <cellStyle name="Dane wyjściowe 2 51 3" xfId="17203"/>
    <cellStyle name="Dane wyjściowe 2 51 4" xfId="17204"/>
    <cellStyle name="Dane wyjściowe 2 52" xfId="17205"/>
    <cellStyle name="Dane wyjściowe 2 52 2" xfId="17206"/>
    <cellStyle name="Dane wyjściowe 2 52 3" xfId="17207"/>
    <cellStyle name="Dane wyjściowe 2 52 4" xfId="17208"/>
    <cellStyle name="Dane wyjściowe 2 53" xfId="17209"/>
    <cellStyle name="Dane wyjściowe 2 53 2" xfId="17210"/>
    <cellStyle name="Dane wyjściowe 2 53 3" xfId="17211"/>
    <cellStyle name="Dane wyjściowe 2 53 4" xfId="17212"/>
    <cellStyle name="Dane wyjściowe 2 54" xfId="17213"/>
    <cellStyle name="Dane wyjściowe 2 54 2" xfId="17214"/>
    <cellStyle name="Dane wyjściowe 2 54 3" xfId="17215"/>
    <cellStyle name="Dane wyjściowe 2 54 4" xfId="17216"/>
    <cellStyle name="Dane wyjściowe 2 55" xfId="17217"/>
    <cellStyle name="Dane wyjściowe 2 55 2" xfId="17218"/>
    <cellStyle name="Dane wyjściowe 2 55 3" xfId="17219"/>
    <cellStyle name="Dane wyjściowe 2 55 4" xfId="17220"/>
    <cellStyle name="Dane wyjściowe 2 56" xfId="17221"/>
    <cellStyle name="Dane wyjściowe 2 56 2" xfId="17222"/>
    <cellStyle name="Dane wyjściowe 2 56 3" xfId="17223"/>
    <cellStyle name="Dane wyjściowe 2 56 4" xfId="17224"/>
    <cellStyle name="Dane wyjściowe 2 57" xfId="17225"/>
    <cellStyle name="Dane wyjściowe 2 57 2" xfId="17226"/>
    <cellStyle name="Dane wyjściowe 2 57 3" xfId="17227"/>
    <cellStyle name="Dane wyjściowe 2 57 4" xfId="17228"/>
    <cellStyle name="Dane wyjściowe 2 58" xfId="17229"/>
    <cellStyle name="Dane wyjściowe 2 58 2" xfId="17230"/>
    <cellStyle name="Dane wyjściowe 2 58 3" xfId="17231"/>
    <cellStyle name="Dane wyjściowe 2 58 4" xfId="17232"/>
    <cellStyle name="Dane wyjściowe 2 59" xfId="17233"/>
    <cellStyle name="Dane wyjściowe 2 59 2" xfId="17234"/>
    <cellStyle name="Dane wyjściowe 2 59 3" xfId="17235"/>
    <cellStyle name="Dane wyjściowe 2 59 4" xfId="17236"/>
    <cellStyle name="Dane wyjściowe 2 6" xfId="17237"/>
    <cellStyle name="Dane wyjściowe 2 6 10" xfId="17238"/>
    <cellStyle name="Dane wyjściowe 2 6 10 2" xfId="17239"/>
    <cellStyle name="Dane wyjściowe 2 6 10 3" xfId="17240"/>
    <cellStyle name="Dane wyjściowe 2 6 10 4" xfId="17241"/>
    <cellStyle name="Dane wyjściowe 2 6 11" xfId="17242"/>
    <cellStyle name="Dane wyjściowe 2 6 11 2" xfId="17243"/>
    <cellStyle name="Dane wyjściowe 2 6 11 3" xfId="17244"/>
    <cellStyle name="Dane wyjściowe 2 6 11 4" xfId="17245"/>
    <cellStyle name="Dane wyjściowe 2 6 12" xfId="17246"/>
    <cellStyle name="Dane wyjściowe 2 6 12 2" xfId="17247"/>
    <cellStyle name="Dane wyjściowe 2 6 12 3" xfId="17248"/>
    <cellStyle name="Dane wyjściowe 2 6 12 4" xfId="17249"/>
    <cellStyle name="Dane wyjściowe 2 6 13" xfId="17250"/>
    <cellStyle name="Dane wyjściowe 2 6 13 2" xfId="17251"/>
    <cellStyle name="Dane wyjściowe 2 6 13 3" xfId="17252"/>
    <cellStyle name="Dane wyjściowe 2 6 13 4" xfId="17253"/>
    <cellStyle name="Dane wyjściowe 2 6 14" xfId="17254"/>
    <cellStyle name="Dane wyjściowe 2 6 14 2" xfId="17255"/>
    <cellStyle name="Dane wyjściowe 2 6 14 3" xfId="17256"/>
    <cellStyle name="Dane wyjściowe 2 6 14 4" xfId="17257"/>
    <cellStyle name="Dane wyjściowe 2 6 15" xfId="17258"/>
    <cellStyle name="Dane wyjściowe 2 6 15 2" xfId="17259"/>
    <cellStyle name="Dane wyjściowe 2 6 15 3" xfId="17260"/>
    <cellStyle name="Dane wyjściowe 2 6 15 4" xfId="17261"/>
    <cellStyle name="Dane wyjściowe 2 6 16" xfId="17262"/>
    <cellStyle name="Dane wyjściowe 2 6 16 2" xfId="17263"/>
    <cellStyle name="Dane wyjściowe 2 6 16 3" xfId="17264"/>
    <cellStyle name="Dane wyjściowe 2 6 16 4" xfId="17265"/>
    <cellStyle name="Dane wyjściowe 2 6 17" xfId="17266"/>
    <cellStyle name="Dane wyjściowe 2 6 17 2" xfId="17267"/>
    <cellStyle name="Dane wyjściowe 2 6 17 3" xfId="17268"/>
    <cellStyle name="Dane wyjściowe 2 6 17 4" xfId="17269"/>
    <cellStyle name="Dane wyjściowe 2 6 18" xfId="17270"/>
    <cellStyle name="Dane wyjściowe 2 6 18 2" xfId="17271"/>
    <cellStyle name="Dane wyjściowe 2 6 18 3" xfId="17272"/>
    <cellStyle name="Dane wyjściowe 2 6 18 4" xfId="17273"/>
    <cellStyle name="Dane wyjściowe 2 6 19" xfId="17274"/>
    <cellStyle name="Dane wyjściowe 2 6 19 2" xfId="17275"/>
    <cellStyle name="Dane wyjściowe 2 6 19 3" xfId="17276"/>
    <cellStyle name="Dane wyjściowe 2 6 19 4" xfId="17277"/>
    <cellStyle name="Dane wyjściowe 2 6 2" xfId="17278"/>
    <cellStyle name="Dane wyjściowe 2 6 2 2" xfId="17279"/>
    <cellStyle name="Dane wyjściowe 2 6 2 3" xfId="17280"/>
    <cellStyle name="Dane wyjściowe 2 6 2 4" xfId="17281"/>
    <cellStyle name="Dane wyjściowe 2 6 20" xfId="17282"/>
    <cellStyle name="Dane wyjściowe 2 6 20 2" xfId="17283"/>
    <cellStyle name="Dane wyjściowe 2 6 20 3" xfId="17284"/>
    <cellStyle name="Dane wyjściowe 2 6 20 4" xfId="17285"/>
    <cellStyle name="Dane wyjściowe 2 6 21" xfId="17286"/>
    <cellStyle name="Dane wyjściowe 2 6 21 2" xfId="17287"/>
    <cellStyle name="Dane wyjściowe 2 6 21 3" xfId="17288"/>
    <cellStyle name="Dane wyjściowe 2 6 22" xfId="17289"/>
    <cellStyle name="Dane wyjściowe 2 6 22 2" xfId="17290"/>
    <cellStyle name="Dane wyjściowe 2 6 22 3" xfId="17291"/>
    <cellStyle name="Dane wyjściowe 2 6 23" xfId="17292"/>
    <cellStyle name="Dane wyjściowe 2 6 23 2" xfId="17293"/>
    <cellStyle name="Dane wyjściowe 2 6 23 3" xfId="17294"/>
    <cellStyle name="Dane wyjściowe 2 6 24" xfId="17295"/>
    <cellStyle name="Dane wyjściowe 2 6 24 2" xfId="17296"/>
    <cellStyle name="Dane wyjściowe 2 6 24 3" xfId="17297"/>
    <cellStyle name="Dane wyjściowe 2 6 25" xfId="17298"/>
    <cellStyle name="Dane wyjściowe 2 6 25 2" xfId="17299"/>
    <cellStyle name="Dane wyjściowe 2 6 25 3" xfId="17300"/>
    <cellStyle name="Dane wyjściowe 2 6 26" xfId="17301"/>
    <cellStyle name="Dane wyjściowe 2 6 26 2" xfId="17302"/>
    <cellStyle name="Dane wyjściowe 2 6 26 3" xfId="17303"/>
    <cellStyle name="Dane wyjściowe 2 6 27" xfId="17304"/>
    <cellStyle name="Dane wyjściowe 2 6 27 2" xfId="17305"/>
    <cellStyle name="Dane wyjściowe 2 6 27 3" xfId="17306"/>
    <cellStyle name="Dane wyjściowe 2 6 28" xfId="17307"/>
    <cellStyle name="Dane wyjściowe 2 6 28 2" xfId="17308"/>
    <cellStyle name="Dane wyjściowe 2 6 28 3" xfId="17309"/>
    <cellStyle name="Dane wyjściowe 2 6 29" xfId="17310"/>
    <cellStyle name="Dane wyjściowe 2 6 29 2" xfId="17311"/>
    <cellStyle name="Dane wyjściowe 2 6 29 3" xfId="17312"/>
    <cellStyle name="Dane wyjściowe 2 6 3" xfId="17313"/>
    <cellStyle name="Dane wyjściowe 2 6 3 2" xfId="17314"/>
    <cellStyle name="Dane wyjściowe 2 6 3 3" xfId="17315"/>
    <cellStyle name="Dane wyjściowe 2 6 3 4" xfId="17316"/>
    <cellStyle name="Dane wyjściowe 2 6 30" xfId="17317"/>
    <cellStyle name="Dane wyjściowe 2 6 30 2" xfId="17318"/>
    <cellStyle name="Dane wyjściowe 2 6 30 3" xfId="17319"/>
    <cellStyle name="Dane wyjściowe 2 6 31" xfId="17320"/>
    <cellStyle name="Dane wyjściowe 2 6 31 2" xfId="17321"/>
    <cellStyle name="Dane wyjściowe 2 6 31 3" xfId="17322"/>
    <cellStyle name="Dane wyjściowe 2 6 32" xfId="17323"/>
    <cellStyle name="Dane wyjściowe 2 6 32 2" xfId="17324"/>
    <cellStyle name="Dane wyjściowe 2 6 32 3" xfId="17325"/>
    <cellStyle name="Dane wyjściowe 2 6 33" xfId="17326"/>
    <cellStyle name="Dane wyjściowe 2 6 33 2" xfId="17327"/>
    <cellStyle name="Dane wyjściowe 2 6 33 3" xfId="17328"/>
    <cellStyle name="Dane wyjściowe 2 6 34" xfId="17329"/>
    <cellStyle name="Dane wyjściowe 2 6 34 2" xfId="17330"/>
    <cellStyle name="Dane wyjściowe 2 6 34 3" xfId="17331"/>
    <cellStyle name="Dane wyjściowe 2 6 35" xfId="17332"/>
    <cellStyle name="Dane wyjściowe 2 6 35 2" xfId="17333"/>
    <cellStyle name="Dane wyjściowe 2 6 35 3" xfId="17334"/>
    <cellStyle name="Dane wyjściowe 2 6 36" xfId="17335"/>
    <cellStyle name="Dane wyjściowe 2 6 36 2" xfId="17336"/>
    <cellStyle name="Dane wyjściowe 2 6 36 3" xfId="17337"/>
    <cellStyle name="Dane wyjściowe 2 6 37" xfId="17338"/>
    <cellStyle name="Dane wyjściowe 2 6 37 2" xfId="17339"/>
    <cellStyle name="Dane wyjściowe 2 6 37 3" xfId="17340"/>
    <cellStyle name="Dane wyjściowe 2 6 38" xfId="17341"/>
    <cellStyle name="Dane wyjściowe 2 6 38 2" xfId="17342"/>
    <cellStyle name="Dane wyjściowe 2 6 38 3" xfId="17343"/>
    <cellStyle name="Dane wyjściowe 2 6 39" xfId="17344"/>
    <cellStyle name="Dane wyjściowe 2 6 39 2" xfId="17345"/>
    <cellStyle name="Dane wyjściowe 2 6 39 3" xfId="17346"/>
    <cellStyle name="Dane wyjściowe 2 6 4" xfId="17347"/>
    <cellStyle name="Dane wyjściowe 2 6 4 2" xfId="17348"/>
    <cellStyle name="Dane wyjściowe 2 6 4 3" xfId="17349"/>
    <cellStyle name="Dane wyjściowe 2 6 4 4" xfId="17350"/>
    <cellStyle name="Dane wyjściowe 2 6 40" xfId="17351"/>
    <cellStyle name="Dane wyjściowe 2 6 40 2" xfId="17352"/>
    <cellStyle name="Dane wyjściowe 2 6 40 3" xfId="17353"/>
    <cellStyle name="Dane wyjściowe 2 6 41" xfId="17354"/>
    <cellStyle name="Dane wyjściowe 2 6 41 2" xfId="17355"/>
    <cellStyle name="Dane wyjściowe 2 6 41 3" xfId="17356"/>
    <cellStyle name="Dane wyjściowe 2 6 42" xfId="17357"/>
    <cellStyle name="Dane wyjściowe 2 6 42 2" xfId="17358"/>
    <cellStyle name="Dane wyjściowe 2 6 42 3" xfId="17359"/>
    <cellStyle name="Dane wyjściowe 2 6 43" xfId="17360"/>
    <cellStyle name="Dane wyjściowe 2 6 43 2" xfId="17361"/>
    <cellStyle name="Dane wyjściowe 2 6 43 3" xfId="17362"/>
    <cellStyle name="Dane wyjściowe 2 6 44" xfId="17363"/>
    <cellStyle name="Dane wyjściowe 2 6 44 2" xfId="17364"/>
    <cellStyle name="Dane wyjściowe 2 6 44 3" xfId="17365"/>
    <cellStyle name="Dane wyjściowe 2 6 45" xfId="17366"/>
    <cellStyle name="Dane wyjściowe 2 6 45 2" xfId="17367"/>
    <cellStyle name="Dane wyjściowe 2 6 45 3" xfId="17368"/>
    <cellStyle name="Dane wyjściowe 2 6 46" xfId="17369"/>
    <cellStyle name="Dane wyjściowe 2 6 46 2" xfId="17370"/>
    <cellStyle name="Dane wyjściowe 2 6 46 3" xfId="17371"/>
    <cellStyle name="Dane wyjściowe 2 6 47" xfId="17372"/>
    <cellStyle name="Dane wyjściowe 2 6 47 2" xfId="17373"/>
    <cellStyle name="Dane wyjściowe 2 6 47 3" xfId="17374"/>
    <cellStyle name="Dane wyjściowe 2 6 48" xfId="17375"/>
    <cellStyle name="Dane wyjściowe 2 6 48 2" xfId="17376"/>
    <cellStyle name="Dane wyjściowe 2 6 48 3" xfId="17377"/>
    <cellStyle name="Dane wyjściowe 2 6 49" xfId="17378"/>
    <cellStyle name="Dane wyjściowe 2 6 49 2" xfId="17379"/>
    <cellStyle name="Dane wyjściowe 2 6 49 3" xfId="17380"/>
    <cellStyle name="Dane wyjściowe 2 6 5" xfId="17381"/>
    <cellStyle name="Dane wyjściowe 2 6 5 2" xfId="17382"/>
    <cellStyle name="Dane wyjściowe 2 6 5 3" xfId="17383"/>
    <cellStyle name="Dane wyjściowe 2 6 5 4" xfId="17384"/>
    <cellStyle name="Dane wyjściowe 2 6 50" xfId="17385"/>
    <cellStyle name="Dane wyjściowe 2 6 50 2" xfId="17386"/>
    <cellStyle name="Dane wyjściowe 2 6 50 3" xfId="17387"/>
    <cellStyle name="Dane wyjściowe 2 6 51" xfId="17388"/>
    <cellStyle name="Dane wyjściowe 2 6 51 2" xfId="17389"/>
    <cellStyle name="Dane wyjściowe 2 6 51 3" xfId="17390"/>
    <cellStyle name="Dane wyjściowe 2 6 52" xfId="17391"/>
    <cellStyle name="Dane wyjściowe 2 6 52 2" xfId="17392"/>
    <cellStyle name="Dane wyjściowe 2 6 52 3" xfId="17393"/>
    <cellStyle name="Dane wyjściowe 2 6 53" xfId="17394"/>
    <cellStyle name="Dane wyjściowe 2 6 53 2" xfId="17395"/>
    <cellStyle name="Dane wyjściowe 2 6 53 3" xfId="17396"/>
    <cellStyle name="Dane wyjściowe 2 6 54" xfId="17397"/>
    <cellStyle name="Dane wyjściowe 2 6 54 2" xfId="17398"/>
    <cellStyle name="Dane wyjściowe 2 6 54 3" xfId="17399"/>
    <cellStyle name="Dane wyjściowe 2 6 55" xfId="17400"/>
    <cellStyle name="Dane wyjściowe 2 6 55 2" xfId="17401"/>
    <cellStyle name="Dane wyjściowe 2 6 55 3" xfId="17402"/>
    <cellStyle name="Dane wyjściowe 2 6 56" xfId="17403"/>
    <cellStyle name="Dane wyjściowe 2 6 56 2" xfId="17404"/>
    <cellStyle name="Dane wyjściowe 2 6 56 3" xfId="17405"/>
    <cellStyle name="Dane wyjściowe 2 6 57" xfId="17406"/>
    <cellStyle name="Dane wyjściowe 2 6 58" xfId="17407"/>
    <cellStyle name="Dane wyjściowe 2 6 6" xfId="17408"/>
    <cellStyle name="Dane wyjściowe 2 6 6 2" xfId="17409"/>
    <cellStyle name="Dane wyjściowe 2 6 6 3" xfId="17410"/>
    <cellStyle name="Dane wyjściowe 2 6 6 4" xfId="17411"/>
    <cellStyle name="Dane wyjściowe 2 6 7" xfId="17412"/>
    <cellStyle name="Dane wyjściowe 2 6 7 2" xfId="17413"/>
    <cellStyle name="Dane wyjściowe 2 6 7 3" xfId="17414"/>
    <cellStyle name="Dane wyjściowe 2 6 7 4" xfId="17415"/>
    <cellStyle name="Dane wyjściowe 2 6 8" xfId="17416"/>
    <cellStyle name="Dane wyjściowe 2 6 8 2" xfId="17417"/>
    <cellStyle name="Dane wyjściowe 2 6 8 3" xfId="17418"/>
    <cellStyle name="Dane wyjściowe 2 6 8 4" xfId="17419"/>
    <cellStyle name="Dane wyjściowe 2 6 9" xfId="17420"/>
    <cellStyle name="Dane wyjściowe 2 6 9 2" xfId="17421"/>
    <cellStyle name="Dane wyjściowe 2 6 9 3" xfId="17422"/>
    <cellStyle name="Dane wyjściowe 2 6 9 4" xfId="17423"/>
    <cellStyle name="Dane wyjściowe 2 60" xfId="17424"/>
    <cellStyle name="Dane wyjściowe 2 60 2" xfId="17425"/>
    <cellStyle name="Dane wyjściowe 2 60 3" xfId="17426"/>
    <cellStyle name="Dane wyjściowe 2 60 4" xfId="17427"/>
    <cellStyle name="Dane wyjściowe 2 61" xfId="17428"/>
    <cellStyle name="Dane wyjściowe 2 61 2" xfId="17429"/>
    <cellStyle name="Dane wyjściowe 2 61 3" xfId="17430"/>
    <cellStyle name="Dane wyjściowe 2 61 4" xfId="17431"/>
    <cellStyle name="Dane wyjściowe 2 62" xfId="17432"/>
    <cellStyle name="Dane wyjściowe 2 62 2" xfId="17433"/>
    <cellStyle name="Dane wyjściowe 2 62 3" xfId="17434"/>
    <cellStyle name="Dane wyjściowe 2 62 4" xfId="17435"/>
    <cellStyle name="Dane wyjściowe 2 63" xfId="17436"/>
    <cellStyle name="Dane wyjściowe 2 63 2" xfId="17437"/>
    <cellStyle name="Dane wyjściowe 2 63 3" xfId="17438"/>
    <cellStyle name="Dane wyjściowe 2 63 4" xfId="17439"/>
    <cellStyle name="Dane wyjściowe 2 64" xfId="17440"/>
    <cellStyle name="Dane wyjściowe 2 64 2" xfId="17441"/>
    <cellStyle name="Dane wyjściowe 2 64 3" xfId="17442"/>
    <cellStyle name="Dane wyjściowe 2 64 4" xfId="17443"/>
    <cellStyle name="Dane wyjściowe 2 65" xfId="17444"/>
    <cellStyle name="Dane wyjściowe 2 65 2" xfId="17445"/>
    <cellStyle name="Dane wyjściowe 2 65 3" xfId="17446"/>
    <cellStyle name="Dane wyjściowe 2 65 4" xfId="17447"/>
    <cellStyle name="Dane wyjściowe 2 66" xfId="17448"/>
    <cellStyle name="Dane wyjściowe 2 66 2" xfId="17449"/>
    <cellStyle name="Dane wyjściowe 2 66 3" xfId="17450"/>
    <cellStyle name="Dane wyjściowe 2 66 4" xfId="17451"/>
    <cellStyle name="Dane wyjściowe 2 67" xfId="17452"/>
    <cellStyle name="Dane wyjściowe 2 67 2" xfId="17453"/>
    <cellStyle name="Dane wyjściowe 2 67 3" xfId="17454"/>
    <cellStyle name="Dane wyjściowe 2 68" xfId="17455"/>
    <cellStyle name="Dane wyjściowe 2 68 2" xfId="17456"/>
    <cellStyle name="Dane wyjściowe 2 68 3" xfId="17457"/>
    <cellStyle name="Dane wyjściowe 2 69" xfId="17458"/>
    <cellStyle name="Dane wyjściowe 2 69 2" xfId="17459"/>
    <cellStyle name="Dane wyjściowe 2 69 3" xfId="17460"/>
    <cellStyle name="Dane wyjściowe 2 7" xfId="17461"/>
    <cellStyle name="Dane wyjściowe 2 7 10" xfId="17462"/>
    <cellStyle name="Dane wyjściowe 2 7 10 2" xfId="17463"/>
    <cellStyle name="Dane wyjściowe 2 7 10 3" xfId="17464"/>
    <cellStyle name="Dane wyjściowe 2 7 10 4" xfId="17465"/>
    <cellStyle name="Dane wyjściowe 2 7 11" xfId="17466"/>
    <cellStyle name="Dane wyjściowe 2 7 11 2" xfId="17467"/>
    <cellStyle name="Dane wyjściowe 2 7 11 3" xfId="17468"/>
    <cellStyle name="Dane wyjściowe 2 7 11 4" xfId="17469"/>
    <cellStyle name="Dane wyjściowe 2 7 12" xfId="17470"/>
    <cellStyle name="Dane wyjściowe 2 7 12 2" xfId="17471"/>
    <cellStyle name="Dane wyjściowe 2 7 12 3" xfId="17472"/>
    <cellStyle name="Dane wyjściowe 2 7 12 4" xfId="17473"/>
    <cellStyle name="Dane wyjściowe 2 7 13" xfId="17474"/>
    <cellStyle name="Dane wyjściowe 2 7 13 2" xfId="17475"/>
    <cellStyle name="Dane wyjściowe 2 7 13 3" xfId="17476"/>
    <cellStyle name="Dane wyjściowe 2 7 13 4" xfId="17477"/>
    <cellStyle name="Dane wyjściowe 2 7 14" xfId="17478"/>
    <cellStyle name="Dane wyjściowe 2 7 14 2" xfId="17479"/>
    <cellStyle name="Dane wyjściowe 2 7 14 3" xfId="17480"/>
    <cellStyle name="Dane wyjściowe 2 7 14 4" xfId="17481"/>
    <cellStyle name="Dane wyjściowe 2 7 15" xfId="17482"/>
    <cellStyle name="Dane wyjściowe 2 7 15 2" xfId="17483"/>
    <cellStyle name="Dane wyjściowe 2 7 15 3" xfId="17484"/>
    <cellStyle name="Dane wyjściowe 2 7 15 4" xfId="17485"/>
    <cellStyle name="Dane wyjściowe 2 7 16" xfId="17486"/>
    <cellStyle name="Dane wyjściowe 2 7 16 2" xfId="17487"/>
    <cellStyle name="Dane wyjściowe 2 7 16 3" xfId="17488"/>
    <cellStyle name="Dane wyjściowe 2 7 16 4" xfId="17489"/>
    <cellStyle name="Dane wyjściowe 2 7 17" xfId="17490"/>
    <cellStyle name="Dane wyjściowe 2 7 17 2" xfId="17491"/>
    <cellStyle name="Dane wyjściowe 2 7 17 3" xfId="17492"/>
    <cellStyle name="Dane wyjściowe 2 7 17 4" xfId="17493"/>
    <cellStyle name="Dane wyjściowe 2 7 18" xfId="17494"/>
    <cellStyle name="Dane wyjściowe 2 7 18 2" xfId="17495"/>
    <cellStyle name="Dane wyjściowe 2 7 18 3" xfId="17496"/>
    <cellStyle name="Dane wyjściowe 2 7 18 4" xfId="17497"/>
    <cellStyle name="Dane wyjściowe 2 7 19" xfId="17498"/>
    <cellStyle name="Dane wyjściowe 2 7 19 2" xfId="17499"/>
    <cellStyle name="Dane wyjściowe 2 7 19 3" xfId="17500"/>
    <cellStyle name="Dane wyjściowe 2 7 19 4" xfId="17501"/>
    <cellStyle name="Dane wyjściowe 2 7 2" xfId="17502"/>
    <cellStyle name="Dane wyjściowe 2 7 2 2" xfId="17503"/>
    <cellStyle name="Dane wyjściowe 2 7 2 3" xfId="17504"/>
    <cellStyle name="Dane wyjściowe 2 7 2 4" xfId="17505"/>
    <cellStyle name="Dane wyjściowe 2 7 20" xfId="17506"/>
    <cellStyle name="Dane wyjściowe 2 7 20 2" xfId="17507"/>
    <cellStyle name="Dane wyjściowe 2 7 20 3" xfId="17508"/>
    <cellStyle name="Dane wyjściowe 2 7 20 4" xfId="17509"/>
    <cellStyle name="Dane wyjściowe 2 7 21" xfId="17510"/>
    <cellStyle name="Dane wyjściowe 2 7 21 2" xfId="17511"/>
    <cellStyle name="Dane wyjściowe 2 7 21 3" xfId="17512"/>
    <cellStyle name="Dane wyjściowe 2 7 22" xfId="17513"/>
    <cellStyle name="Dane wyjściowe 2 7 22 2" xfId="17514"/>
    <cellStyle name="Dane wyjściowe 2 7 22 3" xfId="17515"/>
    <cellStyle name="Dane wyjściowe 2 7 23" xfId="17516"/>
    <cellStyle name="Dane wyjściowe 2 7 23 2" xfId="17517"/>
    <cellStyle name="Dane wyjściowe 2 7 23 3" xfId="17518"/>
    <cellStyle name="Dane wyjściowe 2 7 24" xfId="17519"/>
    <cellStyle name="Dane wyjściowe 2 7 24 2" xfId="17520"/>
    <cellStyle name="Dane wyjściowe 2 7 24 3" xfId="17521"/>
    <cellStyle name="Dane wyjściowe 2 7 25" xfId="17522"/>
    <cellStyle name="Dane wyjściowe 2 7 25 2" xfId="17523"/>
    <cellStyle name="Dane wyjściowe 2 7 25 3" xfId="17524"/>
    <cellStyle name="Dane wyjściowe 2 7 26" xfId="17525"/>
    <cellStyle name="Dane wyjściowe 2 7 26 2" xfId="17526"/>
    <cellStyle name="Dane wyjściowe 2 7 26 3" xfId="17527"/>
    <cellStyle name="Dane wyjściowe 2 7 27" xfId="17528"/>
    <cellStyle name="Dane wyjściowe 2 7 27 2" xfId="17529"/>
    <cellStyle name="Dane wyjściowe 2 7 27 3" xfId="17530"/>
    <cellStyle name="Dane wyjściowe 2 7 28" xfId="17531"/>
    <cellStyle name="Dane wyjściowe 2 7 28 2" xfId="17532"/>
    <cellStyle name="Dane wyjściowe 2 7 28 3" xfId="17533"/>
    <cellStyle name="Dane wyjściowe 2 7 29" xfId="17534"/>
    <cellStyle name="Dane wyjściowe 2 7 29 2" xfId="17535"/>
    <cellStyle name="Dane wyjściowe 2 7 29 3" xfId="17536"/>
    <cellStyle name="Dane wyjściowe 2 7 3" xfId="17537"/>
    <cellStyle name="Dane wyjściowe 2 7 3 2" xfId="17538"/>
    <cellStyle name="Dane wyjściowe 2 7 3 3" xfId="17539"/>
    <cellStyle name="Dane wyjściowe 2 7 3 4" xfId="17540"/>
    <cellStyle name="Dane wyjściowe 2 7 30" xfId="17541"/>
    <cellStyle name="Dane wyjściowe 2 7 30 2" xfId="17542"/>
    <cellStyle name="Dane wyjściowe 2 7 30 3" xfId="17543"/>
    <cellStyle name="Dane wyjściowe 2 7 31" xfId="17544"/>
    <cellStyle name="Dane wyjściowe 2 7 31 2" xfId="17545"/>
    <cellStyle name="Dane wyjściowe 2 7 31 3" xfId="17546"/>
    <cellStyle name="Dane wyjściowe 2 7 32" xfId="17547"/>
    <cellStyle name="Dane wyjściowe 2 7 32 2" xfId="17548"/>
    <cellStyle name="Dane wyjściowe 2 7 32 3" xfId="17549"/>
    <cellStyle name="Dane wyjściowe 2 7 33" xfId="17550"/>
    <cellStyle name="Dane wyjściowe 2 7 33 2" xfId="17551"/>
    <cellStyle name="Dane wyjściowe 2 7 33 3" xfId="17552"/>
    <cellStyle name="Dane wyjściowe 2 7 34" xfId="17553"/>
    <cellStyle name="Dane wyjściowe 2 7 34 2" xfId="17554"/>
    <cellStyle name="Dane wyjściowe 2 7 34 3" xfId="17555"/>
    <cellStyle name="Dane wyjściowe 2 7 35" xfId="17556"/>
    <cellStyle name="Dane wyjściowe 2 7 35 2" xfId="17557"/>
    <cellStyle name="Dane wyjściowe 2 7 35 3" xfId="17558"/>
    <cellStyle name="Dane wyjściowe 2 7 36" xfId="17559"/>
    <cellStyle name="Dane wyjściowe 2 7 36 2" xfId="17560"/>
    <cellStyle name="Dane wyjściowe 2 7 36 3" xfId="17561"/>
    <cellStyle name="Dane wyjściowe 2 7 37" xfId="17562"/>
    <cellStyle name="Dane wyjściowe 2 7 37 2" xfId="17563"/>
    <cellStyle name="Dane wyjściowe 2 7 37 3" xfId="17564"/>
    <cellStyle name="Dane wyjściowe 2 7 38" xfId="17565"/>
    <cellStyle name="Dane wyjściowe 2 7 38 2" xfId="17566"/>
    <cellStyle name="Dane wyjściowe 2 7 38 3" xfId="17567"/>
    <cellStyle name="Dane wyjściowe 2 7 39" xfId="17568"/>
    <cellStyle name="Dane wyjściowe 2 7 39 2" xfId="17569"/>
    <cellStyle name="Dane wyjściowe 2 7 39 3" xfId="17570"/>
    <cellStyle name="Dane wyjściowe 2 7 4" xfId="17571"/>
    <cellStyle name="Dane wyjściowe 2 7 4 2" xfId="17572"/>
    <cellStyle name="Dane wyjściowe 2 7 4 3" xfId="17573"/>
    <cellStyle name="Dane wyjściowe 2 7 4 4" xfId="17574"/>
    <cellStyle name="Dane wyjściowe 2 7 40" xfId="17575"/>
    <cellStyle name="Dane wyjściowe 2 7 40 2" xfId="17576"/>
    <cellStyle name="Dane wyjściowe 2 7 40 3" xfId="17577"/>
    <cellStyle name="Dane wyjściowe 2 7 41" xfId="17578"/>
    <cellStyle name="Dane wyjściowe 2 7 41 2" xfId="17579"/>
    <cellStyle name="Dane wyjściowe 2 7 41 3" xfId="17580"/>
    <cellStyle name="Dane wyjściowe 2 7 42" xfId="17581"/>
    <cellStyle name="Dane wyjściowe 2 7 42 2" xfId="17582"/>
    <cellStyle name="Dane wyjściowe 2 7 42 3" xfId="17583"/>
    <cellStyle name="Dane wyjściowe 2 7 43" xfId="17584"/>
    <cellStyle name="Dane wyjściowe 2 7 43 2" xfId="17585"/>
    <cellStyle name="Dane wyjściowe 2 7 43 3" xfId="17586"/>
    <cellStyle name="Dane wyjściowe 2 7 44" xfId="17587"/>
    <cellStyle name="Dane wyjściowe 2 7 44 2" xfId="17588"/>
    <cellStyle name="Dane wyjściowe 2 7 44 3" xfId="17589"/>
    <cellStyle name="Dane wyjściowe 2 7 45" xfId="17590"/>
    <cellStyle name="Dane wyjściowe 2 7 45 2" xfId="17591"/>
    <cellStyle name="Dane wyjściowe 2 7 45 3" xfId="17592"/>
    <cellStyle name="Dane wyjściowe 2 7 46" xfId="17593"/>
    <cellStyle name="Dane wyjściowe 2 7 46 2" xfId="17594"/>
    <cellStyle name="Dane wyjściowe 2 7 46 3" xfId="17595"/>
    <cellStyle name="Dane wyjściowe 2 7 47" xfId="17596"/>
    <cellStyle name="Dane wyjściowe 2 7 47 2" xfId="17597"/>
    <cellStyle name="Dane wyjściowe 2 7 47 3" xfId="17598"/>
    <cellStyle name="Dane wyjściowe 2 7 48" xfId="17599"/>
    <cellStyle name="Dane wyjściowe 2 7 48 2" xfId="17600"/>
    <cellStyle name="Dane wyjściowe 2 7 48 3" xfId="17601"/>
    <cellStyle name="Dane wyjściowe 2 7 49" xfId="17602"/>
    <cellStyle name="Dane wyjściowe 2 7 49 2" xfId="17603"/>
    <cellStyle name="Dane wyjściowe 2 7 49 3" xfId="17604"/>
    <cellStyle name="Dane wyjściowe 2 7 5" xfId="17605"/>
    <cellStyle name="Dane wyjściowe 2 7 5 2" xfId="17606"/>
    <cellStyle name="Dane wyjściowe 2 7 5 3" xfId="17607"/>
    <cellStyle name="Dane wyjściowe 2 7 5 4" xfId="17608"/>
    <cellStyle name="Dane wyjściowe 2 7 50" xfId="17609"/>
    <cellStyle name="Dane wyjściowe 2 7 50 2" xfId="17610"/>
    <cellStyle name="Dane wyjściowe 2 7 50 3" xfId="17611"/>
    <cellStyle name="Dane wyjściowe 2 7 51" xfId="17612"/>
    <cellStyle name="Dane wyjściowe 2 7 51 2" xfId="17613"/>
    <cellStyle name="Dane wyjściowe 2 7 51 3" xfId="17614"/>
    <cellStyle name="Dane wyjściowe 2 7 52" xfId="17615"/>
    <cellStyle name="Dane wyjściowe 2 7 52 2" xfId="17616"/>
    <cellStyle name="Dane wyjściowe 2 7 52 3" xfId="17617"/>
    <cellStyle name="Dane wyjściowe 2 7 53" xfId="17618"/>
    <cellStyle name="Dane wyjściowe 2 7 53 2" xfId="17619"/>
    <cellStyle name="Dane wyjściowe 2 7 53 3" xfId="17620"/>
    <cellStyle name="Dane wyjściowe 2 7 54" xfId="17621"/>
    <cellStyle name="Dane wyjściowe 2 7 54 2" xfId="17622"/>
    <cellStyle name="Dane wyjściowe 2 7 54 3" xfId="17623"/>
    <cellStyle name="Dane wyjściowe 2 7 55" xfId="17624"/>
    <cellStyle name="Dane wyjściowe 2 7 55 2" xfId="17625"/>
    <cellStyle name="Dane wyjściowe 2 7 55 3" xfId="17626"/>
    <cellStyle name="Dane wyjściowe 2 7 56" xfId="17627"/>
    <cellStyle name="Dane wyjściowe 2 7 56 2" xfId="17628"/>
    <cellStyle name="Dane wyjściowe 2 7 56 3" xfId="17629"/>
    <cellStyle name="Dane wyjściowe 2 7 57" xfId="17630"/>
    <cellStyle name="Dane wyjściowe 2 7 58" xfId="17631"/>
    <cellStyle name="Dane wyjściowe 2 7 6" xfId="17632"/>
    <cellStyle name="Dane wyjściowe 2 7 6 2" xfId="17633"/>
    <cellStyle name="Dane wyjściowe 2 7 6 3" xfId="17634"/>
    <cellStyle name="Dane wyjściowe 2 7 6 4" xfId="17635"/>
    <cellStyle name="Dane wyjściowe 2 7 7" xfId="17636"/>
    <cellStyle name="Dane wyjściowe 2 7 7 2" xfId="17637"/>
    <cellStyle name="Dane wyjściowe 2 7 7 3" xfId="17638"/>
    <cellStyle name="Dane wyjściowe 2 7 7 4" xfId="17639"/>
    <cellStyle name="Dane wyjściowe 2 7 8" xfId="17640"/>
    <cellStyle name="Dane wyjściowe 2 7 8 2" xfId="17641"/>
    <cellStyle name="Dane wyjściowe 2 7 8 3" xfId="17642"/>
    <cellStyle name="Dane wyjściowe 2 7 8 4" xfId="17643"/>
    <cellStyle name="Dane wyjściowe 2 7 9" xfId="17644"/>
    <cellStyle name="Dane wyjściowe 2 7 9 2" xfId="17645"/>
    <cellStyle name="Dane wyjściowe 2 7 9 3" xfId="17646"/>
    <cellStyle name="Dane wyjściowe 2 7 9 4" xfId="17647"/>
    <cellStyle name="Dane wyjściowe 2 70" xfId="17648"/>
    <cellStyle name="Dane wyjściowe 2 70 2" xfId="17649"/>
    <cellStyle name="Dane wyjściowe 2 70 3" xfId="17650"/>
    <cellStyle name="Dane wyjściowe 2 71" xfId="17651"/>
    <cellStyle name="Dane wyjściowe 2 71 2" xfId="17652"/>
    <cellStyle name="Dane wyjściowe 2 71 3" xfId="17653"/>
    <cellStyle name="Dane wyjściowe 2 72" xfId="17654"/>
    <cellStyle name="Dane wyjściowe 2 72 2" xfId="17655"/>
    <cellStyle name="Dane wyjściowe 2 72 3" xfId="17656"/>
    <cellStyle name="Dane wyjściowe 2 73" xfId="17657"/>
    <cellStyle name="Dane wyjściowe 2 73 2" xfId="17658"/>
    <cellStyle name="Dane wyjściowe 2 73 3" xfId="17659"/>
    <cellStyle name="Dane wyjściowe 2 74" xfId="17660"/>
    <cellStyle name="Dane wyjściowe 2 74 2" xfId="17661"/>
    <cellStyle name="Dane wyjściowe 2 74 3" xfId="17662"/>
    <cellStyle name="Dane wyjściowe 2 75" xfId="17663"/>
    <cellStyle name="Dane wyjściowe 2 75 2" xfId="17664"/>
    <cellStyle name="Dane wyjściowe 2 75 3" xfId="17665"/>
    <cellStyle name="Dane wyjściowe 2 76" xfId="17666"/>
    <cellStyle name="Dane wyjściowe 2 76 2" xfId="17667"/>
    <cellStyle name="Dane wyjściowe 2 76 3" xfId="17668"/>
    <cellStyle name="Dane wyjściowe 2 77" xfId="17669"/>
    <cellStyle name="Dane wyjściowe 2 77 2" xfId="17670"/>
    <cellStyle name="Dane wyjściowe 2 77 3" xfId="17671"/>
    <cellStyle name="Dane wyjściowe 2 78" xfId="17672"/>
    <cellStyle name="Dane wyjściowe 2 78 2" xfId="17673"/>
    <cellStyle name="Dane wyjściowe 2 78 3" xfId="17674"/>
    <cellStyle name="Dane wyjściowe 2 79" xfId="17675"/>
    <cellStyle name="Dane wyjściowe 2 79 2" xfId="17676"/>
    <cellStyle name="Dane wyjściowe 2 79 3" xfId="17677"/>
    <cellStyle name="Dane wyjściowe 2 8" xfId="17678"/>
    <cellStyle name="Dane wyjściowe 2 8 10" xfId="17679"/>
    <cellStyle name="Dane wyjściowe 2 8 10 2" xfId="17680"/>
    <cellStyle name="Dane wyjściowe 2 8 10 3" xfId="17681"/>
    <cellStyle name="Dane wyjściowe 2 8 10 4" xfId="17682"/>
    <cellStyle name="Dane wyjściowe 2 8 11" xfId="17683"/>
    <cellStyle name="Dane wyjściowe 2 8 11 2" xfId="17684"/>
    <cellStyle name="Dane wyjściowe 2 8 11 3" xfId="17685"/>
    <cellStyle name="Dane wyjściowe 2 8 11 4" xfId="17686"/>
    <cellStyle name="Dane wyjściowe 2 8 12" xfId="17687"/>
    <cellStyle name="Dane wyjściowe 2 8 12 2" xfId="17688"/>
    <cellStyle name="Dane wyjściowe 2 8 12 3" xfId="17689"/>
    <cellStyle name="Dane wyjściowe 2 8 12 4" xfId="17690"/>
    <cellStyle name="Dane wyjściowe 2 8 13" xfId="17691"/>
    <cellStyle name="Dane wyjściowe 2 8 13 2" xfId="17692"/>
    <cellStyle name="Dane wyjściowe 2 8 13 3" xfId="17693"/>
    <cellStyle name="Dane wyjściowe 2 8 13 4" xfId="17694"/>
    <cellStyle name="Dane wyjściowe 2 8 14" xfId="17695"/>
    <cellStyle name="Dane wyjściowe 2 8 14 2" xfId="17696"/>
    <cellStyle name="Dane wyjściowe 2 8 14 3" xfId="17697"/>
    <cellStyle name="Dane wyjściowe 2 8 14 4" xfId="17698"/>
    <cellStyle name="Dane wyjściowe 2 8 15" xfId="17699"/>
    <cellStyle name="Dane wyjściowe 2 8 15 2" xfId="17700"/>
    <cellStyle name="Dane wyjściowe 2 8 15 3" xfId="17701"/>
    <cellStyle name="Dane wyjściowe 2 8 15 4" xfId="17702"/>
    <cellStyle name="Dane wyjściowe 2 8 16" xfId="17703"/>
    <cellStyle name="Dane wyjściowe 2 8 16 2" xfId="17704"/>
    <cellStyle name="Dane wyjściowe 2 8 16 3" xfId="17705"/>
    <cellStyle name="Dane wyjściowe 2 8 16 4" xfId="17706"/>
    <cellStyle name="Dane wyjściowe 2 8 17" xfId="17707"/>
    <cellStyle name="Dane wyjściowe 2 8 17 2" xfId="17708"/>
    <cellStyle name="Dane wyjściowe 2 8 17 3" xfId="17709"/>
    <cellStyle name="Dane wyjściowe 2 8 17 4" xfId="17710"/>
    <cellStyle name="Dane wyjściowe 2 8 18" xfId="17711"/>
    <cellStyle name="Dane wyjściowe 2 8 18 2" xfId="17712"/>
    <cellStyle name="Dane wyjściowe 2 8 18 3" xfId="17713"/>
    <cellStyle name="Dane wyjściowe 2 8 18 4" xfId="17714"/>
    <cellStyle name="Dane wyjściowe 2 8 19" xfId="17715"/>
    <cellStyle name="Dane wyjściowe 2 8 19 2" xfId="17716"/>
    <cellStyle name="Dane wyjściowe 2 8 19 3" xfId="17717"/>
    <cellStyle name="Dane wyjściowe 2 8 19 4" xfId="17718"/>
    <cellStyle name="Dane wyjściowe 2 8 2" xfId="17719"/>
    <cellStyle name="Dane wyjściowe 2 8 2 2" xfId="17720"/>
    <cellStyle name="Dane wyjściowe 2 8 2 3" xfId="17721"/>
    <cellStyle name="Dane wyjściowe 2 8 2 4" xfId="17722"/>
    <cellStyle name="Dane wyjściowe 2 8 20" xfId="17723"/>
    <cellStyle name="Dane wyjściowe 2 8 20 2" xfId="17724"/>
    <cellStyle name="Dane wyjściowe 2 8 20 3" xfId="17725"/>
    <cellStyle name="Dane wyjściowe 2 8 20 4" xfId="17726"/>
    <cellStyle name="Dane wyjściowe 2 8 21" xfId="17727"/>
    <cellStyle name="Dane wyjściowe 2 8 21 2" xfId="17728"/>
    <cellStyle name="Dane wyjściowe 2 8 21 3" xfId="17729"/>
    <cellStyle name="Dane wyjściowe 2 8 22" xfId="17730"/>
    <cellStyle name="Dane wyjściowe 2 8 22 2" xfId="17731"/>
    <cellStyle name="Dane wyjściowe 2 8 22 3" xfId="17732"/>
    <cellStyle name="Dane wyjściowe 2 8 23" xfId="17733"/>
    <cellStyle name="Dane wyjściowe 2 8 23 2" xfId="17734"/>
    <cellStyle name="Dane wyjściowe 2 8 23 3" xfId="17735"/>
    <cellStyle name="Dane wyjściowe 2 8 24" xfId="17736"/>
    <cellStyle name="Dane wyjściowe 2 8 24 2" xfId="17737"/>
    <cellStyle name="Dane wyjściowe 2 8 24 3" xfId="17738"/>
    <cellStyle name="Dane wyjściowe 2 8 25" xfId="17739"/>
    <cellStyle name="Dane wyjściowe 2 8 25 2" xfId="17740"/>
    <cellStyle name="Dane wyjściowe 2 8 25 3" xfId="17741"/>
    <cellStyle name="Dane wyjściowe 2 8 26" xfId="17742"/>
    <cellStyle name="Dane wyjściowe 2 8 26 2" xfId="17743"/>
    <cellStyle name="Dane wyjściowe 2 8 26 3" xfId="17744"/>
    <cellStyle name="Dane wyjściowe 2 8 27" xfId="17745"/>
    <cellStyle name="Dane wyjściowe 2 8 27 2" xfId="17746"/>
    <cellStyle name="Dane wyjściowe 2 8 27 3" xfId="17747"/>
    <cellStyle name="Dane wyjściowe 2 8 28" xfId="17748"/>
    <cellStyle name="Dane wyjściowe 2 8 28 2" xfId="17749"/>
    <cellStyle name="Dane wyjściowe 2 8 28 3" xfId="17750"/>
    <cellStyle name="Dane wyjściowe 2 8 29" xfId="17751"/>
    <cellStyle name="Dane wyjściowe 2 8 29 2" xfId="17752"/>
    <cellStyle name="Dane wyjściowe 2 8 29 3" xfId="17753"/>
    <cellStyle name="Dane wyjściowe 2 8 3" xfId="17754"/>
    <cellStyle name="Dane wyjściowe 2 8 3 2" xfId="17755"/>
    <cellStyle name="Dane wyjściowe 2 8 3 3" xfId="17756"/>
    <cellStyle name="Dane wyjściowe 2 8 3 4" xfId="17757"/>
    <cellStyle name="Dane wyjściowe 2 8 30" xfId="17758"/>
    <cellStyle name="Dane wyjściowe 2 8 30 2" xfId="17759"/>
    <cellStyle name="Dane wyjściowe 2 8 30 3" xfId="17760"/>
    <cellStyle name="Dane wyjściowe 2 8 31" xfId="17761"/>
    <cellStyle name="Dane wyjściowe 2 8 31 2" xfId="17762"/>
    <cellStyle name="Dane wyjściowe 2 8 31 3" xfId="17763"/>
    <cellStyle name="Dane wyjściowe 2 8 32" xfId="17764"/>
    <cellStyle name="Dane wyjściowe 2 8 32 2" xfId="17765"/>
    <cellStyle name="Dane wyjściowe 2 8 32 3" xfId="17766"/>
    <cellStyle name="Dane wyjściowe 2 8 33" xfId="17767"/>
    <cellStyle name="Dane wyjściowe 2 8 33 2" xfId="17768"/>
    <cellStyle name="Dane wyjściowe 2 8 33 3" xfId="17769"/>
    <cellStyle name="Dane wyjściowe 2 8 34" xfId="17770"/>
    <cellStyle name="Dane wyjściowe 2 8 34 2" xfId="17771"/>
    <cellStyle name="Dane wyjściowe 2 8 34 3" xfId="17772"/>
    <cellStyle name="Dane wyjściowe 2 8 35" xfId="17773"/>
    <cellStyle name="Dane wyjściowe 2 8 35 2" xfId="17774"/>
    <cellStyle name="Dane wyjściowe 2 8 35 3" xfId="17775"/>
    <cellStyle name="Dane wyjściowe 2 8 36" xfId="17776"/>
    <cellStyle name="Dane wyjściowe 2 8 36 2" xfId="17777"/>
    <cellStyle name="Dane wyjściowe 2 8 36 3" xfId="17778"/>
    <cellStyle name="Dane wyjściowe 2 8 37" xfId="17779"/>
    <cellStyle name="Dane wyjściowe 2 8 37 2" xfId="17780"/>
    <cellStyle name="Dane wyjściowe 2 8 37 3" xfId="17781"/>
    <cellStyle name="Dane wyjściowe 2 8 38" xfId="17782"/>
    <cellStyle name="Dane wyjściowe 2 8 38 2" xfId="17783"/>
    <cellStyle name="Dane wyjściowe 2 8 38 3" xfId="17784"/>
    <cellStyle name="Dane wyjściowe 2 8 39" xfId="17785"/>
    <cellStyle name="Dane wyjściowe 2 8 39 2" xfId="17786"/>
    <cellStyle name="Dane wyjściowe 2 8 39 3" xfId="17787"/>
    <cellStyle name="Dane wyjściowe 2 8 4" xfId="17788"/>
    <cellStyle name="Dane wyjściowe 2 8 4 2" xfId="17789"/>
    <cellStyle name="Dane wyjściowe 2 8 4 3" xfId="17790"/>
    <cellStyle name="Dane wyjściowe 2 8 4 4" xfId="17791"/>
    <cellStyle name="Dane wyjściowe 2 8 40" xfId="17792"/>
    <cellStyle name="Dane wyjściowe 2 8 40 2" xfId="17793"/>
    <cellStyle name="Dane wyjściowe 2 8 40 3" xfId="17794"/>
    <cellStyle name="Dane wyjściowe 2 8 41" xfId="17795"/>
    <cellStyle name="Dane wyjściowe 2 8 41 2" xfId="17796"/>
    <cellStyle name="Dane wyjściowe 2 8 41 3" xfId="17797"/>
    <cellStyle name="Dane wyjściowe 2 8 42" xfId="17798"/>
    <cellStyle name="Dane wyjściowe 2 8 42 2" xfId="17799"/>
    <cellStyle name="Dane wyjściowe 2 8 42 3" xfId="17800"/>
    <cellStyle name="Dane wyjściowe 2 8 43" xfId="17801"/>
    <cellStyle name="Dane wyjściowe 2 8 43 2" xfId="17802"/>
    <cellStyle name="Dane wyjściowe 2 8 43 3" xfId="17803"/>
    <cellStyle name="Dane wyjściowe 2 8 44" xfId="17804"/>
    <cellStyle name="Dane wyjściowe 2 8 44 2" xfId="17805"/>
    <cellStyle name="Dane wyjściowe 2 8 44 3" xfId="17806"/>
    <cellStyle name="Dane wyjściowe 2 8 45" xfId="17807"/>
    <cellStyle name="Dane wyjściowe 2 8 45 2" xfId="17808"/>
    <cellStyle name="Dane wyjściowe 2 8 45 3" xfId="17809"/>
    <cellStyle name="Dane wyjściowe 2 8 46" xfId="17810"/>
    <cellStyle name="Dane wyjściowe 2 8 46 2" xfId="17811"/>
    <cellStyle name="Dane wyjściowe 2 8 46 3" xfId="17812"/>
    <cellStyle name="Dane wyjściowe 2 8 47" xfId="17813"/>
    <cellStyle name="Dane wyjściowe 2 8 47 2" xfId="17814"/>
    <cellStyle name="Dane wyjściowe 2 8 47 3" xfId="17815"/>
    <cellStyle name="Dane wyjściowe 2 8 48" xfId="17816"/>
    <cellStyle name="Dane wyjściowe 2 8 48 2" xfId="17817"/>
    <cellStyle name="Dane wyjściowe 2 8 48 3" xfId="17818"/>
    <cellStyle name="Dane wyjściowe 2 8 49" xfId="17819"/>
    <cellStyle name="Dane wyjściowe 2 8 49 2" xfId="17820"/>
    <cellStyle name="Dane wyjściowe 2 8 49 3" xfId="17821"/>
    <cellStyle name="Dane wyjściowe 2 8 5" xfId="17822"/>
    <cellStyle name="Dane wyjściowe 2 8 5 2" xfId="17823"/>
    <cellStyle name="Dane wyjściowe 2 8 5 3" xfId="17824"/>
    <cellStyle name="Dane wyjściowe 2 8 5 4" xfId="17825"/>
    <cellStyle name="Dane wyjściowe 2 8 50" xfId="17826"/>
    <cellStyle name="Dane wyjściowe 2 8 50 2" xfId="17827"/>
    <cellStyle name="Dane wyjściowe 2 8 50 3" xfId="17828"/>
    <cellStyle name="Dane wyjściowe 2 8 51" xfId="17829"/>
    <cellStyle name="Dane wyjściowe 2 8 51 2" xfId="17830"/>
    <cellStyle name="Dane wyjściowe 2 8 51 3" xfId="17831"/>
    <cellStyle name="Dane wyjściowe 2 8 52" xfId="17832"/>
    <cellStyle name="Dane wyjściowe 2 8 52 2" xfId="17833"/>
    <cellStyle name="Dane wyjściowe 2 8 52 3" xfId="17834"/>
    <cellStyle name="Dane wyjściowe 2 8 53" xfId="17835"/>
    <cellStyle name="Dane wyjściowe 2 8 53 2" xfId="17836"/>
    <cellStyle name="Dane wyjściowe 2 8 53 3" xfId="17837"/>
    <cellStyle name="Dane wyjściowe 2 8 54" xfId="17838"/>
    <cellStyle name="Dane wyjściowe 2 8 54 2" xfId="17839"/>
    <cellStyle name="Dane wyjściowe 2 8 54 3" xfId="17840"/>
    <cellStyle name="Dane wyjściowe 2 8 55" xfId="17841"/>
    <cellStyle name="Dane wyjściowe 2 8 55 2" xfId="17842"/>
    <cellStyle name="Dane wyjściowe 2 8 55 3" xfId="17843"/>
    <cellStyle name="Dane wyjściowe 2 8 56" xfId="17844"/>
    <cellStyle name="Dane wyjściowe 2 8 56 2" xfId="17845"/>
    <cellStyle name="Dane wyjściowe 2 8 56 3" xfId="17846"/>
    <cellStyle name="Dane wyjściowe 2 8 57" xfId="17847"/>
    <cellStyle name="Dane wyjściowe 2 8 58" xfId="17848"/>
    <cellStyle name="Dane wyjściowe 2 8 6" xfId="17849"/>
    <cellStyle name="Dane wyjściowe 2 8 6 2" xfId="17850"/>
    <cellStyle name="Dane wyjściowe 2 8 6 3" xfId="17851"/>
    <cellStyle name="Dane wyjściowe 2 8 6 4" xfId="17852"/>
    <cellStyle name="Dane wyjściowe 2 8 7" xfId="17853"/>
    <cellStyle name="Dane wyjściowe 2 8 7 2" xfId="17854"/>
    <cellStyle name="Dane wyjściowe 2 8 7 3" xfId="17855"/>
    <cellStyle name="Dane wyjściowe 2 8 7 4" xfId="17856"/>
    <cellStyle name="Dane wyjściowe 2 8 8" xfId="17857"/>
    <cellStyle name="Dane wyjściowe 2 8 8 2" xfId="17858"/>
    <cellStyle name="Dane wyjściowe 2 8 8 3" xfId="17859"/>
    <cellStyle name="Dane wyjściowe 2 8 8 4" xfId="17860"/>
    <cellStyle name="Dane wyjściowe 2 8 9" xfId="17861"/>
    <cellStyle name="Dane wyjściowe 2 8 9 2" xfId="17862"/>
    <cellStyle name="Dane wyjściowe 2 8 9 3" xfId="17863"/>
    <cellStyle name="Dane wyjściowe 2 8 9 4" xfId="17864"/>
    <cellStyle name="Dane wyjściowe 2 80" xfId="17865"/>
    <cellStyle name="Dane wyjściowe 2 80 2" xfId="17866"/>
    <cellStyle name="Dane wyjściowe 2 80 3" xfId="17867"/>
    <cellStyle name="Dane wyjściowe 2 81" xfId="17868"/>
    <cellStyle name="Dane wyjściowe 2 81 2" xfId="17869"/>
    <cellStyle name="Dane wyjściowe 2 81 3" xfId="17870"/>
    <cellStyle name="Dane wyjściowe 2 82" xfId="17871"/>
    <cellStyle name="Dane wyjściowe 2 82 2" xfId="17872"/>
    <cellStyle name="Dane wyjściowe 2 82 3" xfId="17873"/>
    <cellStyle name="Dane wyjściowe 2 83" xfId="17874"/>
    <cellStyle name="Dane wyjściowe 2 83 2" xfId="17875"/>
    <cellStyle name="Dane wyjściowe 2 83 3" xfId="17876"/>
    <cellStyle name="Dane wyjściowe 2 84" xfId="17877"/>
    <cellStyle name="Dane wyjściowe 2 84 2" xfId="17878"/>
    <cellStyle name="Dane wyjściowe 2 84 3" xfId="17879"/>
    <cellStyle name="Dane wyjściowe 2 85" xfId="17880"/>
    <cellStyle name="Dane wyjściowe 2 85 2" xfId="17881"/>
    <cellStyle name="Dane wyjściowe 2 85 3" xfId="17882"/>
    <cellStyle name="Dane wyjściowe 2 86" xfId="17883"/>
    <cellStyle name="Dane wyjściowe 2 86 2" xfId="17884"/>
    <cellStyle name="Dane wyjściowe 2 86 3" xfId="17885"/>
    <cellStyle name="Dane wyjściowe 2 87" xfId="17886"/>
    <cellStyle name="Dane wyjściowe 2 87 2" xfId="17887"/>
    <cellStyle name="Dane wyjściowe 2 87 3" xfId="17888"/>
    <cellStyle name="Dane wyjściowe 2 88" xfId="17889"/>
    <cellStyle name="Dane wyjściowe 2 89" xfId="17890"/>
    <cellStyle name="Dane wyjściowe 2 9" xfId="17891"/>
    <cellStyle name="Dane wyjściowe 2 9 10" xfId="17892"/>
    <cellStyle name="Dane wyjściowe 2 9 10 2" xfId="17893"/>
    <cellStyle name="Dane wyjściowe 2 9 10 3" xfId="17894"/>
    <cellStyle name="Dane wyjściowe 2 9 10 4" xfId="17895"/>
    <cellStyle name="Dane wyjściowe 2 9 11" xfId="17896"/>
    <cellStyle name="Dane wyjściowe 2 9 11 2" xfId="17897"/>
    <cellStyle name="Dane wyjściowe 2 9 11 3" xfId="17898"/>
    <cellStyle name="Dane wyjściowe 2 9 11 4" xfId="17899"/>
    <cellStyle name="Dane wyjściowe 2 9 12" xfId="17900"/>
    <cellStyle name="Dane wyjściowe 2 9 12 2" xfId="17901"/>
    <cellStyle name="Dane wyjściowe 2 9 12 3" xfId="17902"/>
    <cellStyle name="Dane wyjściowe 2 9 12 4" xfId="17903"/>
    <cellStyle name="Dane wyjściowe 2 9 13" xfId="17904"/>
    <cellStyle name="Dane wyjściowe 2 9 13 2" xfId="17905"/>
    <cellStyle name="Dane wyjściowe 2 9 13 3" xfId="17906"/>
    <cellStyle name="Dane wyjściowe 2 9 13 4" xfId="17907"/>
    <cellStyle name="Dane wyjściowe 2 9 14" xfId="17908"/>
    <cellStyle name="Dane wyjściowe 2 9 14 2" xfId="17909"/>
    <cellStyle name="Dane wyjściowe 2 9 14 3" xfId="17910"/>
    <cellStyle name="Dane wyjściowe 2 9 14 4" xfId="17911"/>
    <cellStyle name="Dane wyjściowe 2 9 15" xfId="17912"/>
    <cellStyle name="Dane wyjściowe 2 9 15 2" xfId="17913"/>
    <cellStyle name="Dane wyjściowe 2 9 15 3" xfId="17914"/>
    <cellStyle name="Dane wyjściowe 2 9 15 4" xfId="17915"/>
    <cellStyle name="Dane wyjściowe 2 9 16" xfId="17916"/>
    <cellStyle name="Dane wyjściowe 2 9 16 2" xfId="17917"/>
    <cellStyle name="Dane wyjściowe 2 9 16 3" xfId="17918"/>
    <cellStyle name="Dane wyjściowe 2 9 16 4" xfId="17919"/>
    <cellStyle name="Dane wyjściowe 2 9 17" xfId="17920"/>
    <cellStyle name="Dane wyjściowe 2 9 17 2" xfId="17921"/>
    <cellStyle name="Dane wyjściowe 2 9 17 3" xfId="17922"/>
    <cellStyle name="Dane wyjściowe 2 9 17 4" xfId="17923"/>
    <cellStyle name="Dane wyjściowe 2 9 18" xfId="17924"/>
    <cellStyle name="Dane wyjściowe 2 9 18 2" xfId="17925"/>
    <cellStyle name="Dane wyjściowe 2 9 18 3" xfId="17926"/>
    <cellStyle name="Dane wyjściowe 2 9 18 4" xfId="17927"/>
    <cellStyle name="Dane wyjściowe 2 9 19" xfId="17928"/>
    <cellStyle name="Dane wyjściowe 2 9 19 2" xfId="17929"/>
    <cellStyle name="Dane wyjściowe 2 9 19 3" xfId="17930"/>
    <cellStyle name="Dane wyjściowe 2 9 19 4" xfId="17931"/>
    <cellStyle name="Dane wyjściowe 2 9 2" xfId="17932"/>
    <cellStyle name="Dane wyjściowe 2 9 2 2" xfId="17933"/>
    <cellStyle name="Dane wyjściowe 2 9 2 3" xfId="17934"/>
    <cellStyle name="Dane wyjściowe 2 9 2 4" xfId="17935"/>
    <cellStyle name="Dane wyjściowe 2 9 20" xfId="17936"/>
    <cellStyle name="Dane wyjściowe 2 9 20 2" xfId="17937"/>
    <cellStyle name="Dane wyjściowe 2 9 20 3" xfId="17938"/>
    <cellStyle name="Dane wyjściowe 2 9 20 4" xfId="17939"/>
    <cellStyle name="Dane wyjściowe 2 9 21" xfId="17940"/>
    <cellStyle name="Dane wyjściowe 2 9 21 2" xfId="17941"/>
    <cellStyle name="Dane wyjściowe 2 9 21 3" xfId="17942"/>
    <cellStyle name="Dane wyjściowe 2 9 22" xfId="17943"/>
    <cellStyle name="Dane wyjściowe 2 9 22 2" xfId="17944"/>
    <cellStyle name="Dane wyjściowe 2 9 22 3" xfId="17945"/>
    <cellStyle name="Dane wyjściowe 2 9 23" xfId="17946"/>
    <cellStyle name="Dane wyjściowe 2 9 23 2" xfId="17947"/>
    <cellStyle name="Dane wyjściowe 2 9 23 3" xfId="17948"/>
    <cellStyle name="Dane wyjściowe 2 9 24" xfId="17949"/>
    <cellStyle name="Dane wyjściowe 2 9 24 2" xfId="17950"/>
    <cellStyle name="Dane wyjściowe 2 9 24 3" xfId="17951"/>
    <cellStyle name="Dane wyjściowe 2 9 25" xfId="17952"/>
    <cellStyle name="Dane wyjściowe 2 9 25 2" xfId="17953"/>
    <cellStyle name="Dane wyjściowe 2 9 25 3" xfId="17954"/>
    <cellStyle name="Dane wyjściowe 2 9 26" xfId="17955"/>
    <cellStyle name="Dane wyjściowe 2 9 26 2" xfId="17956"/>
    <cellStyle name="Dane wyjściowe 2 9 26 3" xfId="17957"/>
    <cellStyle name="Dane wyjściowe 2 9 27" xfId="17958"/>
    <cellStyle name="Dane wyjściowe 2 9 27 2" xfId="17959"/>
    <cellStyle name="Dane wyjściowe 2 9 27 3" xfId="17960"/>
    <cellStyle name="Dane wyjściowe 2 9 28" xfId="17961"/>
    <cellStyle name="Dane wyjściowe 2 9 28 2" xfId="17962"/>
    <cellStyle name="Dane wyjściowe 2 9 28 3" xfId="17963"/>
    <cellStyle name="Dane wyjściowe 2 9 29" xfId="17964"/>
    <cellStyle name="Dane wyjściowe 2 9 29 2" xfId="17965"/>
    <cellStyle name="Dane wyjściowe 2 9 29 3" xfId="17966"/>
    <cellStyle name="Dane wyjściowe 2 9 3" xfId="17967"/>
    <cellStyle name="Dane wyjściowe 2 9 3 2" xfId="17968"/>
    <cellStyle name="Dane wyjściowe 2 9 3 3" xfId="17969"/>
    <cellStyle name="Dane wyjściowe 2 9 3 4" xfId="17970"/>
    <cellStyle name="Dane wyjściowe 2 9 30" xfId="17971"/>
    <cellStyle name="Dane wyjściowe 2 9 30 2" xfId="17972"/>
    <cellStyle name="Dane wyjściowe 2 9 30 3" xfId="17973"/>
    <cellStyle name="Dane wyjściowe 2 9 31" xfId="17974"/>
    <cellStyle name="Dane wyjściowe 2 9 31 2" xfId="17975"/>
    <cellStyle name="Dane wyjściowe 2 9 31 3" xfId="17976"/>
    <cellStyle name="Dane wyjściowe 2 9 32" xfId="17977"/>
    <cellStyle name="Dane wyjściowe 2 9 32 2" xfId="17978"/>
    <cellStyle name="Dane wyjściowe 2 9 32 3" xfId="17979"/>
    <cellStyle name="Dane wyjściowe 2 9 33" xfId="17980"/>
    <cellStyle name="Dane wyjściowe 2 9 33 2" xfId="17981"/>
    <cellStyle name="Dane wyjściowe 2 9 33 3" xfId="17982"/>
    <cellStyle name="Dane wyjściowe 2 9 34" xfId="17983"/>
    <cellStyle name="Dane wyjściowe 2 9 34 2" xfId="17984"/>
    <cellStyle name="Dane wyjściowe 2 9 34 3" xfId="17985"/>
    <cellStyle name="Dane wyjściowe 2 9 35" xfId="17986"/>
    <cellStyle name="Dane wyjściowe 2 9 35 2" xfId="17987"/>
    <cellStyle name="Dane wyjściowe 2 9 35 3" xfId="17988"/>
    <cellStyle name="Dane wyjściowe 2 9 36" xfId="17989"/>
    <cellStyle name="Dane wyjściowe 2 9 36 2" xfId="17990"/>
    <cellStyle name="Dane wyjściowe 2 9 36 3" xfId="17991"/>
    <cellStyle name="Dane wyjściowe 2 9 37" xfId="17992"/>
    <cellStyle name="Dane wyjściowe 2 9 37 2" xfId="17993"/>
    <cellStyle name="Dane wyjściowe 2 9 37 3" xfId="17994"/>
    <cellStyle name="Dane wyjściowe 2 9 38" xfId="17995"/>
    <cellStyle name="Dane wyjściowe 2 9 38 2" xfId="17996"/>
    <cellStyle name="Dane wyjściowe 2 9 38 3" xfId="17997"/>
    <cellStyle name="Dane wyjściowe 2 9 39" xfId="17998"/>
    <cellStyle name="Dane wyjściowe 2 9 39 2" xfId="17999"/>
    <cellStyle name="Dane wyjściowe 2 9 39 3" xfId="18000"/>
    <cellStyle name="Dane wyjściowe 2 9 4" xfId="18001"/>
    <cellStyle name="Dane wyjściowe 2 9 4 2" xfId="18002"/>
    <cellStyle name="Dane wyjściowe 2 9 4 3" xfId="18003"/>
    <cellStyle name="Dane wyjściowe 2 9 4 4" xfId="18004"/>
    <cellStyle name="Dane wyjściowe 2 9 40" xfId="18005"/>
    <cellStyle name="Dane wyjściowe 2 9 40 2" xfId="18006"/>
    <cellStyle name="Dane wyjściowe 2 9 40 3" xfId="18007"/>
    <cellStyle name="Dane wyjściowe 2 9 41" xfId="18008"/>
    <cellStyle name="Dane wyjściowe 2 9 41 2" xfId="18009"/>
    <cellStyle name="Dane wyjściowe 2 9 41 3" xfId="18010"/>
    <cellStyle name="Dane wyjściowe 2 9 42" xfId="18011"/>
    <cellStyle name="Dane wyjściowe 2 9 42 2" xfId="18012"/>
    <cellStyle name="Dane wyjściowe 2 9 42 3" xfId="18013"/>
    <cellStyle name="Dane wyjściowe 2 9 43" xfId="18014"/>
    <cellStyle name="Dane wyjściowe 2 9 43 2" xfId="18015"/>
    <cellStyle name="Dane wyjściowe 2 9 43 3" xfId="18016"/>
    <cellStyle name="Dane wyjściowe 2 9 44" xfId="18017"/>
    <cellStyle name="Dane wyjściowe 2 9 44 2" xfId="18018"/>
    <cellStyle name="Dane wyjściowe 2 9 44 3" xfId="18019"/>
    <cellStyle name="Dane wyjściowe 2 9 45" xfId="18020"/>
    <cellStyle name="Dane wyjściowe 2 9 45 2" xfId="18021"/>
    <cellStyle name="Dane wyjściowe 2 9 45 3" xfId="18022"/>
    <cellStyle name="Dane wyjściowe 2 9 46" xfId="18023"/>
    <cellStyle name="Dane wyjściowe 2 9 46 2" xfId="18024"/>
    <cellStyle name="Dane wyjściowe 2 9 46 3" xfId="18025"/>
    <cellStyle name="Dane wyjściowe 2 9 47" xfId="18026"/>
    <cellStyle name="Dane wyjściowe 2 9 47 2" xfId="18027"/>
    <cellStyle name="Dane wyjściowe 2 9 47 3" xfId="18028"/>
    <cellStyle name="Dane wyjściowe 2 9 48" xfId="18029"/>
    <cellStyle name="Dane wyjściowe 2 9 48 2" xfId="18030"/>
    <cellStyle name="Dane wyjściowe 2 9 48 3" xfId="18031"/>
    <cellStyle name="Dane wyjściowe 2 9 49" xfId="18032"/>
    <cellStyle name="Dane wyjściowe 2 9 49 2" xfId="18033"/>
    <cellStyle name="Dane wyjściowe 2 9 49 3" xfId="18034"/>
    <cellStyle name="Dane wyjściowe 2 9 5" xfId="18035"/>
    <cellStyle name="Dane wyjściowe 2 9 5 2" xfId="18036"/>
    <cellStyle name="Dane wyjściowe 2 9 5 3" xfId="18037"/>
    <cellStyle name="Dane wyjściowe 2 9 5 4" xfId="18038"/>
    <cellStyle name="Dane wyjściowe 2 9 50" xfId="18039"/>
    <cellStyle name="Dane wyjściowe 2 9 50 2" xfId="18040"/>
    <cellStyle name="Dane wyjściowe 2 9 50 3" xfId="18041"/>
    <cellStyle name="Dane wyjściowe 2 9 51" xfId="18042"/>
    <cellStyle name="Dane wyjściowe 2 9 51 2" xfId="18043"/>
    <cellStyle name="Dane wyjściowe 2 9 51 3" xfId="18044"/>
    <cellStyle name="Dane wyjściowe 2 9 52" xfId="18045"/>
    <cellStyle name="Dane wyjściowe 2 9 52 2" xfId="18046"/>
    <cellStyle name="Dane wyjściowe 2 9 52 3" xfId="18047"/>
    <cellStyle name="Dane wyjściowe 2 9 53" xfId="18048"/>
    <cellStyle name="Dane wyjściowe 2 9 53 2" xfId="18049"/>
    <cellStyle name="Dane wyjściowe 2 9 53 3" xfId="18050"/>
    <cellStyle name="Dane wyjściowe 2 9 54" xfId="18051"/>
    <cellStyle name="Dane wyjściowe 2 9 54 2" xfId="18052"/>
    <cellStyle name="Dane wyjściowe 2 9 54 3" xfId="18053"/>
    <cellStyle name="Dane wyjściowe 2 9 55" xfId="18054"/>
    <cellStyle name="Dane wyjściowe 2 9 55 2" xfId="18055"/>
    <cellStyle name="Dane wyjściowe 2 9 55 3" xfId="18056"/>
    <cellStyle name="Dane wyjściowe 2 9 56" xfId="18057"/>
    <cellStyle name="Dane wyjściowe 2 9 56 2" xfId="18058"/>
    <cellStyle name="Dane wyjściowe 2 9 56 3" xfId="18059"/>
    <cellStyle name="Dane wyjściowe 2 9 57" xfId="18060"/>
    <cellStyle name="Dane wyjściowe 2 9 58" xfId="18061"/>
    <cellStyle name="Dane wyjściowe 2 9 6" xfId="18062"/>
    <cellStyle name="Dane wyjściowe 2 9 6 2" xfId="18063"/>
    <cellStyle name="Dane wyjściowe 2 9 6 3" xfId="18064"/>
    <cellStyle name="Dane wyjściowe 2 9 6 4" xfId="18065"/>
    <cellStyle name="Dane wyjściowe 2 9 7" xfId="18066"/>
    <cellStyle name="Dane wyjściowe 2 9 7 2" xfId="18067"/>
    <cellStyle name="Dane wyjściowe 2 9 7 3" xfId="18068"/>
    <cellStyle name="Dane wyjściowe 2 9 7 4" xfId="18069"/>
    <cellStyle name="Dane wyjściowe 2 9 8" xfId="18070"/>
    <cellStyle name="Dane wyjściowe 2 9 8 2" xfId="18071"/>
    <cellStyle name="Dane wyjściowe 2 9 8 3" xfId="18072"/>
    <cellStyle name="Dane wyjściowe 2 9 8 4" xfId="18073"/>
    <cellStyle name="Dane wyjściowe 2 9 9" xfId="18074"/>
    <cellStyle name="Dane wyjściowe 2 9 9 2" xfId="18075"/>
    <cellStyle name="Dane wyjściowe 2 9 9 3" xfId="18076"/>
    <cellStyle name="Dane wyjściowe 2 9 9 4" xfId="18077"/>
    <cellStyle name="Dane wyjściowe 3" xfId="18078"/>
    <cellStyle name="Dane wyjściowe 3 2" xfId="18079"/>
    <cellStyle name="Dane wyjściowe 3 2 2" xfId="18080"/>
    <cellStyle name="Dane wyjściowe 3 3" xfId="18081"/>
    <cellStyle name="Dane wyjściowe 3 4" xfId="18082"/>
    <cellStyle name="Dane wyjściowe 3 5" xfId="18083"/>
    <cellStyle name="Dane wyjściowe 3 6" xfId="18084"/>
    <cellStyle name="Dane wyjściowe 3 7" xfId="18085"/>
    <cellStyle name="Dane wyjściowe 3 8" xfId="18086"/>
    <cellStyle name="Dane wyjściowe 3 9" xfId="18087"/>
    <cellStyle name="Dane wyjściowe 4" xfId="18088"/>
    <cellStyle name="Dane wyjściowe 4 2" xfId="18089"/>
    <cellStyle name="Dane wyjściowe 4 3" xfId="18090"/>
    <cellStyle name="Dane wyjściowe 4 4" xfId="18091"/>
    <cellStyle name="Dane wyjściowe 4 5" xfId="18092"/>
    <cellStyle name="Dane wyjściowe 4 6" xfId="18093"/>
    <cellStyle name="Dane wyjściowe 4 7" xfId="18094"/>
    <cellStyle name="Dane wyjściowe 4 8" xfId="18095"/>
    <cellStyle name="Dane wyjściowe 4 9" xfId="18096"/>
    <cellStyle name="Dane wyjściowe 5" xfId="18097"/>
    <cellStyle name="Dane wyjściowe 5 2" xfId="18098"/>
    <cellStyle name="Dane wyjściowe 5 3" xfId="18099"/>
    <cellStyle name="Dane wyjściowe 6" xfId="18100"/>
    <cellStyle name="Dane wyjściowe 6 2" xfId="18101"/>
    <cellStyle name="Dane wyjściowe 7" xfId="18102"/>
    <cellStyle name="Dobre 2" xfId="18103"/>
    <cellStyle name="Dobre 2 10" xfId="18104"/>
    <cellStyle name="Dobre 2 10 2" xfId="18105"/>
    <cellStyle name="Dobre 2 10 3" xfId="18106"/>
    <cellStyle name="Dobre 2 10 4" xfId="18107"/>
    <cellStyle name="Dobre 2 10 5" xfId="18108"/>
    <cellStyle name="Dobre 2 10 6" xfId="18109"/>
    <cellStyle name="Dobre 2 10 7" xfId="18110"/>
    <cellStyle name="Dobre 2 11" xfId="18111"/>
    <cellStyle name="Dobre 2 11 2" xfId="18112"/>
    <cellStyle name="Dobre 2 11 3" xfId="18113"/>
    <cellStyle name="Dobre 2 11 4" xfId="18114"/>
    <cellStyle name="Dobre 2 11 5" xfId="18115"/>
    <cellStyle name="Dobre 2 11 6" xfId="18116"/>
    <cellStyle name="Dobre 2 11 7" xfId="18117"/>
    <cellStyle name="Dobre 2 12" xfId="18118"/>
    <cellStyle name="Dobre 2 12 2" xfId="18119"/>
    <cellStyle name="Dobre 2 12 3" xfId="18120"/>
    <cellStyle name="Dobre 2 12 4" xfId="18121"/>
    <cellStyle name="Dobre 2 12 5" xfId="18122"/>
    <cellStyle name="Dobre 2 12 6" xfId="18123"/>
    <cellStyle name="Dobre 2 12 7" xfId="18124"/>
    <cellStyle name="Dobre 2 13" xfId="18125"/>
    <cellStyle name="Dobre 2 13 2" xfId="18126"/>
    <cellStyle name="Dobre 2 13 3" xfId="18127"/>
    <cellStyle name="Dobre 2 13 4" xfId="18128"/>
    <cellStyle name="Dobre 2 13 5" xfId="18129"/>
    <cellStyle name="Dobre 2 13 6" xfId="18130"/>
    <cellStyle name="Dobre 2 13 7" xfId="18131"/>
    <cellStyle name="Dobre 2 14" xfId="18132"/>
    <cellStyle name="Dobre 2 14 2" xfId="18133"/>
    <cellStyle name="Dobre 2 14 3" xfId="18134"/>
    <cellStyle name="Dobre 2 14 4" xfId="18135"/>
    <cellStyle name="Dobre 2 14 5" xfId="18136"/>
    <cellStyle name="Dobre 2 14 6" xfId="18137"/>
    <cellStyle name="Dobre 2 14 7" xfId="18138"/>
    <cellStyle name="Dobre 2 15" xfId="18139"/>
    <cellStyle name="Dobre 2 15 2" xfId="18140"/>
    <cellStyle name="Dobre 2 15 3" xfId="18141"/>
    <cellStyle name="Dobre 2 15 4" xfId="18142"/>
    <cellStyle name="Dobre 2 15 5" xfId="18143"/>
    <cellStyle name="Dobre 2 15 6" xfId="18144"/>
    <cellStyle name="Dobre 2 15 7" xfId="18145"/>
    <cellStyle name="Dobre 2 16" xfId="18146"/>
    <cellStyle name="Dobre 2 16 2" xfId="18147"/>
    <cellStyle name="Dobre 2 16 3" xfId="18148"/>
    <cellStyle name="Dobre 2 16 4" xfId="18149"/>
    <cellStyle name="Dobre 2 16 5" xfId="18150"/>
    <cellStyle name="Dobre 2 16 6" xfId="18151"/>
    <cellStyle name="Dobre 2 16 7" xfId="18152"/>
    <cellStyle name="Dobre 2 17" xfId="18153"/>
    <cellStyle name="Dobre 2 17 2" xfId="18154"/>
    <cellStyle name="Dobre 2 17 3" xfId="18155"/>
    <cellStyle name="Dobre 2 17 4" xfId="18156"/>
    <cellStyle name="Dobre 2 17 5" xfId="18157"/>
    <cellStyle name="Dobre 2 17 6" xfId="18158"/>
    <cellStyle name="Dobre 2 17 7" xfId="18159"/>
    <cellStyle name="Dobre 2 18" xfId="18160"/>
    <cellStyle name="Dobre 2 18 2" xfId="18161"/>
    <cellStyle name="Dobre 2 18 3" xfId="18162"/>
    <cellStyle name="Dobre 2 18 4" xfId="18163"/>
    <cellStyle name="Dobre 2 18 5" xfId="18164"/>
    <cellStyle name="Dobre 2 18 6" xfId="18165"/>
    <cellStyle name="Dobre 2 18 7" xfId="18166"/>
    <cellStyle name="Dobre 2 19" xfId="18167"/>
    <cellStyle name="Dobre 2 19 2" xfId="18168"/>
    <cellStyle name="Dobre 2 19 3" xfId="18169"/>
    <cellStyle name="Dobre 2 19 4" xfId="18170"/>
    <cellStyle name="Dobre 2 19 5" xfId="18171"/>
    <cellStyle name="Dobre 2 19 6" xfId="18172"/>
    <cellStyle name="Dobre 2 19 7" xfId="18173"/>
    <cellStyle name="Dobre 2 2" xfId="18174"/>
    <cellStyle name="Dobre 2 2 2" xfId="18175"/>
    <cellStyle name="Dobre 2 2 3" xfId="18176"/>
    <cellStyle name="Dobre 2 2 4" xfId="18177"/>
    <cellStyle name="Dobre 2 2 5" xfId="18178"/>
    <cellStyle name="Dobre 2 2 6" xfId="18179"/>
    <cellStyle name="Dobre 2 2 7" xfId="18180"/>
    <cellStyle name="Dobre 2 2 8" xfId="18181"/>
    <cellStyle name="Dobre 2 20" xfId="18182"/>
    <cellStyle name="Dobre 2 20 2" xfId="18183"/>
    <cellStyle name="Dobre 2 20 3" xfId="18184"/>
    <cellStyle name="Dobre 2 20 4" xfId="18185"/>
    <cellStyle name="Dobre 2 20 5" xfId="18186"/>
    <cellStyle name="Dobre 2 20 6" xfId="18187"/>
    <cellStyle name="Dobre 2 20 7" xfId="18188"/>
    <cellStyle name="Dobre 2 21" xfId="18189"/>
    <cellStyle name="Dobre 2 21 2" xfId="18190"/>
    <cellStyle name="Dobre 2 21 3" xfId="18191"/>
    <cellStyle name="Dobre 2 21 4" xfId="18192"/>
    <cellStyle name="Dobre 2 21 5" xfId="18193"/>
    <cellStyle name="Dobre 2 21 6" xfId="18194"/>
    <cellStyle name="Dobre 2 21 7" xfId="18195"/>
    <cellStyle name="Dobre 2 22" xfId="18196"/>
    <cellStyle name="Dobre 2 22 2" xfId="18197"/>
    <cellStyle name="Dobre 2 22 3" xfId="18198"/>
    <cellStyle name="Dobre 2 22 4" xfId="18199"/>
    <cellStyle name="Dobre 2 22 5" xfId="18200"/>
    <cellStyle name="Dobre 2 22 6" xfId="18201"/>
    <cellStyle name="Dobre 2 22 7" xfId="18202"/>
    <cellStyle name="Dobre 2 23" xfId="18203"/>
    <cellStyle name="Dobre 2 23 2" xfId="18204"/>
    <cellStyle name="Dobre 2 23 3" xfId="18205"/>
    <cellStyle name="Dobre 2 23 4" xfId="18206"/>
    <cellStyle name="Dobre 2 23 5" xfId="18207"/>
    <cellStyle name="Dobre 2 23 6" xfId="18208"/>
    <cellStyle name="Dobre 2 23 7" xfId="18209"/>
    <cellStyle name="Dobre 2 24" xfId="18210"/>
    <cellStyle name="Dobre 2 24 2" xfId="18211"/>
    <cellStyle name="Dobre 2 24 3" xfId="18212"/>
    <cellStyle name="Dobre 2 24 4" xfId="18213"/>
    <cellStyle name="Dobre 2 24 5" xfId="18214"/>
    <cellStyle name="Dobre 2 24 6" xfId="18215"/>
    <cellStyle name="Dobre 2 24 7" xfId="18216"/>
    <cellStyle name="Dobre 2 25" xfId="18217"/>
    <cellStyle name="Dobre 2 25 2" xfId="18218"/>
    <cellStyle name="Dobre 2 25 3" xfId="18219"/>
    <cellStyle name="Dobre 2 25 4" xfId="18220"/>
    <cellStyle name="Dobre 2 25 5" xfId="18221"/>
    <cellStyle name="Dobre 2 25 6" xfId="18222"/>
    <cellStyle name="Dobre 2 25 7" xfId="18223"/>
    <cellStyle name="Dobre 2 26" xfId="18224"/>
    <cellStyle name="Dobre 2 26 2" xfId="18225"/>
    <cellStyle name="Dobre 2 26 3" xfId="18226"/>
    <cellStyle name="Dobre 2 26 4" xfId="18227"/>
    <cellStyle name="Dobre 2 26 5" xfId="18228"/>
    <cellStyle name="Dobre 2 26 6" xfId="18229"/>
    <cellStyle name="Dobre 2 26 7" xfId="18230"/>
    <cellStyle name="Dobre 2 27" xfId="18231"/>
    <cellStyle name="Dobre 2 27 2" xfId="18232"/>
    <cellStyle name="Dobre 2 27 3" xfId="18233"/>
    <cellStyle name="Dobre 2 27 4" xfId="18234"/>
    <cellStyle name="Dobre 2 27 5" xfId="18235"/>
    <cellStyle name="Dobre 2 27 6" xfId="18236"/>
    <cellStyle name="Dobre 2 27 7" xfId="18237"/>
    <cellStyle name="Dobre 2 28" xfId="18238"/>
    <cellStyle name="Dobre 2 28 2" xfId="18239"/>
    <cellStyle name="Dobre 2 28 3" xfId="18240"/>
    <cellStyle name="Dobre 2 28 4" xfId="18241"/>
    <cellStyle name="Dobre 2 28 5" xfId="18242"/>
    <cellStyle name="Dobre 2 28 6" xfId="18243"/>
    <cellStyle name="Dobre 2 28 7" xfId="18244"/>
    <cellStyle name="Dobre 2 29" xfId="18245"/>
    <cellStyle name="Dobre 2 29 2" xfId="18246"/>
    <cellStyle name="Dobre 2 3" xfId="18247"/>
    <cellStyle name="Dobre 2 3 2" xfId="18248"/>
    <cellStyle name="Dobre 2 3 3" xfId="18249"/>
    <cellStyle name="Dobre 2 3 4" xfId="18250"/>
    <cellStyle name="Dobre 2 3 5" xfId="18251"/>
    <cellStyle name="Dobre 2 3 6" xfId="18252"/>
    <cellStyle name="Dobre 2 3 7" xfId="18253"/>
    <cellStyle name="Dobre 2 30" xfId="18254"/>
    <cellStyle name="Dobre 2 30 2" xfId="18255"/>
    <cellStyle name="Dobre 2 31" xfId="18256"/>
    <cellStyle name="Dobre 2 31 2" xfId="18257"/>
    <cellStyle name="Dobre 2 32" xfId="18258"/>
    <cellStyle name="Dobre 2 32 2" xfId="18259"/>
    <cellStyle name="Dobre 2 33" xfId="18260"/>
    <cellStyle name="Dobre 2 34" xfId="18261"/>
    <cellStyle name="Dobre 2 35" xfId="18262"/>
    <cellStyle name="Dobre 2 36" xfId="18263"/>
    <cellStyle name="Dobre 2 37" xfId="18264"/>
    <cellStyle name="Dobre 2 38" xfId="18265"/>
    <cellStyle name="Dobre 2 39" xfId="18266"/>
    <cellStyle name="Dobre 2 4" xfId="18267"/>
    <cellStyle name="Dobre 2 4 2" xfId="18268"/>
    <cellStyle name="Dobre 2 4 3" xfId="18269"/>
    <cellStyle name="Dobre 2 4 4" xfId="18270"/>
    <cellStyle name="Dobre 2 4 5" xfId="18271"/>
    <cellStyle name="Dobre 2 4 6" xfId="18272"/>
    <cellStyle name="Dobre 2 4 7" xfId="18273"/>
    <cellStyle name="Dobre 2 5" xfId="18274"/>
    <cellStyle name="Dobre 2 5 2" xfId="18275"/>
    <cellStyle name="Dobre 2 5 3" xfId="18276"/>
    <cellStyle name="Dobre 2 5 4" xfId="18277"/>
    <cellStyle name="Dobre 2 5 5" xfId="18278"/>
    <cellStyle name="Dobre 2 5 6" xfId="18279"/>
    <cellStyle name="Dobre 2 5 7" xfId="18280"/>
    <cellStyle name="Dobre 2 6" xfId="18281"/>
    <cellStyle name="Dobre 2 6 2" xfId="18282"/>
    <cellStyle name="Dobre 2 6 3" xfId="18283"/>
    <cellStyle name="Dobre 2 6 4" xfId="18284"/>
    <cellStyle name="Dobre 2 6 5" xfId="18285"/>
    <cellStyle name="Dobre 2 6 6" xfId="18286"/>
    <cellStyle name="Dobre 2 6 7" xfId="18287"/>
    <cellStyle name="Dobre 2 7" xfId="18288"/>
    <cellStyle name="Dobre 2 7 2" xfId="18289"/>
    <cellStyle name="Dobre 2 7 3" xfId="18290"/>
    <cellStyle name="Dobre 2 7 4" xfId="18291"/>
    <cellStyle name="Dobre 2 7 5" xfId="18292"/>
    <cellStyle name="Dobre 2 7 6" xfId="18293"/>
    <cellStyle name="Dobre 2 7 7" xfId="18294"/>
    <cellStyle name="Dobre 2 8" xfId="18295"/>
    <cellStyle name="Dobre 2 8 2" xfId="18296"/>
    <cellStyle name="Dobre 2 8 3" xfId="18297"/>
    <cellStyle name="Dobre 2 8 4" xfId="18298"/>
    <cellStyle name="Dobre 2 8 5" xfId="18299"/>
    <cellStyle name="Dobre 2 8 6" xfId="18300"/>
    <cellStyle name="Dobre 2 8 7" xfId="18301"/>
    <cellStyle name="Dobre 2 9" xfId="18302"/>
    <cellStyle name="Dobre 2 9 2" xfId="18303"/>
    <cellStyle name="Dobre 2 9 3" xfId="18304"/>
    <cellStyle name="Dobre 2 9 4" xfId="18305"/>
    <cellStyle name="Dobre 2 9 5" xfId="18306"/>
    <cellStyle name="Dobre 2 9 6" xfId="18307"/>
    <cellStyle name="Dobre 2 9 7" xfId="18308"/>
    <cellStyle name="Dobre 3" xfId="18309"/>
    <cellStyle name="Dobre 3 2" xfId="18310"/>
    <cellStyle name="Dobre 3 2 2" xfId="18311"/>
    <cellStyle name="Dobre 3 3" xfId="18312"/>
    <cellStyle name="Dobre 3 4" xfId="18313"/>
    <cellStyle name="Dobre 3 5" xfId="18314"/>
    <cellStyle name="Dobre 3 6" xfId="18315"/>
    <cellStyle name="Dobre 3 7" xfId="18316"/>
    <cellStyle name="Dobre 3 8" xfId="18317"/>
    <cellStyle name="Dobre 3 9" xfId="18318"/>
    <cellStyle name="Dobre 4" xfId="18319"/>
    <cellStyle name="Dobre 4 2" xfId="18320"/>
    <cellStyle name="Dobre 4 3" xfId="18321"/>
    <cellStyle name="Dobre 4 4" xfId="18322"/>
    <cellStyle name="Dobre 4 5" xfId="18323"/>
    <cellStyle name="Dobre 4 6" xfId="18324"/>
    <cellStyle name="Dobre 4 7" xfId="18325"/>
    <cellStyle name="Dobre 4 8" xfId="18326"/>
    <cellStyle name="Dobre 4 9" xfId="18327"/>
    <cellStyle name="Dobre 5" xfId="18328"/>
    <cellStyle name="Dobre 5 2" xfId="18329"/>
    <cellStyle name="Dobre 5 3" xfId="18330"/>
    <cellStyle name="Dobre 6" xfId="18331"/>
    <cellStyle name="Dobre 6 2" xfId="18332"/>
    <cellStyle name="Dobre 7" xfId="18333"/>
    <cellStyle name="done" xfId="18334"/>
    <cellStyle name="Dziesietny [0]_Arkusz1" xfId="18335"/>
    <cellStyle name="Dziesietny_Arkusz1" xfId="18336"/>
    <cellStyle name="Dziesiętny" xfId="1" builtinId="3"/>
    <cellStyle name="Dziesiętny 10" xfId="18337"/>
    <cellStyle name="Dziesiętny 11" xfId="18338"/>
    <cellStyle name="Dziesiętny 12" xfId="18339"/>
    <cellStyle name="Dziesiętny 13" xfId="42846"/>
    <cellStyle name="Dziesiętny 14" xfId="10"/>
    <cellStyle name="Dziesiętny 2" xfId="8"/>
    <cellStyle name="Dziesiętny 2 10" xfId="18341"/>
    <cellStyle name="Dziesiętny 2 10 2" xfId="18342"/>
    <cellStyle name="Dziesiętny 2 11" xfId="18343"/>
    <cellStyle name="Dziesiętny 2 11 2" xfId="18344"/>
    <cellStyle name="Dziesiętny 2 12" xfId="18345"/>
    <cellStyle name="Dziesiętny 2 12 2" xfId="18346"/>
    <cellStyle name="Dziesiętny 2 13" xfId="18347"/>
    <cellStyle name="Dziesiętny 2 13 2" xfId="18348"/>
    <cellStyle name="Dziesiętny 2 14" xfId="18349"/>
    <cellStyle name="Dziesiętny 2 14 2" xfId="18350"/>
    <cellStyle name="Dziesiętny 2 15" xfId="18351"/>
    <cellStyle name="Dziesiętny 2 15 2" xfId="18352"/>
    <cellStyle name="Dziesiętny 2 16" xfId="18353"/>
    <cellStyle name="Dziesiętny 2 16 2" xfId="18354"/>
    <cellStyle name="Dziesiętny 2 17" xfId="18355"/>
    <cellStyle name="Dziesiętny 2 17 2" xfId="18356"/>
    <cellStyle name="Dziesiętny 2 18" xfId="18357"/>
    <cellStyle name="Dziesiętny 2 18 2" xfId="18358"/>
    <cellStyle name="Dziesiętny 2 19" xfId="18359"/>
    <cellStyle name="Dziesiętny 2 19 2" xfId="18360"/>
    <cellStyle name="Dziesiętny 2 2" xfId="18361"/>
    <cellStyle name="Dziesiętny 2 2 2" xfId="18362"/>
    <cellStyle name="Dziesiętny 2 2 2 2" xfId="18363"/>
    <cellStyle name="Dziesiętny 2 2 2 3" xfId="18364"/>
    <cellStyle name="Dziesiętny 2 2 2 4" xfId="18365"/>
    <cellStyle name="Dziesiętny 2 2 2 5" xfId="18366"/>
    <cellStyle name="Dziesiętny 2 2 2 6" xfId="18367"/>
    <cellStyle name="Dziesiętny 2 2 2 7" xfId="18368"/>
    <cellStyle name="Dziesiętny 2 2 3" xfId="18369"/>
    <cellStyle name="Dziesiętny 2 2 3 2" xfId="18370"/>
    <cellStyle name="Dziesiętny 2 2 3 3" xfId="18371"/>
    <cellStyle name="Dziesiętny 2 2 3 4" xfId="18372"/>
    <cellStyle name="Dziesiętny 2 2 3 5" xfId="18373"/>
    <cellStyle name="Dziesiętny 2 2 3 6" xfId="18374"/>
    <cellStyle name="Dziesiętny 2 2 4" xfId="18375"/>
    <cellStyle name="Dziesiętny 2 2 4 2" xfId="18376"/>
    <cellStyle name="Dziesiętny 2 2 5" xfId="18377"/>
    <cellStyle name="Dziesiętny 2 2 5 2" xfId="18378"/>
    <cellStyle name="Dziesiętny 2 2 6" xfId="18379"/>
    <cellStyle name="Dziesiętny 2 2 6 2" xfId="18380"/>
    <cellStyle name="Dziesiętny 2 2 7" xfId="18381"/>
    <cellStyle name="Dziesiętny 2 2 8" xfId="18382"/>
    <cellStyle name="Dziesiętny 2 2 9" xfId="18383"/>
    <cellStyle name="Dziesiętny 2 20" xfId="18384"/>
    <cellStyle name="Dziesiętny 2 20 2" xfId="18385"/>
    <cellStyle name="Dziesiętny 2 21" xfId="18386"/>
    <cellStyle name="Dziesiętny 2 21 2" xfId="18387"/>
    <cellStyle name="Dziesiętny 2 22" xfId="18388"/>
    <cellStyle name="Dziesiętny 2 23" xfId="18389"/>
    <cellStyle name="Dziesiętny 2 24" xfId="18390"/>
    <cellStyle name="Dziesiętny 2 25" xfId="18391"/>
    <cellStyle name="Dziesiętny 2 26" xfId="18392"/>
    <cellStyle name="Dziesiętny 2 27" xfId="18393"/>
    <cellStyle name="Dziesiętny 2 28" xfId="18394"/>
    <cellStyle name="Dziesiętny 2 29" xfId="18395"/>
    <cellStyle name="Dziesiętny 2 3" xfId="18396"/>
    <cellStyle name="Dziesiętny 2 3 2" xfId="18397"/>
    <cellStyle name="Dziesiętny 2 3 2 2" xfId="18398"/>
    <cellStyle name="Dziesiętny 2 3 3" xfId="18399"/>
    <cellStyle name="Dziesiętny 2 3 4" xfId="18400"/>
    <cellStyle name="Dziesiętny 2 3 5" xfId="18401"/>
    <cellStyle name="Dziesiętny 2 3 6" xfId="18402"/>
    <cellStyle name="Dziesiętny 2 3 7" xfId="18403"/>
    <cellStyle name="Dziesiętny 2 3 8" xfId="18404"/>
    <cellStyle name="Dziesiętny 2 30" xfId="18405"/>
    <cellStyle name="Dziesiętny 2 31" xfId="18406"/>
    <cellStyle name="Dziesiętny 2 32" xfId="18407"/>
    <cellStyle name="Dziesiętny 2 33" xfId="18408"/>
    <cellStyle name="Dziesiętny 2 34" xfId="18409"/>
    <cellStyle name="Dziesiętny 2 35" xfId="18410"/>
    <cellStyle name="Dziesiętny 2 36" xfId="18411"/>
    <cellStyle name="Dziesiętny 2 37" xfId="18412"/>
    <cellStyle name="Dziesiętny 2 38" xfId="18413"/>
    <cellStyle name="Dziesiętny 2 39" xfId="18414"/>
    <cellStyle name="Dziesiętny 2 4" xfId="18415"/>
    <cellStyle name="Dziesiętny 2 4 2" xfId="18416"/>
    <cellStyle name="Dziesiętny 2 4 3" xfId="18417"/>
    <cellStyle name="Dziesiętny 2 4 4" xfId="18418"/>
    <cellStyle name="Dziesiętny 2 4 5" xfId="18419"/>
    <cellStyle name="Dziesiętny 2 40" xfId="18420"/>
    <cellStyle name="Dziesiętny 2 41" xfId="18421"/>
    <cellStyle name="Dziesiętny 2 42" xfId="18422"/>
    <cellStyle name="Dziesiętny 2 43" xfId="18423"/>
    <cellStyle name="Dziesiętny 2 44" xfId="18424"/>
    <cellStyle name="Dziesiętny 2 45" xfId="18425"/>
    <cellStyle name="Dziesiętny 2 46" xfId="18426"/>
    <cellStyle name="Dziesiętny 2 47" xfId="18427"/>
    <cellStyle name="Dziesiętny 2 48" xfId="18428"/>
    <cellStyle name="Dziesiętny 2 49" xfId="18429"/>
    <cellStyle name="Dziesiętny 2 5" xfId="18430"/>
    <cellStyle name="Dziesiętny 2 5 2" xfId="18431"/>
    <cellStyle name="Dziesiętny 2 50" xfId="18432"/>
    <cellStyle name="Dziesiętny 2 51" xfId="18433"/>
    <cellStyle name="Dziesiętny 2 52" xfId="18434"/>
    <cellStyle name="Dziesiętny 2 53" xfId="18340"/>
    <cellStyle name="Dziesiętny 2 6" xfId="18435"/>
    <cellStyle name="Dziesiętny 2 6 2" xfId="18436"/>
    <cellStyle name="Dziesiętny 2 7" xfId="18437"/>
    <cellStyle name="Dziesiętny 2 7 2" xfId="18438"/>
    <cellStyle name="Dziesiętny 2 8" xfId="18439"/>
    <cellStyle name="Dziesiętny 2 8 2" xfId="18440"/>
    <cellStyle name="Dziesiętny 2 9" xfId="18441"/>
    <cellStyle name="Dziesiętny 2 9 2" xfId="18442"/>
    <cellStyle name="Dziesiętny 3" xfId="18443"/>
    <cellStyle name="Dziesiętny 3 10" xfId="18444"/>
    <cellStyle name="Dziesiętny 3 11" xfId="18445"/>
    <cellStyle name="Dziesiętny 3 12" xfId="18446"/>
    <cellStyle name="Dziesiętny 3 13" xfId="18447"/>
    <cellStyle name="Dziesiętny 3 14" xfId="18448"/>
    <cellStyle name="Dziesiętny 3 15" xfId="18449"/>
    <cellStyle name="Dziesiętny 3 16" xfId="18450"/>
    <cellStyle name="Dziesiętny 3 17" xfId="18451"/>
    <cellStyle name="Dziesiętny 3 18" xfId="18452"/>
    <cellStyle name="Dziesiętny 3 19" xfId="18453"/>
    <cellStyle name="Dziesiętny 3 2" xfId="18454"/>
    <cellStyle name="Dziesiętny 3 2 2" xfId="18455"/>
    <cellStyle name="Dziesiętny 3 2 3" xfId="18456"/>
    <cellStyle name="Dziesiętny 3 3" xfId="18457"/>
    <cellStyle name="Dziesiętny 3 3 2" xfId="18458"/>
    <cellStyle name="Dziesiętny 3 3 3" xfId="18459"/>
    <cellStyle name="Dziesiętny 3 4" xfId="17"/>
    <cellStyle name="Dziesiętny 3 4 2" xfId="18460"/>
    <cellStyle name="Dziesiętny 3 4 3" xfId="18461"/>
    <cellStyle name="Dziesiętny 3 4 4" xfId="18462"/>
    <cellStyle name="Dziesiętny 3 5" xfId="18463"/>
    <cellStyle name="Dziesiętny 3 6" xfId="18464"/>
    <cellStyle name="Dziesiętny 3 7" xfId="18465"/>
    <cellStyle name="Dziesiętny 3 8" xfId="18466"/>
    <cellStyle name="Dziesiętny 3 9" xfId="18467"/>
    <cellStyle name="Dziesiętny 4" xfId="18468"/>
    <cellStyle name="Dziesiętny 4 2" xfId="18469"/>
    <cellStyle name="Dziesiętny 4 2 2" xfId="18470"/>
    <cellStyle name="Dziesiętny 4 2 2 2" xfId="18471"/>
    <cellStyle name="Dziesiętny 4 2 3" xfId="18472"/>
    <cellStyle name="Dziesiętny 4 3" xfId="18473"/>
    <cellStyle name="Dziesiętny 4 3 2" xfId="18474"/>
    <cellStyle name="Dziesiętny 4 4" xfId="18475"/>
    <cellStyle name="Dziesiętny 4 4 2" xfId="18476"/>
    <cellStyle name="Dziesiętny 4 4 3" xfId="18477"/>
    <cellStyle name="Dziesiętny 4 5" xfId="18478"/>
    <cellStyle name="Dziesiętny 5" xfId="18479"/>
    <cellStyle name="Dziesiętny 5 2" xfId="18480"/>
    <cellStyle name="Dziesiętny 6" xfId="18481"/>
    <cellStyle name="Dziesiętny 6 2" xfId="18482"/>
    <cellStyle name="Dziesiętny 7" xfId="18483"/>
    <cellStyle name="Dziesiętny 8" xfId="18484"/>
    <cellStyle name="Dziesiętny 9" xfId="18485"/>
    <cellStyle name="E&amp;Y House" xfId="18486"/>
    <cellStyle name="Euro" xfId="18487"/>
    <cellStyle name="Euro 2" xfId="18488"/>
    <cellStyle name="Euro 2 2" xfId="18489"/>
    <cellStyle name="Euro 3" xfId="18490"/>
    <cellStyle name="Euro 3 2" xfId="18491"/>
    <cellStyle name="Euro 4" xfId="18492"/>
    <cellStyle name="Ezres [0]_cb-fr" xfId="18493"/>
    <cellStyle name="Ezres_cb-fr" xfId="18494"/>
    <cellStyle name="Family_Option" xfId="18495"/>
    <cellStyle name="FormBk" xfId="18496"/>
    <cellStyle name="general" xfId="18497"/>
    <cellStyle name="Grey" xfId="18498"/>
    <cellStyle name="GROS" xfId="18499"/>
    <cellStyle name="Header1" xfId="18500"/>
    <cellStyle name="Header2" xfId="18501"/>
    <cellStyle name="heading1" xfId="18502"/>
    <cellStyle name="heading2" xfId="18503"/>
    <cellStyle name="heading3" xfId="18504"/>
    <cellStyle name="heading4" xfId="18505"/>
    <cellStyle name="heading5" xfId="18506"/>
    <cellStyle name="Hiperłącze 2" xfId="18507"/>
    <cellStyle name="HUF" xfId="18508"/>
    <cellStyle name="Hyperlink_Arkusz Sygnity_2009H2 v10" xfId="18509"/>
    <cellStyle name="Input [yellow]" xfId="18510"/>
    <cellStyle name="International" xfId="18511"/>
    <cellStyle name="International1" xfId="18512"/>
    <cellStyle name="k$" xfId="18513"/>
    <cellStyle name="kECU" xfId="18514"/>
    <cellStyle name="kHUF" xfId="18515"/>
    <cellStyle name="kLE" xfId="18516"/>
    <cellStyle name="Komórka połączona 2" xfId="18517"/>
    <cellStyle name="Komórka połączona 2 10" xfId="18518"/>
    <cellStyle name="Komórka połączona 2 10 2" xfId="18519"/>
    <cellStyle name="Komórka połączona 2 10 3" xfId="18520"/>
    <cellStyle name="Komórka połączona 2 10 4" xfId="18521"/>
    <cellStyle name="Komórka połączona 2 10 5" xfId="18522"/>
    <cellStyle name="Komórka połączona 2 10 6" xfId="18523"/>
    <cellStyle name="Komórka połączona 2 10 7" xfId="18524"/>
    <cellStyle name="Komórka połączona 2 11" xfId="18525"/>
    <cellStyle name="Komórka połączona 2 11 2" xfId="18526"/>
    <cellStyle name="Komórka połączona 2 11 3" xfId="18527"/>
    <cellStyle name="Komórka połączona 2 11 4" xfId="18528"/>
    <cellStyle name="Komórka połączona 2 11 5" xfId="18529"/>
    <cellStyle name="Komórka połączona 2 11 6" xfId="18530"/>
    <cellStyle name="Komórka połączona 2 11 7" xfId="18531"/>
    <cellStyle name="Komórka połączona 2 12" xfId="18532"/>
    <cellStyle name="Komórka połączona 2 12 2" xfId="18533"/>
    <cellStyle name="Komórka połączona 2 12 3" xfId="18534"/>
    <cellStyle name="Komórka połączona 2 12 4" xfId="18535"/>
    <cellStyle name="Komórka połączona 2 12 5" xfId="18536"/>
    <cellStyle name="Komórka połączona 2 12 6" xfId="18537"/>
    <cellStyle name="Komórka połączona 2 12 7" xfId="18538"/>
    <cellStyle name="Komórka połączona 2 13" xfId="18539"/>
    <cellStyle name="Komórka połączona 2 13 2" xfId="18540"/>
    <cellStyle name="Komórka połączona 2 13 3" xfId="18541"/>
    <cellStyle name="Komórka połączona 2 13 4" xfId="18542"/>
    <cellStyle name="Komórka połączona 2 13 5" xfId="18543"/>
    <cellStyle name="Komórka połączona 2 13 6" xfId="18544"/>
    <cellStyle name="Komórka połączona 2 13 7" xfId="18545"/>
    <cellStyle name="Komórka połączona 2 14" xfId="18546"/>
    <cellStyle name="Komórka połączona 2 14 2" xfId="18547"/>
    <cellStyle name="Komórka połączona 2 14 3" xfId="18548"/>
    <cellStyle name="Komórka połączona 2 14 4" xfId="18549"/>
    <cellStyle name="Komórka połączona 2 14 5" xfId="18550"/>
    <cellStyle name="Komórka połączona 2 14 6" xfId="18551"/>
    <cellStyle name="Komórka połączona 2 14 7" xfId="18552"/>
    <cellStyle name="Komórka połączona 2 15" xfId="18553"/>
    <cellStyle name="Komórka połączona 2 15 2" xfId="18554"/>
    <cellStyle name="Komórka połączona 2 15 3" xfId="18555"/>
    <cellStyle name="Komórka połączona 2 15 4" xfId="18556"/>
    <cellStyle name="Komórka połączona 2 15 5" xfId="18557"/>
    <cellStyle name="Komórka połączona 2 15 6" xfId="18558"/>
    <cellStyle name="Komórka połączona 2 15 7" xfId="18559"/>
    <cellStyle name="Komórka połączona 2 16" xfId="18560"/>
    <cellStyle name="Komórka połączona 2 16 2" xfId="18561"/>
    <cellStyle name="Komórka połączona 2 16 3" xfId="18562"/>
    <cellStyle name="Komórka połączona 2 16 4" xfId="18563"/>
    <cellStyle name="Komórka połączona 2 16 5" xfId="18564"/>
    <cellStyle name="Komórka połączona 2 16 6" xfId="18565"/>
    <cellStyle name="Komórka połączona 2 16 7" xfId="18566"/>
    <cellStyle name="Komórka połączona 2 17" xfId="18567"/>
    <cellStyle name="Komórka połączona 2 17 2" xfId="18568"/>
    <cellStyle name="Komórka połączona 2 17 3" xfId="18569"/>
    <cellStyle name="Komórka połączona 2 17 4" xfId="18570"/>
    <cellStyle name="Komórka połączona 2 17 5" xfId="18571"/>
    <cellStyle name="Komórka połączona 2 17 6" xfId="18572"/>
    <cellStyle name="Komórka połączona 2 17 7" xfId="18573"/>
    <cellStyle name="Komórka połączona 2 18" xfId="18574"/>
    <cellStyle name="Komórka połączona 2 18 2" xfId="18575"/>
    <cellStyle name="Komórka połączona 2 18 3" xfId="18576"/>
    <cellStyle name="Komórka połączona 2 18 4" xfId="18577"/>
    <cellStyle name="Komórka połączona 2 18 5" xfId="18578"/>
    <cellStyle name="Komórka połączona 2 18 6" xfId="18579"/>
    <cellStyle name="Komórka połączona 2 18 7" xfId="18580"/>
    <cellStyle name="Komórka połączona 2 19" xfId="18581"/>
    <cellStyle name="Komórka połączona 2 19 2" xfId="18582"/>
    <cellStyle name="Komórka połączona 2 19 3" xfId="18583"/>
    <cellStyle name="Komórka połączona 2 19 4" xfId="18584"/>
    <cellStyle name="Komórka połączona 2 19 5" xfId="18585"/>
    <cellStyle name="Komórka połączona 2 19 6" xfId="18586"/>
    <cellStyle name="Komórka połączona 2 19 7" xfId="18587"/>
    <cellStyle name="Komórka połączona 2 2" xfId="18588"/>
    <cellStyle name="Komórka połączona 2 2 2" xfId="18589"/>
    <cellStyle name="Komórka połączona 2 2 3" xfId="18590"/>
    <cellStyle name="Komórka połączona 2 2 4" xfId="18591"/>
    <cellStyle name="Komórka połączona 2 2 5" xfId="18592"/>
    <cellStyle name="Komórka połączona 2 2 6" xfId="18593"/>
    <cellStyle name="Komórka połączona 2 2 7" xfId="18594"/>
    <cellStyle name="Komórka połączona 2 2 8" xfId="18595"/>
    <cellStyle name="Komórka połączona 2 20" xfId="18596"/>
    <cellStyle name="Komórka połączona 2 20 2" xfId="18597"/>
    <cellStyle name="Komórka połączona 2 20 3" xfId="18598"/>
    <cellStyle name="Komórka połączona 2 20 4" xfId="18599"/>
    <cellStyle name="Komórka połączona 2 20 5" xfId="18600"/>
    <cellStyle name="Komórka połączona 2 20 6" xfId="18601"/>
    <cellStyle name="Komórka połączona 2 20 7" xfId="18602"/>
    <cellStyle name="Komórka połączona 2 21" xfId="18603"/>
    <cellStyle name="Komórka połączona 2 21 2" xfId="18604"/>
    <cellStyle name="Komórka połączona 2 21 3" xfId="18605"/>
    <cellStyle name="Komórka połączona 2 21 4" xfId="18606"/>
    <cellStyle name="Komórka połączona 2 21 5" xfId="18607"/>
    <cellStyle name="Komórka połączona 2 21 6" xfId="18608"/>
    <cellStyle name="Komórka połączona 2 21 7" xfId="18609"/>
    <cellStyle name="Komórka połączona 2 22" xfId="18610"/>
    <cellStyle name="Komórka połączona 2 22 2" xfId="18611"/>
    <cellStyle name="Komórka połączona 2 22 3" xfId="18612"/>
    <cellStyle name="Komórka połączona 2 22 4" xfId="18613"/>
    <cellStyle name="Komórka połączona 2 22 5" xfId="18614"/>
    <cellStyle name="Komórka połączona 2 22 6" xfId="18615"/>
    <cellStyle name="Komórka połączona 2 22 7" xfId="18616"/>
    <cellStyle name="Komórka połączona 2 23" xfId="18617"/>
    <cellStyle name="Komórka połączona 2 23 2" xfId="18618"/>
    <cellStyle name="Komórka połączona 2 23 3" xfId="18619"/>
    <cellStyle name="Komórka połączona 2 23 4" xfId="18620"/>
    <cellStyle name="Komórka połączona 2 23 5" xfId="18621"/>
    <cellStyle name="Komórka połączona 2 23 6" xfId="18622"/>
    <cellStyle name="Komórka połączona 2 23 7" xfId="18623"/>
    <cellStyle name="Komórka połączona 2 24" xfId="18624"/>
    <cellStyle name="Komórka połączona 2 24 2" xfId="18625"/>
    <cellStyle name="Komórka połączona 2 24 3" xfId="18626"/>
    <cellStyle name="Komórka połączona 2 24 4" xfId="18627"/>
    <cellStyle name="Komórka połączona 2 24 5" xfId="18628"/>
    <cellStyle name="Komórka połączona 2 24 6" xfId="18629"/>
    <cellStyle name="Komórka połączona 2 24 7" xfId="18630"/>
    <cellStyle name="Komórka połączona 2 25" xfId="18631"/>
    <cellStyle name="Komórka połączona 2 25 2" xfId="18632"/>
    <cellStyle name="Komórka połączona 2 25 3" xfId="18633"/>
    <cellStyle name="Komórka połączona 2 25 4" xfId="18634"/>
    <cellStyle name="Komórka połączona 2 25 5" xfId="18635"/>
    <cellStyle name="Komórka połączona 2 25 6" xfId="18636"/>
    <cellStyle name="Komórka połączona 2 25 7" xfId="18637"/>
    <cellStyle name="Komórka połączona 2 26" xfId="18638"/>
    <cellStyle name="Komórka połączona 2 26 2" xfId="18639"/>
    <cellStyle name="Komórka połączona 2 26 3" xfId="18640"/>
    <cellStyle name="Komórka połączona 2 26 4" xfId="18641"/>
    <cellStyle name="Komórka połączona 2 26 5" xfId="18642"/>
    <cellStyle name="Komórka połączona 2 26 6" xfId="18643"/>
    <cellStyle name="Komórka połączona 2 26 7" xfId="18644"/>
    <cellStyle name="Komórka połączona 2 27" xfId="18645"/>
    <cellStyle name="Komórka połączona 2 27 2" xfId="18646"/>
    <cellStyle name="Komórka połączona 2 27 3" xfId="18647"/>
    <cellStyle name="Komórka połączona 2 27 4" xfId="18648"/>
    <cellStyle name="Komórka połączona 2 27 5" xfId="18649"/>
    <cellStyle name="Komórka połączona 2 27 6" xfId="18650"/>
    <cellStyle name="Komórka połączona 2 27 7" xfId="18651"/>
    <cellStyle name="Komórka połączona 2 28" xfId="18652"/>
    <cellStyle name="Komórka połączona 2 28 2" xfId="18653"/>
    <cellStyle name="Komórka połączona 2 28 3" xfId="18654"/>
    <cellStyle name="Komórka połączona 2 28 4" xfId="18655"/>
    <cellStyle name="Komórka połączona 2 28 5" xfId="18656"/>
    <cellStyle name="Komórka połączona 2 28 6" xfId="18657"/>
    <cellStyle name="Komórka połączona 2 28 7" xfId="18658"/>
    <cellStyle name="Komórka połączona 2 29" xfId="18659"/>
    <cellStyle name="Komórka połączona 2 29 2" xfId="18660"/>
    <cellStyle name="Komórka połączona 2 3" xfId="18661"/>
    <cellStyle name="Komórka połączona 2 3 2" xfId="18662"/>
    <cellStyle name="Komórka połączona 2 3 3" xfId="18663"/>
    <cellStyle name="Komórka połączona 2 3 4" xfId="18664"/>
    <cellStyle name="Komórka połączona 2 3 5" xfId="18665"/>
    <cellStyle name="Komórka połączona 2 3 6" xfId="18666"/>
    <cellStyle name="Komórka połączona 2 3 7" xfId="18667"/>
    <cellStyle name="Komórka połączona 2 30" xfId="18668"/>
    <cellStyle name="Komórka połączona 2 30 2" xfId="18669"/>
    <cellStyle name="Komórka połączona 2 31" xfId="18670"/>
    <cellStyle name="Komórka połączona 2 31 2" xfId="18671"/>
    <cellStyle name="Komórka połączona 2 32" xfId="18672"/>
    <cellStyle name="Komórka połączona 2 32 2" xfId="18673"/>
    <cellStyle name="Komórka połączona 2 33" xfId="18674"/>
    <cellStyle name="Komórka połączona 2 34" xfId="18675"/>
    <cellStyle name="Komórka połączona 2 35" xfId="18676"/>
    <cellStyle name="Komórka połączona 2 36" xfId="18677"/>
    <cellStyle name="Komórka połączona 2 37" xfId="18678"/>
    <cellStyle name="Komórka połączona 2 38" xfId="18679"/>
    <cellStyle name="Komórka połączona 2 4" xfId="18680"/>
    <cellStyle name="Komórka połączona 2 4 2" xfId="18681"/>
    <cellStyle name="Komórka połączona 2 4 3" xfId="18682"/>
    <cellStyle name="Komórka połączona 2 4 4" xfId="18683"/>
    <cellStyle name="Komórka połączona 2 4 5" xfId="18684"/>
    <cellStyle name="Komórka połączona 2 4 6" xfId="18685"/>
    <cellStyle name="Komórka połączona 2 4 7" xfId="18686"/>
    <cellStyle name="Komórka połączona 2 5" xfId="18687"/>
    <cellStyle name="Komórka połączona 2 5 2" xfId="18688"/>
    <cellStyle name="Komórka połączona 2 5 3" xfId="18689"/>
    <cellStyle name="Komórka połączona 2 5 4" xfId="18690"/>
    <cellStyle name="Komórka połączona 2 5 5" xfId="18691"/>
    <cellStyle name="Komórka połączona 2 5 6" xfId="18692"/>
    <cellStyle name="Komórka połączona 2 5 7" xfId="18693"/>
    <cellStyle name="Komórka połączona 2 6" xfId="18694"/>
    <cellStyle name="Komórka połączona 2 6 2" xfId="18695"/>
    <cellStyle name="Komórka połączona 2 6 3" xfId="18696"/>
    <cellStyle name="Komórka połączona 2 6 4" xfId="18697"/>
    <cellStyle name="Komórka połączona 2 6 5" xfId="18698"/>
    <cellStyle name="Komórka połączona 2 6 6" xfId="18699"/>
    <cellStyle name="Komórka połączona 2 6 7" xfId="18700"/>
    <cellStyle name="Komórka połączona 2 7" xfId="18701"/>
    <cellStyle name="Komórka połączona 2 7 2" xfId="18702"/>
    <cellStyle name="Komórka połączona 2 7 3" xfId="18703"/>
    <cellStyle name="Komórka połączona 2 7 4" xfId="18704"/>
    <cellStyle name="Komórka połączona 2 7 5" xfId="18705"/>
    <cellStyle name="Komórka połączona 2 7 6" xfId="18706"/>
    <cellStyle name="Komórka połączona 2 7 7" xfId="18707"/>
    <cellStyle name="Komórka połączona 2 8" xfId="18708"/>
    <cellStyle name="Komórka połączona 2 8 2" xfId="18709"/>
    <cellStyle name="Komórka połączona 2 8 3" xfId="18710"/>
    <cellStyle name="Komórka połączona 2 8 4" xfId="18711"/>
    <cellStyle name="Komórka połączona 2 8 5" xfId="18712"/>
    <cellStyle name="Komórka połączona 2 8 6" xfId="18713"/>
    <cellStyle name="Komórka połączona 2 8 7" xfId="18714"/>
    <cellStyle name="Komórka połączona 2 9" xfId="18715"/>
    <cellStyle name="Komórka połączona 2 9 2" xfId="18716"/>
    <cellStyle name="Komórka połączona 2 9 3" xfId="18717"/>
    <cellStyle name="Komórka połączona 2 9 4" xfId="18718"/>
    <cellStyle name="Komórka połączona 2 9 5" xfId="18719"/>
    <cellStyle name="Komórka połączona 2 9 6" xfId="18720"/>
    <cellStyle name="Komórka połączona 2 9 7" xfId="18721"/>
    <cellStyle name="Komórka połączona 3" xfId="18722"/>
    <cellStyle name="Komórka połączona 3 2" xfId="18723"/>
    <cellStyle name="Komórka połączona 3 2 2" xfId="18724"/>
    <cellStyle name="Komórka połączona 3 3" xfId="18725"/>
    <cellStyle name="Komórka połączona 3 4" xfId="18726"/>
    <cellStyle name="Komórka połączona 3 5" xfId="18727"/>
    <cellStyle name="Komórka połączona 3 6" xfId="18728"/>
    <cellStyle name="Komórka połączona 3 7" xfId="18729"/>
    <cellStyle name="Komórka połączona 3 8" xfId="18730"/>
    <cellStyle name="Komórka połączona 3 9" xfId="18731"/>
    <cellStyle name="Komórka połączona 4" xfId="18732"/>
    <cellStyle name="Komórka połączona 4 2" xfId="18733"/>
    <cellStyle name="Komórka połączona 4 3" xfId="18734"/>
    <cellStyle name="Komórka połączona 4 4" xfId="18735"/>
    <cellStyle name="Komórka połączona 4 5" xfId="18736"/>
    <cellStyle name="Komórka połączona 4 6" xfId="18737"/>
    <cellStyle name="Komórka połączona 4 7" xfId="18738"/>
    <cellStyle name="Komórka połączona 4 8" xfId="18739"/>
    <cellStyle name="Komórka połączona 4 9" xfId="18740"/>
    <cellStyle name="Komórka połączona 5" xfId="18741"/>
    <cellStyle name="Komórka połączona 5 2" xfId="18742"/>
    <cellStyle name="Komórka połączona 6" xfId="18743"/>
    <cellStyle name="Komórka połączona 7" xfId="18744"/>
    <cellStyle name="Komórka zaznaczona 2" xfId="18745"/>
    <cellStyle name="Komórka zaznaczona 2 10" xfId="18746"/>
    <cellStyle name="Komórka zaznaczona 2 10 2" xfId="18747"/>
    <cellStyle name="Komórka zaznaczona 2 10 3" xfId="18748"/>
    <cellStyle name="Komórka zaznaczona 2 10 4" xfId="18749"/>
    <cellStyle name="Komórka zaznaczona 2 10 5" xfId="18750"/>
    <cellStyle name="Komórka zaznaczona 2 10 6" xfId="18751"/>
    <cellStyle name="Komórka zaznaczona 2 10 7" xfId="18752"/>
    <cellStyle name="Komórka zaznaczona 2 11" xfId="18753"/>
    <cellStyle name="Komórka zaznaczona 2 11 2" xfId="18754"/>
    <cellStyle name="Komórka zaznaczona 2 11 3" xfId="18755"/>
    <cellStyle name="Komórka zaznaczona 2 11 4" xfId="18756"/>
    <cellStyle name="Komórka zaznaczona 2 11 5" xfId="18757"/>
    <cellStyle name="Komórka zaznaczona 2 11 6" xfId="18758"/>
    <cellStyle name="Komórka zaznaczona 2 11 7" xfId="18759"/>
    <cellStyle name="Komórka zaznaczona 2 12" xfId="18760"/>
    <cellStyle name="Komórka zaznaczona 2 12 2" xfId="18761"/>
    <cellStyle name="Komórka zaznaczona 2 12 3" xfId="18762"/>
    <cellStyle name="Komórka zaznaczona 2 12 4" xfId="18763"/>
    <cellStyle name="Komórka zaznaczona 2 12 5" xfId="18764"/>
    <cellStyle name="Komórka zaznaczona 2 12 6" xfId="18765"/>
    <cellStyle name="Komórka zaznaczona 2 12 7" xfId="18766"/>
    <cellStyle name="Komórka zaznaczona 2 13" xfId="18767"/>
    <cellStyle name="Komórka zaznaczona 2 13 2" xfId="18768"/>
    <cellStyle name="Komórka zaznaczona 2 13 3" xfId="18769"/>
    <cellStyle name="Komórka zaznaczona 2 13 4" xfId="18770"/>
    <cellStyle name="Komórka zaznaczona 2 13 5" xfId="18771"/>
    <cellStyle name="Komórka zaznaczona 2 13 6" xfId="18772"/>
    <cellStyle name="Komórka zaznaczona 2 13 7" xfId="18773"/>
    <cellStyle name="Komórka zaznaczona 2 14" xfId="18774"/>
    <cellStyle name="Komórka zaznaczona 2 14 2" xfId="18775"/>
    <cellStyle name="Komórka zaznaczona 2 14 3" xfId="18776"/>
    <cellStyle name="Komórka zaznaczona 2 14 4" xfId="18777"/>
    <cellStyle name="Komórka zaznaczona 2 14 5" xfId="18778"/>
    <cellStyle name="Komórka zaznaczona 2 14 6" xfId="18779"/>
    <cellStyle name="Komórka zaznaczona 2 14 7" xfId="18780"/>
    <cellStyle name="Komórka zaznaczona 2 15" xfId="18781"/>
    <cellStyle name="Komórka zaznaczona 2 15 2" xfId="18782"/>
    <cellStyle name="Komórka zaznaczona 2 15 3" xfId="18783"/>
    <cellStyle name="Komórka zaznaczona 2 15 4" xfId="18784"/>
    <cellStyle name="Komórka zaznaczona 2 15 5" xfId="18785"/>
    <cellStyle name="Komórka zaznaczona 2 15 6" xfId="18786"/>
    <cellStyle name="Komórka zaznaczona 2 15 7" xfId="18787"/>
    <cellStyle name="Komórka zaznaczona 2 16" xfId="18788"/>
    <cellStyle name="Komórka zaznaczona 2 16 2" xfId="18789"/>
    <cellStyle name="Komórka zaznaczona 2 16 3" xfId="18790"/>
    <cellStyle name="Komórka zaznaczona 2 16 4" xfId="18791"/>
    <cellStyle name="Komórka zaznaczona 2 16 5" xfId="18792"/>
    <cellStyle name="Komórka zaznaczona 2 16 6" xfId="18793"/>
    <cellStyle name="Komórka zaznaczona 2 16 7" xfId="18794"/>
    <cellStyle name="Komórka zaznaczona 2 17" xfId="18795"/>
    <cellStyle name="Komórka zaznaczona 2 17 2" xfId="18796"/>
    <cellStyle name="Komórka zaznaczona 2 17 3" xfId="18797"/>
    <cellStyle name="Komórka zaznaczona 2 17 4" xfId="18798"/>
    <cellStyle name="Komórka zaznaczona 2 17 5" xfId="18799"/>
    <cellStyle name="Komórka zaznaczona 2 17 6" xfId="18800"/>
    <cellStyle name="Komórka zaznaczona 2 17 7" xfId="18801"/>
    <cellStyle name="Komórka zaznaczona 2 18" xfId="18802"/>
    <cellStyle name="Komórka zaznaczona 2 18 2" xfId="18803"/>
    <cellStyle name="Komórka zaznaczona 2 18 3" xfId="18804"/>
    <cellStyle name="Komórka zaznaczona 2 18 4" xfId="18805"/>
    <cellStyle name="Komórka zaznaczona 2 18 5" xfId="18806"/>
    <cellStyle name="Komórka zaznaczona 2 18 6" xfId="18807"/>
    <cellStyle name="Komórka zaznaczona 2 18 7" xfId="18808"/>
    <cellStyle name="Komórka zaznaczona 2 19" xfId="18809"/>
    <cellStyle name="Komórka zaznaczona 2 19 2" xfId="18810"/>
    <cellStyle name="Komórka zaznaczona 2 19 3" xfId="18811"/>
    <cellStyle name="Komórka zaznaczona 2 19 4" xfId="18812"/>
    <cellStyle name="Komórka zaznaczona 2 19 5" xfId="18813"/>
    <cellStyle name="Komórka zaznaczona 2 19 6" xfId="18814"/>
    <cellStyle name="Komórka zaznaczona 2 19 7" xfId="18815"/>
    <cellStyle name="Komórka zaznaczona 2 2" xfId="18816"/>
    <cellStyle name="Komórka zaznaczona 2 2 2" xfId="18817"/>
    <cellStyle name="Komórka zaznaczona 2 2 3" xfId="18818"/>
    <cellStyle name="Komórka zaznaczona 2 2 4" xfId="18819"/>
    <cellStyle name="Komórka zaznaczona 2 2 5" xfId="18820"/>
    <cellStyle name="Komórka zaznaczona 2 2 6" xfId="18821"/>
    <cellStyle name="Komórka zaznaczona 2 2 7" xfId="18822"/>
    <cellStyle name="Komórka zaznaczona 2 2 8" xfId="18823"/>
    <cellStyle name="Komórka zaznaczona 2 20" xfId="18824"/>
    <cellStyle name="Komórka zaznaczona 2 20 2" xfId="18825"/>
    <cellStyle name="Komórka zaznaczona 2 20 3" xfId="18826"/>
    <cellStyle name="Komórka zaznaczona 2 20 4" xfId="18827"/>
    <cellStyle name="Komórka zaznaczona 2 20 5" xfId="18828"/>
    <cellStyle name="Komórka zaznaczona 2 20 6" xfId="18829"/>
    <cellStyle name="Komórka zaznaczona 2 20 7" xfId="18830"/>
    <cellStyle name="Komórka zaznaczona 2 21" xfId="18831"/>
    <cellStyle name="Komórka zaznaczona 2 21 2" xfId="18832"/>
    <cellStyle name="Komórka zaznaczona 2 21 3" xfId="18833"/>
    <cellStyle name="Komórka zaznaczona 2 21 4" xfId="18834"/>
    <cellStyle name="Komórka zaznaczona 2 21 5" xfId="18835"/>
    <cellStyle name="Komórka zaznaczona 2 21 6" xfId="18836"/>
    <cellStyle name="Komórka zaznaczona 2 21 7" xfId="18837"/>
    <cellStyle name="Komórka zaznaczona 2 22" xfId="18838"/>
    <cellStyle name="Komórka zaznaczona 2 22 2" xfId="18839"/>
    <cellStyle name="Komórka zaznaczona 2 22 3" xfId="18840"/>
    <cellStyle name="Komórka zaznaczona 2 22 4" xfId="18841"/>
    <cellStyle name="Komórka zaznaczona 2 22 5" xfId="18842"/>
    <cellStyle name="Komórka zaznaczona 2 22 6" xfId="18843"/>
    <cellStyle name="Komórka zaznaczona 2 22 7" xfId="18844"/>
    <cellStyle name="Komórka zaznaczona 2 23" xfId="18845"/>
    <cellStyle name="Komórka zaznaczona 2 23 2" xfId="18846"/>
    <cellStyle name="Komórka zaznaczona 2 23 3" xfId="18847"/>
    <cellStyle name="Komórka zaznaczona 2 23 4" xfId="18848"/>
    <cellStyle name="Komórka zaznaczona 2 23 5" xfId="18849"/>
    <cellStyle name="Komórka zaznaczona 2 23 6" xfId="18850"/>
    <cellStyle name="Komórka zaznaczona 2 23 7" xfId="18851"/>
    <cellStyle name="Komórka zaznaczona 2 24" xfId="18852"/>
    <cellStyle name="Komórka zaznaczona 2 24 2" xfId="18853"/>
    <cellStyle name="Komórka zaznaczona 2 24 3" xfId="18854"/>
    <cellStyle name="Komórka zaznaczona 2 24 4" xfId="18855"/>
    <cellStyle name="Komórka zaznaczona 2 24 5" xfId="18856"/>
    <cellStyle name="Komórka zaznaczona 2 24 6" xfId="18857"/>
    <cellStyle name="Komórka zaznaczona 2 24 7" xfId="18858"/>
    <cellStyle name="Komórka zaznaczona 2 25" xfId="18859"/>
    <cellStyle name="Komórka zaznaczona 2 25 2" xfId="18860"/>
    <cellStyle name="Komórka zaznaczona 2 25 3" xfId="18861"/>
    <cellStyle name="Komórka zaznaczona 2 25 4" xfId="18862"/>
    <cellStyle name="Komórka zaznaczona 2 25 5" xfId="18863"/>
    <cellStyle name="Komórka zaznaczona 2 25 6" xfId="18864"/>
    <cellStyle name="Komórka zaznaczona 2 25 7" xfId="18865"/>
    <cellStyle name="Komórka zaznaczona 2 26" xfId="18866"/>
    <cellStyle name="Komórka zaznaczona 2 26 2" xfId="18867"/>
    <cellStyle name="Komórka zaznaczona 2 26 3" xfId="18868"/>
    <cellStyle name="Komórka zaznaczona 2 26 4" xfId="18869"/>
    <cellStyle name="Komórka zaznaczona 2 26 5" xfId="18870"/>
    <cellStyle name="Komórka zaznaczona 2 26 6" xfId="18871"/>
    <cellStyle name="Komórka zaznaczona 2 26 7" xfId="18872"/>
    <cellStyle name="Komórka zaznaczona 2 27" xfId="18873"/>
    <cellStyle name="Komórka zaznaczona 2 27 2" xfId="18874"/>
    <cellStyle name="Komórka zaznaczona 2 27 3" xfId="18875"/>
    <cellStyle name="Komórka zaznaczona 2 27 4" xfId="18876"/>
    <cellStyle name="Komórka zaznaczona 2 27 5" xfId="18877"/>
    <cellStyle name="Komórka zaznaczona 2 27 6" xfId="18878"/>
    <cellStyle name="Komórka zaznaczona 2 27 7" xfId="18879"/>
    <cellStyle name="Komórka zaznaczona 2 28" xfId="18880"/>
    <cellStyle name="Komórka zaznaczona 2 28 2" xfId="18881"/>
    <cellStyle name="Komórka zaznaczona 2 28 3" xfId="18882"/>
    <cellStyle name="Komórka zaznaczona 2 28 4" xfId="18883"/>
    <cellStyle name="Komórka zaznaczona 2 28 5" xfId="18884"/>
    <cellStyle name="Komórka zaznaczona 2 28 6" xfId="18885"/>
    <cellStyle name="Komórka zaznaczona 2 28 7" xfId="18886"/>
    <cellStyle name="Komórka zaznaczona 2 29" xfId="18887"/>
    <cellStyle name="Komórka zaznaczona 2 29 2" xfId="18888"/>
    <cellStyle name="Komórka zaznaczona 2 3" xfId="18889"/>
    <cellStyle name="Komórka zaznaczona 2 3 2" xfId="18890"/>
    <cellStyle name="Komórka zaznaczona 2 3 3" xfId="18891"/>
    <cellStyle name="Komórka zaznaczona 2 3 4" xfId="18892"/>
    <cellStyle name="Komórka zaznaczona 2 3 5" xfId="18893"/>
    <cellStyle name="Komórka zaznaczona 2 3 6" xfId="18894"/>
    <cellStyle name="Komórka zaznaczona 2 3 7" xfId="18895"/>
    <cellStyle name="Komórka zaznaczona 2 30" xfId="18896"/>
    <cellStyle name="Komórka zaznaczona 2 30 2" xfId="18897"/>
    <cellStyle name="Komórka zaznaczona 2 31" xfId="18898"/>
    <cellStyle name="Komórka zaznaczona 2 31 2" xfId="18899"/>
    <cellStyle name="Komórka zaznaczona 2 32" xfId="18900"/>
    <cellStyle name="Komórka zaznaczona 2 32 2" xfId="18901"/>
    <cellStyle name="Komórka zaznaczona 2 33" xfId="18902"/>
    <cellStyle name="Komórka zaznaczona 2 34" xfId="18903"/>
    <cellStyle name="Komórka zaznaczona 2 35" xfId="18904"/>
    <cellStyle name="Komórka zaznaczona 2 36" xfId="18905"/>
    <cellStyle name="Komórka zaznaczona 2 37" xfId="18906"/>
    <cellStyle name="Komórka zaznaczona 2 38" xfId="18907"/>
    <cellStyle name="Komórka zaznaczona 2 39" xfId="18908"/>
    <cellStyle name="Komórka zaznaczona 2 4" xfId="18909"/>
    <cellStyle name="Komórka zaznaczona 2 4 2" xfId="18910"/>
    <cellStyle name="Komórka zaznaczona 2 4 3" xfId="18911"/>
    <cellStyle name="Komórka zaznaczona 2 4 4" xfId="18912"/>
    <cellStyle name="Komórka zaznaczona 2 4 5" xfId="18913"/>
    <cellStyle name="Komórka zaznaczona 2 4 6" xfId="18914"/>
    <cellStyle name="Komórka zaznaczona 2 4 7" xfId="18915"/>
    <cellStyle name="Komórka zaznaczona 2 40" xfId="18916"/>
    <cellStyle name="Komórka zaznaczona 2 41" xfId="18917"/>
    <cellStyle name="Komórka zaznaczona 2 42" xfId="18918"/>
    <cellStyle name="Komórka zaznaczona 2 43" xfId="18919"/>
    <cellStyle name="Komórka zaznaczona 2 44" xfId="18920"/>
    <cellStyle name="Komórka zaznaczona 2 45" xfId="18921"/>
    <cellStyle name="Komórka zaznaczona 2 46" xfId="18922"/>
    <cellStyle name="Komórka zaznaczona 2 47" xfId="18923"/>
    <cellStyle name="Komórka zaznaczona 2 48" xfId="18924"/>
    <cellStyle name="Komórka zaznaczona 2 49" xfId="18925"/>
    <cellStyle name="Komórka zaznaczona 2 5" xfId="18926"/>
    <cellStyle name="Komórka zaznaczona 2 5 2" xfId="18927"/>
    <cellStyle name="Komórka zaznaczona 2 5 3" xfId="18928"/>
    <cellStyle name="Komórka zaznaczona 2 5 4" xfId="18929"/>
    <cellStyle name="Komórka zaznaczona 2 5 5" xfId="18930"/>
    <cellStyle name="Komórka zaznaczona 2 5 6" xfId="18931"/>
    <cellStyle name="Komórka zaznaczona 2 5 7" xfId="18932"/>
    <cellStyle name="Komórka zaznaczona 2 50" xfId="18933"/>
    <cellStyle name="Komórka zaznaczona 2 51" xfId="18934"/>
    <cellStyle name="Komórka zaznaczona 2 52" xfId="18935"/>
    <cellStyle name="Komórka zaznaczona 2 53" xfId="18936"/>
    <cellStyle name="Komórka zaznaczona 2 54" xfId="18937"/>
    <cellStyle name="Komórka zaznaczona 2 6" xfId="18938"/>
    <cellStyle name="Komórka zaznaczona 2 6 2" xfId="18939"/>
    <cellStyle name="Komórka zaznaczona 2 6 3" xfId="18940"/>
    <cellStyle name="Komórka zaznaczona 2 6 4" xfId="18941"/>
    <cellStyle name="Komórka zaznaczona 2 6 5" xfId="18942"/>
    <cellStyle name="Komórka zaznaczona 2 6 6" xfId="18943"/>
    <cellStyle name="Komórka zaznaczona 2 6 7" xfId="18944"/>
    <cellStyle name="Komórka zaznaczona 2 7" xfId="18945"/>
    <cellStyle name="Komórka zaznaczona 2 7 2" xfId="18946"/>
    <cellStyle name="Komórka zaznaczona 2 7 3" xfId="18947"/>
    <cellStyle name="Komórka zaznaczona 2 7 4" xfId="18948"/>
    <cellStyle name="Komórka zaznaczona 2 7 5" xfId="18949"/>
    <cellStyle name="Komórka zaznaczona 2 7 6" xfId="18950"/>
    <cellStyle name="Komórka zaznaczona 2 7 7" xfId="18951"/>
    <cellStyle name="Komórka zaznaczona 2 8" xfId="18952"/>
    <cellStyle name="Komórka zaznaczona 2 8 2" xfId="18953"/>
    <cellStyle name="Komórka zaznaczona 2 8 3" xfId="18954"/>
    <cellStyle name="Komórka zaznaczona 2 8 4" xfId="18955"/>
    <cellStyle name="Komórka zaznaczona 2 8 5" xfId="18956"/>
    <cellStyle name="Komórka zaznaczona 2 8 6" xfId="18957"/>
    <cellStyle name="Komórka zaznaczona 2 8 7" xfId="18958"/>
    <cellStyle name="Komórka zaznaczona 2 9" xfId="18959"/>
    <cellStyle name="Komórka zaznaczona 2 9 2" xfId="18960"/>
    <cellStyle name="Komórka zaznaczona 2 9 3" xfId="18961"/>
    <cellStyle name="Komórka zaznaczona 2 9 4" xfId="18962"/>
    <cellStyle name="Komórka zaznaczona 2 9 5" xfId="18963"/>
    <cellStyle name="Komórka zaznaczona 2 9 6" xfId="18964"/>
    <cellStyle name="Komórka zaznaczona 2 9 7" xfId="18965"/>
    <cellStyle name="Komórka zaznaczona 3" xfId="18966"/>
    <cellStyle name="Komórka zaznaczona 3 10" xfId="18967"/>
    <cellStyle name="Komórka zaznaczona 3 2" xfId="18968"/>
    <cellStyle name="Komórka zaznaczona 3 2 2" xfId="18969"/>
    <cellStyle name="Komórka zaznaczona 3 2 3" xfId="18970"/>
    <cellStyle name="Komórka zaznaczona 3 3" xfId="18971"/>
    <cellStyle name="Komórka zaznaczona 3 4" xfId="18972"/>
    <cellStyle name="Komórka zaznaczona 3 5" xfId="18973"/>
    <cellStyle name="Komórka zaznaczona 3 6" xfId="18974"/>
    <cellStyle name="Komórka zaznaczona 3 7" xfId="18975"/>
    <cellStyle name="Komórka zaznaczona 3 8" xfId="18976"/>
    <cellStyle name="Komórka zaznaczona 3 9" xfId="18977"/>
    <cellStyle name="Komórka zaznaczona 4" xfId="18978"/>
    <cellStyle name="Komórka zaznaczona 4 10" xfId="18979"/>
    <cellStyle name="Komórka zaznaczona 4 2" xfId="18980"/>
    <cellStyle name="Komórka zaznaczona 4 3" xfId="18981"/>
    <cellStyle name="Komórka zaznaczona 4 4" xfId="18982"/>
    <cellStyle name="Komórka zaznaczona 4 5" xfId="18983"/>
    <cellStyle name="Komórka zaznaczona 4 6" xfId="18984"/>
    <cellStyle name="Komórka zaznaczona 4 7" xfId="18985"/>
    <cellStyle name="Komórka zaznaczona 4 8" xfId="18986"/>
    <cellStyle name="Komórka zaznaczona 4 9" xfId="18987"/>
    <cellStyle name="Komórka zaznaczona 5" xfId="18988"/>
    <cellStyle name="Komórka zaznaczona 5 2" xfId="18989"/>
    <cellStyle name="Komórka zaznaczona 5 3" xfId="18990"/>
    <cellStyle name="Komórka zaznaczona 6" xfId="18991"/>
    <cellStyle name="Komórka zaznaczona 6 2" xfId="18992"/>
    <cellStyle name="Komórka zaznaczona 7" xfId="18993"/>
    <cellStyle name="LP0" xfId="18994"/>
    <cellStyle name="měny_laroux" xfId="18995"/>
    <cellStyle name="Miglia - Style1" xfId="18996"/>
    <cellStyle name="Migliaia (0)" xfId="18997"/>
    <cellStyle name="Milliers [0]_CASHUPDA" xfId="18998"/>
    <cellStyle name="Milliers_CASHUPDA" xfId="18999"/>
    <cellStyle name="Monétaire [0]_CASHUPDA" xfId="19000"/>
    <cellStyle name="Monétaire_CASHUPDA" xfId="19001"/>
    <cellStyle name="Nagłówek 1 2" xfId="19002"/>
    <cellStyle name="Nagłówek 1 2 10" xfId="19003"/>
    <cellStyle name="Nagłówek 1 2 10 2" xfId="19004"/>
    <cellStyle name="Nagłówek 1 2 10 3" xfId="19005"/>
    <cellStyle name="Nagłówek 1 2 10 4" xfId="19006"/>
    <cellStyle name="Nagłówek 1 2 10 5" xfId="19007"/>
    <cellStyle name="Nagłówek 1 2 10 6" xfId="19008"/>
    <cellStyle name="Nagłówek 1 2 10 7" xfId="19009"/>
    <cellStyle name="Nagłówek 1 2 11" xfId="19010"/>
    <cellStyle name="Nagłówek 1 2 11 2" xfId="19011"/>
    <cellStyle name="Nagłówek 1 2 11 3" xfId="19012"/>
    <cellStyle name="Nagłówek 1 2 11 4" xfId="19013"/>
    <cellStyle name="Nagłówek 1 2 11 5" xfId="19014"/>
    <cellStyle name="Nagłówek 1 2 11 6" xfId="19015"/>
    <cellStyle name="Nagłówek 1 2 11 7" xfId="19016"/>
    <cellStyle name="Nagłówek 1 2 12" xfId="19017"/>
    <cellStyle name="Nagłówek 1 2 12 2" xfId="19018"/>
    <cellStyle name="Nagłówek 1 2 12 3" xfId="19019"/>
    <cellStyle name="Nagłówek 1 2 12 4" xfId="19020"/>
    <cellStyle name="Nagłówek 1 2 12 5" xfId="19021"/>
    <cellStyle name="Nagłówek 1 2 12 6" xfId="19022"/>
    <cellStyle name="Nagłówek 1 2 12 7" xfId="19023"/>
    <cellStyle name="Nagłówek 1 2 13" xfId="19024"/>
    <cellStyle name="Nagłówek 1 2 13 2" xfId="19025"/>
    <cellStyle name="Nagłówek 1 2 13 3" xfId="19026"/>
    <cellStyle name="Nagłówek 1 2 13 4" xfId="19027"/>
    <cellStyle name="Nagłówek 1 2 13 5" xfId="19028"/>
    <cellStyle name="Nagłówek 1 2 13 6" xfId="19029"/>
    <cellStyle name="Nagłówek 1 2 13 7" xfId="19030"/>
    <cellStyle name="Nagłówek 1 2 14" xfId="19031"/>
    <cellStyle name="Nagłówek 1 2 14 2" xfId="19032"/>
    <cellStyle name="Nagłówek 1 2 14 3" xfId="19033"/>
    <cellStyle name="Nagłówek 1 2 14 4" xfId="19034"/>
    <cellStyle name="Nagłówek 1 2 14 5" xfId="19035"/>
    <cellStyle name="Nagłówek 1 2 14 6" xfId="19036"/>
    <cellStyle name="Nagłówek 1 2 14 7" xfId="19037"/>
    <cellStyle name="Nagłówek 1 2 15" xfId="19038"/>
    <cellStyle name="Nagłówek 1 2 15 2" xfId="19039"/>
    <cellStyle name="Nagłówek 1 2 15 3" xfId="19040"/>
    <cellStyle name="Nagłówek 1 2 15 4" xfId="19041"/>
    <cellStyle name="Nagłówek 1 2 15 5" xfId="19042"/>
    <cellStyle name="Nagłówek 1 2 15 6" xfId="19043"/>
    <cellStyle name="Nagłówek 1 2 15 7" xfId="19044"/>
    <cellStyle name="Nagłówek 1 2 16" xfId="19045"/>
    <cellStyle name="Nagłówek 1 2 16 2" xfId="19046"/>
    <cellStyle name="Nagłówek 1 2 16 3" xfId="19047"/>
    <cellStyle name="Nagłówek 1 2 16 4" xfId="19048"/>
    <cellStyle name="Nagłówek 1 2 16 5" xfId="19049"/>
    <cellStyle name="Nagłówek 1 2 16 6" xfId="19050"/>
    <cellStyle name="Nagłówek 1 2 16 7" xfId="19051"/>
    <cellStyle name="Nagłówek 1 2 17" xfId="19052"/>
    <cellStyle name="Nagłówek 1 2 17 2" xfId="19053"/>
    <cellStyle name="Nagłówek 1 2 17 3" xfId="19054"/>
    <cellStyle name="Nagłówek 1 2 17 4" xfId="19055"/>
    <cellStyle name="Nagłówek 1 2 17 5" xfId="19056"/>
    <cellStyle name="Nagłówek 1 2 17 6" xfId="19057"/>
    <cellStyle name="Nagłówek 1 2 17 7" xfId="19058"/>
    <cellStyle name="Nagłówek 1 2 18" xfId="19059"/>
    <cellStyle name="Nagłówek 1 2 18 2" xfId="19060"/>
    <cellStyle name="Nagłówek 1 2 18 3" xfId="19061"/>
    <cellStyle name="Nagłówek 1 2 18 4" xfId="19062"/>
    <cellStyle name="Nagłówek 1 2 18 5" xfId="19063"/>
    <cellStyle name="Nagłówek 1 2 18 6" xfId="19064"/>
    <cellStyle name="Nagłówek 1 2 18 7" xfId="19065"/>
    <cellStyle name="Nagłówek 1 2 19" xfId="19066"/>
    <cellStyle name="Nagłówek 1 2 19 2" xfId="19067"/>
    <cellStyle name="Nagłówek 1 2 19 3" xfId="19068"/>
    <cellStyle name="Nagłówek 1 2 19 4" xfId="19069"/>
    <cellStyle name="Nagłówek 1 2 19 5" xfId="19070"/>
    <cellStyle name="Nagłówek 1 2 19 6" xfId="19071"/>
    <cellStyle name="Nagłówek 1 2 19 7" xfId="19072"/>
    <cellStyle name="Nagłówek 1 2 2" xfId="19073"/>
    <cellStyle name="Nagłówek 1 2 2 2" xfId="19074"/>
    <cellStyle name="Nagłówek 1 2 2 3" xfId="19075"/>
    <cellStyle name="Nagłówek 1 2 2 4" xfId="19076"/>
    <cellStyle name="Nagłówek 1 2 2 5" xfId="19077"/>
    <cellStyle name="Nagłówek 1 2 2 6" xfId="19078"/>
    <cellStyle name="Nagłówek 1 2 2 7" xfId="19079"/>
    <cellStyle name="Nagłówek 1 2 2 8" xfId="19080"/>
    <cellStyle name="Nagłówek 1 2 20" xfId="19081"/>
    <cellStyle name="Nagłówek 1 2 20 2" xfId="19082"/>
    <cellStyle name="Nagłówek 1 2 20 3" xfId="19083"/>
    <cellStyle name="Nagłówek 1 2 20 4" xfId="19084"/>
    <cellStyle name="Nagłówek 1 2 20 5" xfId="19085"/>
    <cellStyle name="Nagłówek 1 2 20 6" xfId="19086"/>
    <cellStyle name="Nagłówek 1 2 20 7" xfId="19087"/>
    <cellStyle name="Nagłówek 1 2 21" xfId="19088"/>
    <cellStyle name="Nagłówek 1 2 21 2" xfId="19089"/>
    <cellStyle name="Nagłówek 1 2 21 3" xfId="19090"/>
    <cellStyle name="Nagłówek 1 2 21 4" xfId="19091"/>
    <cellStyle name="Nagłówek 1 2 21 5" xfId="19092"/>
    <cellStyle name="Nagłówek 1 2 21 6" xfId="19093"/>
    <cellStyle name="Nagłówek 1 2 21 7" xfId="19094"/>
    <cellStyle name="Nagłówek 1 2 22" xfId="19095"/>
    <cellStyle name="Nagłówek 1 2 22 2" xfId="19096"/>
    <cellStyle name="Nagłówek 1 2 22 3" xfId="19097"/>
    <cellStyle name="Nagłówek 1 2 22 4" xfId="19098"/>
    <cellStyle name="Nagłówek 1 2 22 5" xfId="19099"/>
    <cellStyle name="Nagłówek 1 2 22 6" xfId="19100"/>
    <cellStyle name="Nagłówek 1 2 22 7" xfId="19101"/>
    <cellStyle name="Nagłówek 1 2 23" xfId="19102"/>
    <cellStyle name="Nagłówek 1 2 23 2" xfId="19103"/>
    <cellStyle name="Nagłówek 1 2 23 3" xfId="19104"/>
    <cellStyle name="Nagłówek 1 2 23 4" xfId="19105"/>
    <cellStyle name="Nagłówek 1 2 23 5" xfId="19106"/>
    <cellStyle name="Nagłówek 1 2 23 6" xfId="19107"/>
    <cellStyle name="Nagłówek 1 2 23 7" xfId="19108"/>
    <cellStyle name="Nagłówek 1 2 24" xfId="19109"/>
    <cellStyle name="Nagłówek 1 2 24 2" xfId="19110"/>
    <cellStyle name="Nagłówek 1 2 24 3" xfId="19111"/>
    <cellStyle name="Nagłówek 1 2 24 4" xfId="19112"/>
    <cellStyle name="Nagłówek 1 2 24 5" xfId="19113"/>
    <cellStyle name="Nagłówek 1 2 24 6" xfId="19114"/>
    <cellStyle name="Nagłówek 1 2 24 7" xfId="19115"/>
    <cellStyle name="Nagłówek 1 2 25" xfId="19116"/>
    <cellStyle name="Nagłówek 1 2 25 2" xfId="19117"/>
    <cellStyle name="Nagłówek 1 2 25 3" xfId="19118"/>
    <cellStyle name="Nagłówek 1 2 25 4" xfId="19119"/>
    <cellStyle name="Nagłówek 1 2 25 5" xfId="19120"/>
    <cellStyle name="Nagłówek 1 2 25 6" xfId="19121"/>
    <cellStyle name="Nagłówek 1 2 25 7" xfId="19122"/>
    <cellStyle name="Nagłówek 1 2 26" xfId="19123"/>
    <cellStyle name="Nagłówek 1 2 26 2" xfId="19124"/>
    <cellStyle name="Nagłówek 1 2 26 3" xfId="19125"/>
    <cellStyle name="Nagłówek 1 2 26 4" xfId="19126"/>
    <cellStyle name="Nagłówek 1 2 26 5" xfId="19127"/>
    <cellStyle name="Nagłówek 1 2 26 6" xfId="19128"/>
    <cellStyle name="Nagłówek 1 2 26 7" xfId="19129"/>
    <cellStyle name="Nagłówek 1 2 27" xfId="19130"/>
    <cellStyle name="Nagłówek 1 2 27 2" xfId="19131"/>
    <cellStyle name="Nagłówek 1 2 27 3" xfId="19132"/>
    <cellStyle name="Nagłówek 1 2 27 4" xfId="19133"/>
    <cellStyle name="Nagłówek 1 2 27 5" xfId="19134"/>
    <cellStyle name="Nagłówek 1 2 27 6" xfId="19135"/>
    <cellStyle name="Nagłówek 1 2 27 7" xfId="19136"/>
    <cellStyle name="Nagłówek 1 2 28" xfId="19137"/>
    <cellStyle name="Nagłówek 1 2 28 2" xfId="19138"/>
    <cellStyle name="Nagłówek 1 2 28 3" xfId="19139"/>
    <cellStyle name="Nagłówek 1 2 28 4" xfId="19140"/>
    <cellStyle name="Nagłówek 1 2 28 5" xfId="19141"/>
    <cellStyle name="Nagłówek 1 2 28 6" xfId="19142"/>
    <cellStyle name="Nagłówek 1 2 28 7" xfId="19143"/>
    <cellStyle name="Nagłówek 1 2 29" xfId="19144"/>
    <cellStyle name="Nagłówek 1 2 29 2" xfId="19145"/>
    <cellStyle name="Nagłówek 1 2 3" xfId="19146"/>
    <cellStyle name="Nagłówek 1 2 3 2" xfId="19147"/>
    <cellStyle name="Nagłówek 1 2 3 3" xfId="19148"/>
    <cellStyle name="Nagłówek 1 2 3 4" xfId="19149"/>
    <cellStyle name="Nagłówek 1 2 3 5" xfId="19150"/>
    <cellStyle name="Nagłówek 1 2 3 6" xfId="19151"/>
    <cellStyle name="Nagłówek 1 2 3 7" xfId="19152"/>
    <cellStyle name="Nagłówek 1 2 30" xfId="19153"/>
    <cellStyle name="Nagłówek 1 2 30 2" xfId="19154"/>
    <cellStyle name="Nagłówek 1 2 31" xfId="19155"/>
    <cellStyle name="Nagłówek 1 2 31 2" xfId="19156"/>
    <cellStyle name="Nagłówek 1 2 32" xfId="19157"/>
    <cellStyle name="Nagłówek 1 2 32 2" xfId="19158"/>
    <cellStyle name="Nagłówek 1 2 33" xfId="19159"/>
    <cellStyle name="Nagłówek 1 2 34" xfId="19160"/>
    <cellStyle name="Nagłówek 1 2 35" xfId="19161"/>
    <cellStyle name="Nagłówek 1 2 36" xfId="19162"/>
    <cellStyle name="Nagłówek 1 2 37" xfId="19163"/>
    <cellStyle name="Nagłówek 1 2 38" xfId="19164"/>
    <cellStyle name="Nagłówek 1 2 39" xfId="19165"/>
    <cellStyle name="Nagłówek 1 2 4" xfId="19166"/>
    <cellStyle name="Nagłówek 1 2 4 2" xfId="19167"/>
    <cellStyle name="Nagłówek 1 2 4 3" xfId="19168"/>
    <cellStyle name="Nagłówek 1 2 4 4" xfId="19169"/>
    <cellStyle name="Nagłówek 1 2 4 5" xfId="19170"/>
    <cellStyle name="Nagłówek 1 2 4 6" xfId="19171"/>
    <cellStyle name="Nagłówek 1 2 4 7" xfId="19172"/>
    <cellStyle name="Nagłówek 1 2 40" xfId="19173"/>
    <cellStyle name="Nagłówek 1 2 41" xfId="19174"/>
    <cellStyle name="Nagłówek 1 2 42" xfId="19175"/>
    <cellStyle name="Nagłówek 1 2 43" xfId="19176"/>
    <cellStyle name="Nagłówek 1 2 44" xfId="19177"/>
    <cellStyle name="Nagłówek 1 2 45" xfId="19178"/>
    <cellStyle name="Nagłówek 1 2 46" xfId="19179"/>
    <cellStyle name="Nagłówek 1 2 47" xfId="19180"/>
    <cellStyle name="Nagłówek 1 2 48" xfId="19181"/>
    <cellStyle name="Nagłówek 1 2 49" xfId="19182"/>
    <cellStyle name="Nagłówek 1 2 5" xfId="19183"/>
    <cellStyle name="Nagłówek 1 2 5 2" xfId="19184"/>
    <cellStyle name="Nagłówek 1 2 5 3" xfId="19185"/>
    <cellStyle name="Nagłówek 1 2 5 4" xfId="19186"/>
    <cellStyle name="Nagłówek 1 2 5 5" xfId="19187"/>
    <cellStyle name="Nagłówek 1 2 5 6" xfId="19188"/>
    <cellStyle name="Nagłówek 1 2 5 7" xfId="19189"/>
    <cellStyle name="Nagłówek 1 2 50" xfId="19190"/>
    <cellStyle name="Nagłówek 1 2 51" xfId="19191"/>
    <cellStyle name="Nagłówek 1 2 52" xfId="19192"/>
    <cellStyle name="Nagłówek 1 2 53" xfId="19193"/>
    <cellStyle name="Nagłówek 1 2 6" xfId="19194"/>
    <cellStyle name="Nagłówek 1 2 6 2" xfId="19195"/>
    <cellStyle name="Nagłówek 1 2 6 3" xfId="19196"/>
    <cellStyle name="Nagłówek 1 2 6 4" xfId="19197"/>
    <cellStyle name="Nagłówek 1 2 6 5" xfId="19198"/>
    <cellStyle name="Nagłówek 1 2 6 6" xfId="19199"/>
    <cellStyle name="Nagłówek 1 2 6 7" xfId="19200"/>
    <cellStyle name="Nagłówek 1 2 7" xfId="19201"/>
    <cellStyle name="Nagłówek 1 2 7 2" xfId="19202"/>
    <cellStyle name="Nagłówek 1 2 7 3" xfId="19203"/>
    <cellStyle name="Nagłówek 1 2 7 4" xfId="19204"/>
    <cellStyle name="Nagłówek 1 2 7 5" xfId="19205"/>
    <cellStyle name="Nagłówek 1 2 7 6" xfId="19206"/>
    <cellStyle name="Nagłówek 1 2 7 7" xfId="19207"/>
    <cellStyle name="Nagłówek 1 2 8" xfId="19208"/>
    <cellStyle name="Nagłówek 1 2 8 2" xfId="19209"/>
    <cellStyle name="Nagłówek 1 2 8 3" xfId="19210"/>
    <cellStyle name="Nagłówek 1 2 8 4" xfId="19211"/>
    <cellStyle name="Nagłówek 1 2 8 5" xfId="19212"/>
    <cellStyle name="Nagłówek 1 2 8 6" xfId="19213"/>
    <cellStyle name="Nagłówek 1 2 8 7" xfId="19214"/>
    <cellStyle name="Nagłówek 1 2 9" xfId="19215"/>
    <cellStyle name="Nagłówek 1 2 9 2" xfId="19216"/>
    <cellStyle name="Nagłówek 1 2 9 3" xfId="19217"/>
    <cellStyle name="Nagłówek 1 2 9 4" xfId="19218"/>
    <cellStyle name="Nagłówek 1 2 9 5" xfId="19219"/>
    <cellStyle name="Nagłówek 1 2 9 6" xfId="19220"/>
    <cellStyle name="Nagłówek 1 2 9 7" xfId="19221"/>
    <cellStyle name="Nagłówek 1 3" xfId="19222"/>
    <cellStyle name="Nagłówek 1 3 2" xfId="19223"/>
    <cellStyle name="Nagłówek 1 3 2 2" xfId="19224"/>
    <cellStyle name="Nagłówek 1 3 3" xfId="19225"/>
    <cellStyle name="Nagłówek 1 3 4" xfId="19226"/>
    <cellStyle name="Nagłówek 1 3 5" xfId="19227"/>
    <cellStyle name="Nagłówek 1 4" xfId="19228"/>
    <cellStyle name="Nagłówek 1 4 2" xfId="19229"/>
    <cellStyle name="Nagłówek 1 4 3" xfId="19230"/>
    <cellStyle name="Nagłówek 1 4 4" xfId="19231"/>
    <cellStyle name="Nagłówek 1 4 5" xfId="19232"/>
    <cellStyle name="Nagłówek 1 5" xfId="19233"/>
    <cellStyle name="Nagłówek 1 5 2" xfId="19234"/>
    <cellStyle name="Nagłówek 1 5 3" xfId="19235"/>
    <cellStyle name="Nagłówek 1 6" xfId="19236"/>
    <cellStyle name="Nagłówek 1 6 2" xfId="19237"/>
    <cellStyle name="Nagłówek 1 7" xfId="19238"/>
    <cellStyle name="Nagłówek 2 2" xfId="19239"/>
    <cellStyle name="Nagłówek 2 2 10" xfId="19240"/>
    <cellStyle name="Nagłówek 2 2 10 2" xfId="19241"/>
    <cellStyle name="Nagłówek 2 2 10 3" xfId="19242"/>
    <cellStyle name="Nagłówek 2 2 10 4" xfId="19243"/>
    <cellStyle name="Nagłówek 2 2 10 5" xfId="19244"/>
    <cellStyle name="Nagłówek 2 2 10 6" xfId="19245"/>
    <cellStyle name="Nagłówek 2 2 10 7" xfId="19246"/>
    <cellStyle name="Nagłówek 2 2 11" xfId="19247"/>
    <cellStyle name="Nagłówek 2 2 11 2" xfId="19248"/>
    <cellStyle name="Nagłówek 2 2 11 3" xfId="19249"/>
    <cellStyle name="Nagłówek 2 2 11 4" xfId="19250"/>
    <cellStyle name="Nagłówek 2 2 11 5" xfId="19251"/>
    <cellStyle name="Nagłówek 2 2 11 6" xfId="19252"/>
    <cellStyle name="Nagłówek 2 2 11 7" xfId="19253"/>
    <cellStyle name="Nagłówek 2 2 12" xfId="19254"/>
    <cellStyle name="Nagłówek 2 2 12 2" xfId="19255"/>
    <cellStyle name="Nagłówek 2 2 12 3" xfId="19256"/>
    <cellStyle name="Nagłówek 2 2 12 4" xfId="19257"/>
    <cellStyle name="Nagłówek 2 2 12 5" xfId="19258"/>
    <cellStyle name="Nagłówek 2 2 12 6" xfId="19259"/>
    <cellStyle name="Nagłówek 2 2 12 7" xfId="19260"/>
    <cellStyle name="Nagłówek 2 2 13" xfId="19261"/>
    <cellStyle name="Nagłówek 2 2 13 2" xfId="19262"/>
    <cellStyle name="Nagłówek 2 2 13 3" xfId="19263"/>
    <cellStyle name="Nagłówek 2 2 13 4" xfId="19264"/>
    <cellStyle name="Nagłówek 2 2 13 5" xfId="19265"/>
    <cellStyle name="Nagłówek 2 2 13 6" xfId="19266"/>
    <cellStyle name="Nagłówek 2 2 13 7" xfId="19267"/>
    <cellStyle name="Nagłówek 2 2 14" xfId="19268"/>
    <cellStyle name="Nagłówek 2 2 14 2" xfId="19269"/>
    <cellStyle name="Nagłówek 2 2 14 3" xfId="19270"/>
    <cellStyle name="Nagłówek 2 2 14 4" xfId="19271"/>
    <cellStyle name="Nagłówek 2 2 14 5" xfId="19272"/>
    <cellStyle name="Nagłówek 2 2 14 6" xfId="19273"/>
    <cellStyle name="Nagłówek 2 2 14 7" xfId="19274"/>
    <cellStyle name="Nagłówek 2 2 15" xfId="19275"/>
    <cellStyle name="Nagłówek 2 2 15 2" xfId="19276"/>
    <cellStyle name="Nagłówek 2 2 15 3" xfId="19277"/>
    <cellStyle name="Nagłówek 2 2 15 4" xfId="19278"/>
    <cellStyle name="Nagłówek 2 2 15 5" xfId="19279"/>
    <cellStyle name="Nagłówek 2 2 15 6" xfId="19280"/>
    <cellStyle name="Nagłówek 2 2 15 7" xfId="19281"/>
    <cellStyle name="Nagłówek 2 2 16" xfId="19282"/>
    <cellStyle name="Nagłówek 2 2 16 2" xfId="19283"/>
    <cellStyle name="Nagłówek 2 2 16 3" xfId="19284"/>
    <cellStyle name="Nagłówek 2 2 16 4" xfId="19285"/>
    <cellStyle name="Nagłówek 2 2 16 5" xfId="19286"/>
    <cellStyle name="Nagłówek 2 2 16 6" xfId="19287"/>
    <cellStyle name="Nagłówek 2 2 16 7" xfId="19288"/>
    <cellStyle name="Nagłówek 2 2 17" xfId="19289"/>
    <cellStyle name="Nagłówek 2 2 17 2" xfId="19290"/>
    <cellStyle name="Nagłówek 2 2 17 3" xfId="19291"/>
    <cellStyle name="Nagłówek 2 2 17 4" xfId="19292"/>
    <cellStyle name="Nagłówek 2 2 17 5" xfId="19293"/>
    <cellStyle name="Nagłówek 2 2 17 6" xfId="19294"/>
    <cellStyle name="Nagłówek 2 2 17 7" xfId="19295"/>
    <cellStyle name="Nagłówek 2 2 18" xfId="19296"/>
    <cellStyle name="Nagłówek 2 2 18 2" xfId="19297"/>
    <cellStyle name="Nagłówek 2 2 18 3" xfId="19298"/>
    <cellStyle name="Nagłówek 2 2 18 4" xfId="19299"/>
    <cellStyle name="Nagłówek 2 2 18 5" xfId="19300"/>
    <cellStyle name="Nagłówek 2 2 18 6" xfId="19301"/>
    <cellStyle name="Nagłówek 2 2 18 7" xfId="19302"/>
    <cellStyle name="Nagłówek 2 2 19" xfId="19303"/>
    <cellStyle name="Nagłówek 2 2 19 2" xfId="19304"/>
    <cellStyle name="Nagłówek 2 2 19 3" xfId="19305"/>
    <cellStyle name="Nagłówek 2 2 19 4" xfId="19306"/>
    <cellStyle name="Nagłówek 2 2 19 5" xfId="19307"/>
    <cellStyle name="Nagłówek 2 2 19 6" xfId="19308"/>
    <cellStyle name="Nagłówek 2 2 19 7" xfId="19309"/>
    <cellStyle name="Nagłówek 2 2 2" xfId="19310"/>
    <cellStyle name="Nagłówek 2 2 2 2" xfId="19311"/>
    <cellStyle name="Nagłówek 2 2 2 3" xfId="19312"/>
    <cellStyle name="Nagłówek 2 2 2 4" xfId="19313"/>
    <cellStyle name="Nagłówek 2 2 2 5" xfId="19314"/>
    <cellStyle name="Nagłówek 2 2 2 6" xfId="19315"/>
    <cellStyle name="Nagłówek 2 2 2 7" xfId="19316"/>
    <cellStyle name="Nagłówek 2 2 2 8" xfId="19317"/>
    <cellStyle name="Nagłówek 2 2 20" xfId="19318"/>
    <cellStyle name="Nagłówek 2 2 20 2" xfId="19319"/>
    <cellStyle name="Nagłówek 2 2 20 3" xfId="19320"/>
    <cellStyle name="Nagłówek 2 2 20 4" xfId="19321"/>
    <cellStyle name="Nagłówek 2 2 20 5" xfId="19322"/>
    <cellStyle name="Nagłówek 2 2 20 6" xfId="19323"/>
    <cellStyle name="Nagłówek 2 2 20 7" xfId="19324"/>
    <cellStyle name="Nagłówek 2 2 21" xfId="19325"/>
    <cellStyle name="Nagłówek 2 2 21 2" xfId="19326"/>
    <cellStyle name="Nagłówek 2 2 21 3" xfId="19327"/>
    <cellStyle name="Nagłówek 2 2 21 4" xfId="19328"/>
    <cellStyle name="Nagłówek 2 2 21 5" xfId="19329"/>
    <cellStyle name="Nagłówek 2 2 21 6" xfId="19330"/>
    <cellStyle name="Nagłówek 2 2 21 7" xfId="19331"/>
    <cellStyle name="Nagłówek 2 2 22" xfId="19332"/>
    <cellStyle name="Nagłówek 2 2 22 2" xfId="19333"/>
    <cellStyle name="Nagłówek 2 2 22 3" xfId="19334"/>
    <cellStyle name="Nagłówek 2 2 22 4" xfId="19335"/>
    <cellStyle name="Nagłówek 2 2 22 5" xfId="19336"/>
    <cellStyle name="Nagłówek 2 2 22 6" xfId="19337"/>
    <cellStyle name="Nagłówek 2 2 22 7" xfId="19338"/>
    <cellStyle name="Nagłówek 2 2 23" xfId="19339"/>
    <cellStyle name="Nagłówek 2 2 23 2" xfId="19340"/>
    <cellStyle name="Nagłówek 2 2 23 3" xfId="19341"/>
    <cellStyle name="Nagłówek 2 2 23 4" xfId="19342"/>
    <cellStyle name="Nagłówek 2 2 23 5" xfId="19343"/>
    <cellStyle name="Nagłówek 2 2 23 6" xfId="19344"/>
    <cellStyle name="Nagłówek 2 2 23 7" xfId="19345"/>
    <cellStyle name="Nagłówek 2 2 24" xfId="19346"/>
    <cellStyle name="Nagłówek 2 2 24 2" xfId="19347"/>
    <cellStyle name="Nagłówek 2 2 24 3" xfId="19348"/>
    <cellStyle name="Nagłówek 2 2 24 4" xfId="19349"/>
    <cellStyle name="Nagłówek 2 2 24 5" xfId="19350"/>
    <cellStyle name="Nagłówek 2 2 24 6" xfId="19351"/>
    <cellStyle name="Nagłówek 2 2 24 7" xfId="19352"/>
    <cellStyle name="Nagłówek 2 2 25" xfId="19353"/>
    <cellStyle name="Nagłówek 2 2 25 2" xfId="19354"/>
    <cellStyle name="Nagłówek 2 2 25 3" xfId="19355"/>
    <cellStyle name="Nagłówek 2 2 25 4" xfId="19356"/>
    <cellStyle name="Nagłówek 2 2 25 5" xfId="19357"/>
    <cellStyle name="Nagłówek 2 2 25 6" xfId="19358"/>
    <cellStyle name="Nagłówek 2 2 25 7" xfId="19359"/>
    <cellStyle name="Nagłówek 2 2 26" xfId="19360"/>
    <cellStyle name="Nagłówek 2 2 26 2" xfId="19361"/>
    <cellStyle name="Nagłówek 2 2 26 3" xfId="19362"/>
    <cellStyle name="Nagłówek 2 2 26 4" xfId="19363"/>
    <cellStyle name="Nagłówek 2 2 26 5" xfId="19364"/>
    <cellStyle name="Nagłówek 2 2 26 6" xfId="19365"/>
    <cellStyle name="Nagłówek 2 2 26 7" xfId="19366"/>
    <cellStyle name="Nagłówek 2 2 27" xfId="19367"/>
    <cellStyle name="Nagłówek 2 2 27 2" xfId="19368"/>
    <cellStyle name="Nagłówek 2 2 27 3" xfId="19369"/>
    <cellStyle name="Nagłówek 2 2 27 4" xfId="19370"/>
    <cellStyle name="Nagłówek 2 2 27 5" xfId="19371"/>
    <cellStyle name="Nagłówek 2 2 27 6" xfId="19372"/>
    <cellStyle name="Nagłówek 2 2 27 7" xfId="19373"/>
    <cellStyle name="Nagłówek 2 2 28" xfId="19374"/>
    <cellStyle name="Nagłówek 2 2 28 2" xfId="19375"/>
    <cellStyle name="Nagłówek 2 2 28 3" xfId="19376"/>
    <cellStyle name="Nagłówek 2 2 28 4" xfId="19377"/>
    <cellStyle name="Nagłówek 2 2 28 5" xfId="19378"/>
    <cellStyle name="Nagłówek 2 2 28 6" xfId="19379"/>
    <cellStyle name="Nagłówek 2 2 28 7" xfId="19380"/>
    <cellStyle name="Nagłówek 2 2 29" xfId="19381"/>
    <cellStyle name="Nagłówek 2 2 29 2" xfId="19382"/>
    <cellStyle name="Nagłówek 2 2 3" xfId="19383"/>
    <cellStyle name="Nagłówek 2 2 3 2" xfId="19384"/>
    <cellStyle name="Nagłówek 2 2 3 3" xfId="19385"/>
    <cellStyle name="Nagłówek 2 2 3 4" xfId="19386"/>
    <cellStyle name="Nagłówek 2 2 3 5" xfId="19387"/>
    <cellStyle name="Nagłówek 2 2 3 6" xfId="19388"/>
    <cellStyle name="Nagłówek 2 2 3 7" xfId="19389"/>
    <cellStyle name="Nagłówek 2 2 30" xfId="19390"/>
    <cellStyle name="Nagłówek 2 2 30 2" xfId="19391"/>
    <cellStyle name="Nagłówek 2 2 31" xfId="19392"/>
    <cellStyle name="Nagłówek 2 2 31 2" xfId="19393"/>
    <cellStyle name="Nagłówek 2 2 32" xfId="19394"/>
    <cellStyle name="Nagłówek 2 2 32 2" xfId="19395"/>
    <cellStyle name="Nagłówek 2 2 33" xfId="19396"/>
    <cellStyle name="Nagłówek 2 2 34" xfId="19397"/>
    <cellStyle name="Nagłówek 2 2 35" xfId="19398"/>
    <cellStyle name="Nagłówek 2 2 36" xfId="19399"/>
    <cellStyle name="Nagłówek 2 2 37" xfId="19400"/>
    <cellStyle name="Nagłówek 2 2 38" xfId="19401"/>
    <cellStyle name="Nagłówek 2 2 39" xfId="19402"/>
    <cellStyle name="Nagłówek 2 2 4" xfId="19403"/>
    <cellStyle name="Nagłówek 2 2 4 2" xfId="19404"/>
    <cellStyle name="Nagłówek 2 2 4 3" xfId="19405"/>
    <cellStyle name="Nagłówek 2 2 4 4" xfId="19406"/>
    <cellStyle name="Nagłówek 2 2 4 5" xfId="19407"/>
    <cellStyle name="Nagłówek 2 2 4 6" xfId="19408"/>
    <cellStyle name="Nagłówek 2 2 4 7" xfId="19409"/>
    <cellStyle name="Nagłówek 2 2 40" xfId="19410"/>
    <cellStyle name="Nagłówek 2 2 41" xfId="19411"/>
    <cellStyle name="Nagłówek 2 2 42" xfId="19412"/>
    <cellStyle name="Nagłówek 2 2 43" xfId="19413"/>
    <cellStyle name="Nagłówek 2 2 44" xfId="19414"/>
    <cellStyle name="Nagłówek 2 2 45" xfId="19415"/>
    <cellStyle name="Nagłówek 2 2 46" xfId="19416"/>
    <cellStyle name="Nagłówek 2 2 47" xfId="19417"/>
    <cellStyle name="Nagłówek 2 2 48" xfId="19418"/>
    <cellStyle name="Nagłówek 2 2 49" xfId="19419"/>
    <cellStyle name="Nagłówek 2 2 5" xfId="19420"/>
    <cellStyle name="Nagłówek 2 2 5 2" xfId="19421"/>
    <cellStyle name="Nagłówek 2 2 5 3" xfId="19422"/>
    <cellStyle name="Nagłówek 2 2 5 4" xfId="19423"/>
    <cellStyle name="Nagłówek 2 2 5 5" xfId="19424"/>
    <cellStyle name="Nagłówek 2 2 5 6" xfId="19425"/>
    <cellStyle name="Nagłówek 2 2 5 7" xfId="19426"/>
    <cellStyle name="Nagłówek 2 2 50" xfId="19427"/>
    <cellStyle name="Nagłówek 2 2 51" xfId="19428"/>
    <cellStyle name="Nagłówek 2 2 52" xfId="19429"/>
    <cellStyle name="Nagłówek 2 2 53" xfId="19430"/>
    <cellStyle name="Nagłówek 2 2 6" xfId="19431"/>
    <cellStyle name="Nagłówek 2 2 6 2" xfId="19432"/>
    <cellStyle name="Nagłówek 2 2 6 3" xfId="19433"/>
    <cellStyle name="Nagłówek 2 2 6 4" xfId="19434"/>
    <cellStyle name="Nagłówek 2 2 6 5" xfId="19435"/>
    <cellStyle name="Nagłówek 2 2 6 6" xfId="19436"/>
    <cellStyle name="Nagłówek 2 2 6 7" xfId="19437"/>
    <cellStyle name="Nagłówek 2 2 7" xfId="19438"/>
    <cellStyle name="Nagłówek 2 2 7 2" xfId="19439"/>
    <cellStyle name="Nagłówek 2 2 7 3" xfId="19440"/>
    <cellStyle name="Nagłówek 2 2 7 4" xfId="19441"/>
    <cellStyle name="Nagłówek 2 2 7 5" xfId="19442"/>
    <cellStyle name="Nagłówek 2 2 7 6" xfId="19443"/>
    <cellStyle name="Nagłówek 2 2 7 7" xfId="19444"/>
    <cellStyle name="Nagłówek 2 2 8" xfId="19445"/>
    <cellStyle name="Nagłówek 2 2 8 2" xfId="19446"/>
    <cellStyle name="Nagłówek 2 2 8 3" xfId="19447"/>
    <cellStyle name="Nagłówek 2 2 8 4" xfId="19448"/>
    <cellStyle name="Nagłówek 2 2 8 5" xfId="19449"/>
    <cellStyle name="Nagłówek 2 2 8 6" xfId="19450"/>
    <cellStyle name="Nagłówek 2 2 8 7" xfId="19451"/>
    <cellStyle name="Nagłówek 2 2 9" xfId="19452"/>
    <cellStyle name="Nagłówek 2 2 9 2" xfId="19453"/>
    <cellStyle name="Nagłówek 2 2 9 3" xfId="19454"/>
    <cellStyle name="Nagłówek 2 2 9 4" xfId="19455"/>
    <cellStyle name="Nagłówek 2 2 9 5" xfId="19456"/>
    <cellStyle name="Nagłówek 2 2 9 6" xfId="19457"/>
    <cellStyle name="Nagłówek 2 2 9 7" xfId="19458"/>
    <cellStyle name="Nagłówek 2 3" xfId="19459"/>
    <cellStyle name="Nagłówek 2 3 2" xfId="19460"/>
    <cellStyle name="Nagłówek 2 3 2 2" xfId="19461"/>
    <cellStyle name="Nagłówek 2 3 3" xfId="19462"/>
    <cellStyle name="Nagłówek 2 3 4" xfId="19463"/>
    <cellStyle name="Nagłówek 2 3 5" xfId="19464"/>
    <cellStyle name="Nagłówek 2 4" xfId="19465"/>
    <cellStyle name="Nagłówek 2 4 2" xfId="19466"/>
    <cellStyle name="Nagłówek 2 4 3" xfId="19467"/>
    <cellStyle name="Nagłówek 2 4 4" xfId="19468"/>
    <cellStyle name="Nagłówek 2 4 5" xfId="19469"/>
    <cellStyle name="Nagłówek 2 5" xfId="19470"/>
    <cellStyle name="Nagłówek 2 5 2" xfId="19471"/>
    <cellStyle name="Nagłówek 2 5 3" xfId="19472"/>
    <cellStyle name="Nagłówek 2 6" xfId="19473"/>
    <cellStyle name="Nagłówek 2 6 2" xfId="19474"/>
    <cellStyle name="Nagłówek 2 7" xfId="19475"/>
    <cellStyle name="Nagłówek 3 2" xfId="19476"/>
    <cellStyle name="Nagłówek 3 2 10" xfId="19477"/>
    <cellStyle name="Nagłówek 3 2 10 2" xfId="19478"/>
    <cellStyle name="Nagłówek 3 2 10 3" xfId="19479"/>
    <cellStyle name="Nagłówek 3 2 10 4" xfId="19480"/>
    <cellStyle name="Nagłówek 3 2 10 5" xfId="19481"/>
    <cellStyle name="Nagłówek 3 2 10 6" xfId="19482"/>
    <cellStyle name="Nagłówek 3 2 10 7" xfId="19483"/>
    <cellStyle name="Nagłówek 3 2 11" xfId="19484"/>
    <cellStyle name="Nagłówek 3 2 11 2" xfId="19485"/>
    <cellStyle name="Nagłówek 3 2 11 3" xfId="19486"/>
    <cellStyle name="Nagłówek 3 2 11 4" xfId="19487"/>
    <cellStyle name="Nagłówek 3 2 11 5" xfId="19488"/>
    <cellStyle name="Nagłówek 3 2 11 6" xfId="19489"/>
    <cellStyle name="Nagłówek 3 2 11 7" xfId="19490"/>
    <cellStyle name="Nagłówek 3 2 12" xfId="19491"/>
    <cellStyle name="Nagłówek 3 2 12 2" xfId="19492"/>
    <cellStyle name="Nagłówek 3 2 12 3" xfId="19493"/>
    <cellStyle name="Nagłówek 3 2 12 4" xfId="19494"/>
    <cellStyle name="Nagłówek 3 2 12 5" xfId="19495"/>
    <cellStyle name="Nagłówek 3 2 12 6" xfId="19496"/>
    <cellStyle name="Nagłówek 3 2 12 7" xfId="19497"/>
    <cellStyle name="Nagłówek 3 2 13" xfId="19498"/>
    <cellStyle name="Nagłówek 3 2 13 2" xfId="19499"/>
    <cellStyle name="Nagłówek 3 2 13 3" xfId="19500"/>
    <cellStyle name="Nagłówek 3 2 13 4" xfId="19501"/>
    <cellStyle name="Nagłówek 3 2 13 5" xfId="19502"/>
    <cellStyle name="Nagłówek 3 2 13 6" xfId="19503"/>
    <cellStyle name="Nagłówek 3 2 13 7" xfId="19504"/>
    <cellStyle name="Nagłówek 3 2 14" xfId="19505"/>
    <cellStyle name="Nagłówek 3 2 14 2" xfId="19506"/>
    <cellStyle name="Nagłówek 3 2 14 3" xfId="19507"/>
    <cellStyle name="Nagłówek 3 2 14 4" xfId="19508"/>
    <cellStyle name="Nagłówek 3 2 14 5" xfId="19509"/>
    <cellStyle name="Nagłówek 3 2 14 6" xfId="19510"/>
    <cellStyle name="Nagłówek 3 2 14 7" xfId="19511"/>
    <cellStyle name="Nagłówek 3 2 15" xfId="19512"/>
    <cellStyle name="Nagłówek 3 2 15 2" xfId="19513"/>
    <cellStyle name="Nagłówek 3 2 15 3" xfId="19514"/>
    <cellStyle name="Nagłówek 3 2 15 4" xfId="19515"/>
    <cellStyle name="Nagłówek 3 2 15 5" xfId="19516"/>
    <cellStyle name="Nagłówek 3 2 15 6" xfId="19517"/>
    <cellStyle name="Nagłówek 3 2 15 7" xfId="19518"/>
    <cellStyle name="Nagłówek 3 2 16" xfId="19519"/>
    <cellStyle name="Nagłówek 3 2 16 2" xfId="19520"/>
    <cellStyle name="Nagłówek 3 2 16 3" xfId="19521"/>
    <cellStyle name="Nagłówek 3 2 16 4" xfId="19522"/>
    <cellStyle name="Nagłówek 3 2 16 5" xfId="19523"/>
    <cellStyle name="Nagłówek 3 2 16 6" xfId="19524"/>
    <cellStyle name="Nagłówek 3 2 16 7" xfId="19525"/>
    <cellStyle name="Nagłówek 3 2 17" xfId="19526"/>
    <cellStyle name="Nagłówek 3 2 17 2" xfId="19527"/>
    <cellStyle name="Nagłówek 3 2 17 3" xfId="19528"/>
    <cellStyle name="Nagłówek 3 2 17 4" xfId="19529"/>
    <cellStyle name="Nagłówek 3 2 17 5" xfId="19530"/>
    <cellStyle name="Nagłówek 3 2 17 6" xfId="19531"/>
    <cellStyle name="Nagłówek 3 2 17 7" xfId="19532"/>
    <cellStyle name="Nagłówek 3 2 18" xfId="19533"/>
    <cellStyle name="Nagłówek 3 2 18 2" xfId="19534"/>
    <cellStyle name="Nagłówek 3 2 18 3" xfId="19535"/>
    <cellStyle name="Nagłówek 3 2 18 4" xfId="19536"/>
    <cellStyle name="Nagłówek 3 2 18 5" xfId="19537"/>
    <cellStyle name="Nagłówek 3 2 18 6" xfId="19538"/>
    <cellStyle name="Nagłówek 3 2 18 7" xfId="19539"/>
    <cellStyle name="Nagłówek 3 2 19" xfId="19540"/>
    <cellStyle name="Nagłówek 3 2 19 2" xfId="19541"/>
    <cellStyle name="Nagłówek 3 2 19 3" xfId="19542"/>
    <cellStyle name="Nagłówek 3 2 19 4" xfId="19543"/>
    <cellStyle name="Nagłówek 3 2 19 5" xfId="19544"/>
    <cellStyle name="Nagłówek 3 2 19 6" xfId="19545"/>
    <cellStyle name="Nagłówek 3 2 19 7" xfId="19546"/>
    <cellStyle name="Nagłówek 3 2 2" xfId="19547"/>
    <cellStyle name="Nagłówek 3 2 2 2" xfId="19548"/>
    <cellStyle name="Nagłówek 3 2 2 3" xfId="19549"/>
    <cellStyle name="Nagłówek 3 2 2 4" xfId="19550"/>
    <cellStyle name="Nagłówek 3 2 2 5" xfId="19551"/>
    <cellStyle name="Nagłówek 3 2 2 6" xfId="19552"/>
    <cellStyle name="Nagłówek 3 2 2 7" xfId="19553"/>
    <cellStyle name="Nagłówek 3 2 2 8" xfId="19554"/>
    <cellStyle name="Nagłówek 3 2 20" xfId="19555"/>
    <cellStyle name="Nagłówek 3 2 20 2" xfId="19556"/>
    <cellStyle name="Nagłówek 3 2 20 3" xfId="19557"/>
    <cellStyle name="Nagłówek 3 2 20 4" xfId="19558"/>
    <cellStyle name="Nagłówek 3 2 20 5" xfId="19559"/>
    <cellStyle name="Nagłówek 3 2 20 6" xfId="19560"/>
    <cellStyle name="Nagłówek 3 2 20 7" xfId="19561"/>
    <cellStyle name="Nagłówek 3 2 21" xfId="19562"/>
    <cellStyle name="Nagłówek 3 2 21 2" xfId="19563"/>
    <cellStyle name="Nagłówek 3 2 21 3" xfId="19564"/>
    <cellStyle name="Nagłówek 3 2 21 4" xfId="19565"/>
    <cellStyle name="Nagłówek 3 2 21 5" xfId="19566"/>
    <cellStyle name="Nagłówek 3 2 21 6" xfId="19567"/>
    <cellStyle name="Nagłówek 3 2 21 7" xfId="19568"/>
    <cellStyle name="Nagłówek 3 2 22" xfId="19569"/>
    <cellStyle name="Nagłówek 3 2 22 2" xfId="19570"/>
    <cellStyle name="Nagłówek 3 2 22 3" xfId="19571"/>
    <cellStyle name="Nagłówek 3 2 22 4" xfId="19572"/>
    <cellStyle name="Nagłówek 3 2 22 5" xfId="19573"/>
    <cellStyle name="Nagłówek 3 2 22 6" xfId="19574"/>
    <cellStyle name="Nagłówek 3 2 22 7" xfId="19575"/>
    <cellStyle name="Nagłówek 3 2 23" xfId="19576"/>
    <cellStyle name="Nagłówek 3 2 23 2" xfId="19577"/>
    <cellStyle name="Nagłówek 3 2 23 3" xfId="19578"/>
    <cellStyle name="Nagłówek 3 2 23 4" xfId="19579"/>
    <cellStyle name="Nagłówek 3 2 23 5" xfId="19580"/>
    <cellStyle name="Nagłówek 3 2 23 6" xfId="19581"/>
    <cellStyle name="Nagłówek 3 2 23 7" xfId="19582"/>
    <cellStyle name="Nagłówek 3 2 24" xfId="19583"/>
    <cellStyle name="Nagłówek 3 2 24 2" xfId="19584"/>
    <cellStyle name="Nagłówek 3 2 24 3" xfId="19585"/>
    <cellStyle name="Nagłówek 3 2 24 4" xfId="19586"/>
    <cellStyle name="Nagłówek 3 2 24 5" xfId="19587"/>
    <cellStyle name="Nagłówek 3 2 24 6" xfId="19588"/>
    <cellStyle name="Nagłówek 3 2 24 7" xfId="19589"/>
    <cellStyle name="Nagłówek 3 2 25" xfId="19590"/>
    <cellStyle name="Nagłówek 3 2 25 2" xfId="19591"/>
    <cellStyle name="Nagłówek 3 2 25 3" xfId="19592"/>
    <cellStyle name="Nagłówek 3 2 25 4" xfId="19593"/>
    <cellStyle name="Nagłówek 3 2 25 5" xfId="19594"/>
    <cellStyle name="Nagłówek 3 2 25 6" xfId="19595"/>
    <cellStyle name="Nagłówek 3 2 25 7" xfId="19596"/>
    <cellStyle name="Nagłówek 3 2 26" xfId="19597"/>
    <cellStyle name="Nagłówek 3 2 26 2" xfId="19598"/>
    <cellStyle name="Nagłówek 3 2 26 3" xfId="19599"/>
    <cellStyle name="Nagłówek 3 2 26 4" xfId="19600"/>
    <cellStyle name="Nagłówek 3 2 26 5" xfId="19601"/>
    <cellStyle name="Nagłówek 3 2 26 6" xfId="19602"/>
    <cellStyle name="Nagłówek 3 2 26 7" xfId="19603"/>
    <cellStyle name="Nagłówek 3 2 27" xfId="19604"/>
    <cellStyle name="Nagłówek 3 2 27 2" xfId="19605"/>
    <cellStyle name="Nagłówek 3 2 27 3" xfId="19606"/>
    <cellStyle name="Nagłówek 3 2 27 4" xfId="19607"/>
    <cellStyle name="Nagłówek 3 2 27 5" xfId="19608"/>
    <cellStyle name="Nagłówek 3 2 27 6" xfId="19609"/>
    <cellStyle name="Nagłówek 3 2 27 7" xfId="19610"/>
    <cellStyle name="Nagłówek 3 2 28" xfId="19611"/>
    <cellStyle name="Nagłówek 3 2 28 2" xfId="19612"/>
    <cellStyle name="Nagłówek 3 2 28 3" xfId="19613"/>
    <cellStyle name="Nagłówek 3 2 28 4" xfId="19614"/>
    <cellStyle name="Nagłówek 3 2 28 5" xfId="19615"/>
    <cellStyle name="Nagłówek 3 2 28 6" xfId="19616"/>
    <cellStyle name="Nagłówek 3 2 28 7" xfId="19617"/>
    <cellStyle name="Nagłówek 3 2 29" xfId="19618"/>
    <cellStyle name="Nagłówek 3 2 29 2" xfId="19619"/>
    <cellStyle name="Nagłówek 3 2 3" xfId="19620"/>
    <cellStyle name="Nagłówek 3 2 3 2" xfId="19621"/>
    <cellStyle name="Nagłówek 3 2 3 3" xfId="19622"/>
    <cellStyle name="Nagłówek 3 2 3 4" xfId="19623"/>
    <cellStyle name="Nagłówek 3 2 3 5" xfId="19624"/>
    <cellStyle name="Nagłówek 3 2 3 6" xfId="19625"/>
    <cellStyle name="Nagłówek 3 2 3 7" xfId="19626"/>
    <cellStyle name="Nagłówek 3 2 30" xfId="19627"/>
    <cellStyle name="Nagłówek 3 2 30 2" xfId="19628"/>
    <cellStyle name="Nagłówek 3 2 31" xfId="19629"/>
    <cellStyle name="Nagłówek 3 2 31 2" xfId="19630"/>
    <cellStyle name="Nagłówek 3 2 32" xfId="19631"/>
    <cellStyle name="Nagłówek 3 2 32 2" xfId="19632"/>
    <cellStyle name="Nagłówek 3 2 33" xfId="19633"/>
    <cellStyle name="Nagłówek 3 2 34" xfId="19634"/>
    <cellStyle name="Nagłówek 3 2 35" xfId="19635"/>
    <cellStyle name="Nagłówek 3 2 36" xfId="19636"/>
    <cellStyle name="Nagłówek 3 2 37" xfId="19637"/>
    <cellStyle name="Nagłówek 3 2 38" xfId="19638"/>
    <cellStyle name="Nagłówek 3 2 39" xfId="19639"/>
    <cellStyle name="Nagłówek 3 2 4" xfId="19640"/>
    <cellStyle name="Nagłówek 3 2 4 2" xfId="19641"/>
    <cellStyle name="Nagłówek 3 2 4 3" xfId="19642"/>
    <cellStyle name="Nagłówek 3 2 4 4" xfId="19643"/>
    <cellStyle name="Nagłówek 3 2 4 5" xfId="19644"/>
    <cellStyle name="Nagłówek 3 2 4 6" xfId="19645"/>
    <cellStyle name="Nagłówek 3 2 4 7" xfId="19646"/>
    <cellStyle name="Nagłówek 3 2 40" xfId="19647"/>
    <cellStyle name="Nagłówek 3 2 41" xfId="19648"/>
    <cellStyle name="Nagłówek 3 2 42" xfId="19649"/>
    <cellStyle name="Nagłówek 3 2 43" xfId="19650"/>
    <cellStyle name="Nagłówek 3 2 44" xfId="19651"/>
    <cellStyle name="Nagłówek 3 2 45" xfId="19652"/>
    <cellStyle name="Nagłówek 3 2 46" xfId="19653"/>
    <cellStyle name="Nagłówek 3 2 47" xfId="19654"/>
    <cellStyle name="Nagłówek 3 2 48" xfId="19655"/>
    <cellStyle name="Nagłówek 3 2 49" xfId="19656"/>
    <cellStyle name="Nagłówek 3 2 5" xfId="19657"/>
    <cellStyle name="Nagłówek 3 2 5 2" xfId="19658"/>
    <cellStyle name="Nagłówek 3 2 5 3" xfId="19659"/>
    <cellStyle name="Nagłówek 3 2 5 4" xfId="19660"/>
    <cellStyle name="Nagłówek 3 2 5 5" xfId="19661"/>
    <cellStyle name="Nagłówek 3 2 5 6" xfId="19662"/>
    <cellStyle name="Nagłówek 3 2 5 7" xfId="19663"/>
    <cellStyle name="Nagłówek 3 2 50" xfId="19664"/>
    <cellStyle name="Nagłówek 3 2 51" xfId="19665"/>
    <cellStyle name="Nagłówek 3 2 52" xfId="19666"/>
    <cellStyle name="Nagłówek 3 2 53" xfId="19667"/>
    <cellStyle name="Nagłówek 3 2 6" xfId="19668"/>
    <cellStyle name="Nagłówek 3 2 6 2" xfId="19669"/>
    <cellStyle name="Nagłówek 3 2 6 3" xfId="19670"/>
    <cellStyle name="Nagłówek 3 2 6 4" xfId="19671"/>
    <cellStyle name="Nagłówek 3 2 6 5" xfId="19672"/>
    <cellStyle name="Nagłówek 3 2 6 6" xfId="19673"/>
    <cellStyle name="Nagłówek 3 2 6 7" xfId="19674"/>
    <cellStyle name="Nagłówek 3 2 7" xfId="19675"/>
    <cellStyle name="Nagłówek 3 2 7 2" xfId="19676"/>
    <cellStyle name="Nagłówek 3 2 7 3" xfId="19677"/>
    <cellStyle name="Nagłówek 3 2 7 4" xfId="19678"/>
    <cellStyle name="Nagłówek 3 2 7 5" xfId="19679"/>
    <cellStyle name="Nagłówek 3 2 7 6" xfId="19680"/>
    <cellStyle name="Nagłówek 3 2 7 7" xfId="19681"/>
    <cellStyle name="Nagłówek 3 2 8" xfId="19682"/>
    <cellStyle name="Nagłówek 3 2 8 2" xfId="19683"/>
    <cellStyle name="Nagłówek 3 2 8 3" xfId="19684"/>
    <cellStyle name="Nagłówek 3 2 8 4" xfId="19685"/>
    <cellStyle name="Nagłówek 3 2 8 5" xfId="19686"/>
    <cellStyle name="Nagłówek 3 2 8 6" xfId="19687"/>
    <cellStyle name="Nagłówek 3 2 8 7" xfId="19688"/>
    <cellStyle name="Nagłówek 3 2 9" xfId="19689"/>
    <cellStyle name="Nagłówek 3 2 9 2" xfId="19690"/>
    <cellStyle name="Nagłówek 3 2 9 3" xfId="19691"/>
    <cellStyle name="Nagłówek 3 2 9 4" xfId="19692"/>
    <cellStyle name="Nagłówek 3 2 9 5" xfId="19693"/>
    <cellStyle name="Nagłówek 3 2 9 6" xfId="19694"/>
    <cellStyle name="Nagłówek 3 2 9 7" xfId="19695"/>
    <cellStyle name="Nagłówek 3 3" xfId="19696"/>
    <cellStyle name="Nagłówek 3 3 2" xfId="19697"/>
    <cellStyle name="Nagłówek 3 3 2 2" xfId="19698"/>
    <cellStyle name="Nagłówek 3 3 3" xfId="19699"/>
    <cellStyle name="Nagłówek 3 3 4" xfId="19700"/>
    <cellStyle name="Nagłówek 3 3 5" xfId="19701"/>
    <cellStyle name="Nagłówek 3 4" xfId="19702"/>
    <cellStyle name="Nagłówek 3 4 2" xfId="19703"/>
    <cellStyle name="Nagłówek 3 4 3" xfId="19704"/>
    <cellStyle name="Nagłówek 3 4 4" xfId="19705"/>
    <cellStyle name="Nagłówek 3 4 5" xfId="19706"/>
    <cellStyle name="Nagłówek 3 5" xfId="19707"/>
    <cellStyle name="Nagłówek 3 5 2" xfId="19708"/>
    <cellStyle name="Nagłówek 3 5 3" xfId="19709"/>
    <cellStyle name="Nagłówek 3 6" xfId="19710"/>
    <cellStyle name="Nagłówek 3 6 2" xfId="19711"/>
    <cellStyle name="Nagłówek 3 7" xfId="19712"/>
    <cellStyle name="Nagłówek 4 2" xfId="19713"/>
    <cellStyle name="Nagłówek 4 2 10" xfId="19714"/>
    <cellStyle name="Nagłówek 4 2 10 2" xfId="19715"/>
    <cellStyle name="Nagłówek 4 2 10 3" xfId="19716"/>
    <cellStyle name="Nagłówek 4 2 10 4" xfId="19717"/>
    <cellStyle name="Nagłówek 4 2 10 5" xfId="19718"/>
    <cellStyle name="Nagłówek 4 2 10 6" xfId="19719"/>
    <cellStyle name="Nagłówek 4 2 10 7" xfId="19720"/>
    <cellStyle name="Nagłówek 4 2 11" xfId="19721"/>
    <cellStyle name="Nagłówek 4 2 11 2" xfId="19722"/>
    <cellStyle name="Nagłówek 4 2 11 3" xfId="19723"/>
    <cellStyle name="Nagłówek 4 2 11 4" xfId="19724"/>
    <cellStyle name="Nagłówek 4 2 11 5" xfId="19725"/>
    <cellStyle name="Nagłówek 4 2 11 6" xfId="19726"/>
    <cellStyle name="Nagłówek 4 2 11 7" xfId="19727"/>
    <cellStyle name="Nagłówek 4 2 12" xfId="19728"/>
    <cellStyle name="Nagłówek 4 2 12 2" xfId="19729"/>
    <cellStyle name="Nagłówek 4 2 12 3" xfId="19730"/>
    <cellStyle name="Nagłówek 4 2 12 4" xfId="19731"/>
    <cellStyle name="Nagłówek 4 2 12 5" xfId="19732"/>
    <cellStyle name="Nagłówek 4 2 12 6" xfId="19733"/>
    <cellStyle name="Nagłówek 4 2 12 7" xfId="19734"/>
    <cellStyle name="Nagłówek 4 2 13" xfId="19735"/>
    <cellStyle name="Nagłówek 4 2 13 2" xfId="19736"/>
    <cellStyle name="Nagłówek 4 2 13 3" xfId="19737"/>
    <cellStyle name="Nagłówek 4 2 13 4" xfId="19738"/>
    <cellStyle name="Nagłówek 4 2 13 5" xfId="19739"/>
    <cellStyle name="Nagłówek 4 2 13 6" xfId="19740"/>
    <cellStyle name="Nagłówek 4 2 13 7" xfId="19741"/>
    <cellStyle name="Nagłówek 4 2 14" xfId="19742"/>
    <cellStyle name="Nagłówek 4 2 14 2" xfId="19743"/>
    <cellStyle name="Nagłówek 4 2 14 3" xfId="19744"/>
    <cellStyle name="Nagłówek 4 2 14 4" xfId="19745"/>
    <cellStyle name="Nagłówek 4 2 14 5" xfId="19746"/>
    <cellStyle name="Nagłówek 4 2 14 6" xfId="19747"/>
    <cellStyle name="Nagłówek 4 2 14 7" xfId="19748"/>
    <cellStyle name="Nagłówek 4 2 15" xfId="19749"/>
    <cellStyle name="Nagłówek 4 2 15 2" xfId="19750"/>
    <cellStyle name="Nagłówek 4 2 15 3" xfId="19751"/>
    <cellStyle name="Nagłówek 4 2 15 4" xfId="19752"/>
    <cellStyle name="Nagłówek 4 2 15 5" xfId="19753"/>
    <cellStyle name="Nagłówek 4 2 15 6" xfId="19754"/>
    <cellStyle name="Nagłówek 4 2 15 7" xfId="19755"/>
    <cellStyle name="Nagłówek 4 2 16" xfId="19756"/>
    <cellStyle name="Nagłówek 4 2 16 2" xfId="19757"/>
    <cellStyle name="Nagłówek 4 2 16 3" xfId="19758"/>
    <cellStyle name="Nagłówek 4 2 16 4" xfId="19759"/>
    <cellStyle name="Nagłówek 4 2 16 5" xfId="19760"/>
    <cellStyle name="Nagłówek 4 2 16 6" xfId="19761"/>
    <cellStyle name="Nagłówek 4 2 16 7" xfId="19762"/>
    <cellStyle name="Nagłówek 4 2 17" xfId="19763"/>
    <cellStyle name="Nagłówek 4 2 17 2" xfId="19764"/>
    <cellStyle name="Nagłówek 4 2 17 3" xfId="19765"/>
    <cellStyle name="Nagłówek 4 2 17 4" xfId="19766"/>
    <cellStyle name="Nagłówek 4 2 17 5" xfId="19767"/>
    <cellStyle name="Nagłówek 4 2 17 6" xfId="19768"/>
    <cellStyle name="Nagłówek 4 2 17 7" xfId="19769"/>
    <cellStyle name="Nagłówek 4 2 18" xfId="19770"/>
    <cellStyle name="Nagłówek 4 2 18 2" xfId="19771"/>
    <cellStyle name="Nagłówek 4 2 18 3" xfId="19772"/>
    <cellStyle name="Nagłówek 4 2 18 4" xfId="19773"/>
    <cellStyle name="Nagłówek 4 2 18 5" xfId="19774"/>
    <cellStyle name="Nagłówek 4 2 18 6" xfId="19775"/>
    <cellStyle name="Nagłówek 4 2 18 7" xfId="19776"/>
    <cellStyle name="Nagłówek 4 2 19" xfId="19777"/>
    <cellStyle name="Nagłówek 4 2 19 2" xfId="19778"/>
    <cellStyle name="Nagłówek 4 2 19 3" xfId="19779"/>
    <cellStyle name="Nagłówek 4 2 19 4" xfId="19780"/>
    <cellStyle name="Nagłówek 4 2 19 5" xfId="19781"/>
    <cellStyle name="Nagłówek 4 2 19 6" xfId="19782"/>
    <cellStyle name="Nagłówek 4 2 19 7" xfId="19783"/>
    <cellStyle name="Nagłówek 4 2 2" xfId="19784"/>
    <cellStyle name="Nagłówek 4 2 2 2" xfId="19785"/>
    <cellStyle name="Nagłówek 4 2 2 3" xfId="19786"/>
    <cellStyle name="Nagłówek 4 2 2 4" xfId="19787"/>
    <cellStyle name="Nagłówek 4 2 2 5" xfId="19788"/>
    <cellStyle name="Nagłówek 4 2 2 6" xfId="19789"/>
    <cellStyle name="Nagłówek 4 2 2 7" xfId="19790"/>
    <cellStyle name="Nagłówek 4 2 2 8" xfId="19791"/>
    <cellStyle name="Nagłówek 4 2 20" xfId="19792"/>
    <cellStyle name="Nagłówek 4 2 20 2" xfId="19793"/>
    <cellStyle name="Nagłówek 4 2 20 3" xfId="19794"/>
    <cellStyle name="Nagłówek 4 2 20 4" xfId="19795"/>
    <cellStyle name="Nagłówek 4 2 20 5" xfId="19796"/>
    <cellStyle name="Nagłówek 4 2 20 6" xfId="19797"/>
    <cellStyle name="Nagłówek 4 2 20 7" xfId="19798"/>
    <cellStyle name="Nagłówek 4 2 21" xfId="19799"/>
    <cellStyle name="Nagłówek 4 2 21 2" xfId="19800"/>
    <cellStyle name="Nagłówek 4 2 21 3" xfId="19801"/>
    <cellStyle name="Nagłówek 4 2 21 4" xfId="19802"/>
    <cellStyle name="Nagłówek 4 2 21 5" xfId="19803"/>
    <cellStyle name="Nagłówek 4 2 21 6" xfId="19804"/>
    <cellStyle name="Nagłówek 4 2 21 7" xfId="19805"/>
    <cellStyle name="Nagłówek 4 2 22" xfId="19806"/>
    <cellStyle name="Nagłówek 4 2 22 2" xfId="19807"/>
    <cellStyle name="Nagłówek 4 2 22 3" xfId="19808"/>
    <cellStyle name="Nagłówek 4 2 22 4" xfId="19809"/>
    <cellStyle name="Nagłówek 4 2 22 5" xfId="19810"/>
    <cellStyle name="Nagłówek 4 2 22 6" xfId="19811"/>
    <cellStyle name="Nagłówek 4 2 22 7" xfId="19812"/>
    <cellStyle name="Nagłówek 4 2 23" xfId="19813"/>
    <cellStyle name="Nagłówek 4 2 23 2" xfId="19814"/>
    <cellStyle name="Nagłówek 4 2 23 3" xfId="19815"/>
    <cellStyle name="Nagłówek 4 2 23 4" xfId="19816"/>
    <cellStyle name="Nagłówek 4 2 23 5" xfId="19817"/>
    <cellStyle name="Nagłówek 4 2 23 6" xfId="19818"/>
    <cellStyle name="Nagłówek 4 2 23 7" xfId="19819"/>
    <cellStyle name="Nagłówek 4 2 24" xfId="19820"/>
    <cellStyle name="Nagłówek 4 2 24 2" xfId="19821"/>
    <cellStyle name="Nagłówek 4 2 24 3" xfId="19822"/>
    <cellStyle name="Nagłówek 4 2 24 4" xfId="19823"/>
    <cellStyle name="Nagłówek 4 2 24 5" xfId="19824"/>
    <cellStyle name="Nagłówek 4 2 24 6" xfId="19825"/>
    <cellStyle name="Nagłówek 4 2 24 7" xfId="19826"/>
    <cellStyle name="Nagłówek 4 2 25" xfId="19827"/>
    <cellStyle name="Nagłówek 4 2 25 2" xfId="19828"/>
    <cellStyle name="Nagłówek 4 2 25 3" xfId="19829"/>
    <cellStyle name="Nagłówek 4 2 25 4" xfId="19830"/>
    <cellStyle name="Nagłówek 4 2 25 5" xfId="19831"/>
    <cellStyle name="Nagłówek 4 2 25 6" xfId="19832"/>
    <cellStyle name="Nagłówek 4 2 25 7" xfId="19833"/>
    <cellStyle name="Nagłówek 4 2 26" xfId="19834"/>
    <cellStyle name="Nagłówek 4 2 26 2" xfId="19835"/>
    <cellStyle name="Nagłówek 4 2 26 3" xfId="19836"/>
    <cellStyle name="Nagłówek 4 2 26 4" xfId="19837"/>
    <cellStyle name="Nagłówek 4 2 26 5" xfId="19838"/>
    <cellStyle name="Nagłówek 4 2 26 6" xfId="19839"/>
    <cellStyle name="Nagłówek 4 2 26 7" xfId="19840"/>
    <cellStyle name="Nagłówek 4 2 27" xfId="19841"/>
    <cellStyle name="Nagłówek 4 2 27 2" xfId="19842"/>
    <cellStyle name="Nagłówek 4 2 27 3" xfId="19843"/>
    <cellStyle name="Nagłówek 4 2 27 4" xfId="19844"/>
    <cellStyle name="Nagłówek 4 2 27 5" xfId="19845"/>
    <cellStyle name="Nagłówek 4 2 27 6" xfId="19846"/>
    <cellStyle name="Nagłówek 4 2 27 7" xfId="19847"/>
    <cellStyle name="Nagłówek 4 2 28" xfId="19848"/>
    <cellStyle name="Nagłówek 4 2 28 2" xfId="19849"/>
    <cellStyle name="Nagłówek 4 2 28 3" xfId="19850"/>
    <cellStyle name="Nagłówek 4 2 28 4" xfId="19851"/>
    <cellStyle name="Nagłówek 4 2 28 5" xfId="19852"/>
    <cellStyle name="Nagłówek 4 2 28 6" xfId="19853"/>
    <cellStyle name="Nagłówek 4 2 28 7" xfId="19854"/>
    <cellStyle name="Nagłówek 4 2 29" xfId="19855"/>
    <cellStyle name="Nagłówek 4 2 29 2" xfId="19856"/>
    <cellStyle name="Nagłówek 4 2 3" xfId="19857"/>
    <cellStyle name="Nagłówek 4 2 3 2" xfId="19858"/>
    <cellStyle name="Nagłówek 4 2 3 3" xfId="19859"/>
    <cellStyle name="Nagłówek 4 2 3 4" xfId="19860"/>
    <cellStyle name="Nagłówek 4 2 3 5" xfId="19861"/>
    <cellStyle name="Nagłówek 4 2 3 6" xfId="19862"/>
    <cellStyle name="Nagłówek 4 2 3 7" xfId="19863"/>
    <cellStyle name="Nagłówek 4 2 30" xfId="19864"/>
    <cellStyle name="Nagłówek 4 2 30 2" xfId="19865"/>
    <cellStyle name="Nagłówek 4 2 31" xfId="19866"/>
    <cellStyle name="Nagłówek 4 2 31 2" xfId="19867"/>
    <cellStyle name="Nagłówek 4 2 32" xfId="19868"/>
    <cellStyle name="Nagłówek 4 2 32 2" xfId="19869"/>
    <cellStyle name="Nagłówek 4 2 33" xfId="19870"/>
    <cellStyle name="Nagłówek 4 2 34" xfId="19871"/>
    <cellStyle name="Nagłówek 4 2 35" xfId="19872"/>
    <cellStyle name="Nagłówek 4 2 36" xfId="19873"/>
    <cellStyle name="Nagłówek 4 2 37" xfId="19874"/>
    <cellStyle name="Nagłówek 4 2 38" xfId="19875"/>
    <cellStyle name="Nagłówek 4 2 39" xfId="19876"/>
    <cellStyle name="Nagłówek 4 2 4" xfId="19877"/>
    <cellStyle name="Nagłówek 4 2 4 2" xfId="19878"/>
    <cellStyle name="Nagłówek 4 2 4 3" xfId="19879"/>
    <cellStyle name="Nagłówek 4 2 4 4" xfId="19880"/>
    <cellStyle name="Nagłówek 4 2 4 5" xfId="19881"/>
    <cellStyle name="Nagłówek 4 2 4 6" xfId="19882"/>
    <cellStyle name="Nagłówek 4 2 4 7" xfId="19883"/>
    <cellStyle name="Nagłówek 4 2 40" xfId="19884"/>
    <cellStyle name="Nagłówek 4 2 41" xfId="19885"/>
    <cellStyle name="Nagłówek 4 2 42" xfId="19886"/>
    <cellStyle name="Nagłówek 4 2 43" xfId="19887"/>
    <cellStyle name="Nagłówek 4 2 44" xfId="19888"/>
    <cellStyle name="Nagłówek 4 2 45" xfId="19889"/>
    <cellStyle name="Nagłówek 4 2 46" xfId="19890"/>
    <cellStyle name="Nagłówek 4 2 47" xfId="19891"/>
    <cellStyle name="Nagłówek 4 2 48" xfId="19892"/>
    <cellStyle name="Nagłówek 4 2 49" xfId="19893"/>
    <cellStyle name="Nagłówek 4 2 5" xfId="19894"/>
    <cellStyle name="Nagłówek 4 2 5 2" xfId="19895"/>
    <cellStyle name="Nagłówek 4 2 5 3" xfId="19896"/>
    <cellStyle name="Nagłówek 4 2 5 4" xfId="19897"/>
    <cellStyle name="Nagłówek 4 2 5 5" xfId="19898"/>
    <cellStyle name="Nagłówek 4 2 5 6" xfId="19899"/>
    <cellStyle name="Nagłówek 4 2 5 7" xfId="19900"/>
    <cellStyle name="Nagłówek 4 2 50" xfId="19901"/>
    <cellStyle name="Nagłówek 4 2 51" xfId="19902"/>
    <cellStyle name="Nagłówek 4 2 52" xfId="19903"/>
    <cellStyle name="Nagłówek 4 2 53" xfId="19904"/>
    <cellStyle name="Nagłówek 4 2 6" xfId="19905"/>
    <cellStyle name="Nagłówek 4 2 6 2" xfId="19906"/>
    <cellStyle name="Nagłówek 4 2 6 3" xfId="19907"/>
    <cellStyle name="Nagłówek 4 2 6 4" xfId="19908"/>
    <cellStyle name="Nagłówek 4 2 6 5" xfId="19909"/>
    <cellStyle name="Nagłówek 4 2 6 6" xfId="19910"/>
    <cellStyle name="Nagłówek 4 2 6 7" xfId="19911"/>
    <cellStyle name="Nagłówek 4 2 7" xfId="19912"/>
    <cellStyle name="Nagłówek 4 2 7 2" xfId="19913"/>
    <cellStyle name="Nagłówek 4 2 7 3" xfId="19914"/>
    <cellStyle name="Nagłówek 4 2 7 4" xfId="19915"/>
    <cellStyle name="Nagłówek 4 2 7 5" xfId="19916"/>
    <cellStyle name="Nagłówek 4 2 7 6" xfId="19917"/>
    <cellStyle name="Nagłówek 4 2 7 7" xfId="19918"/>
    <cellStyle name="Nagłówek 4 2 8" xfId="19919"/>
    <cellStyle name="Nagłówek 4 2 8 2" xfId="19920"/>
    <cellStyle name="Nagłówek 4 2 8 3" xfId="19921"/>
    <cellStyle name="Nagłówek 4 2 8 4" xfId="19922"/>
    <cellStyle name="Nagłówek 4 2 8 5" xfId="19923"/>
    <cellStyle name="Nagłówek 4 2 8 6" xfId="19924"/>
    <cellStyle name="Nagłówek 4 2 8 7" xfId="19925"/>
    <cellStyle name="Nagłówek 4 2 9" xfId="19926"/>
    <cellStyle name="Nagłówek 4 2 9 2" xfId="19927"/>
    <cellStyle name="Nagłówek 4 2 9 3" xfId="19928"/>
    <cellStyle name="Nagłówek 4 2 9 4" xfId="19929"/>
    <cellStyle name="Nagłówek 4 2 9 5" xfId="19930"/>
    <cellStyle name="Nagłówek 4 2 9 6" xfId="19931"/>
    <cellStyle name="Nagłówek 4 2 9 7" xfId="19932"/>
    <cellStyle name="Nagłówek 4 3" xfId="19933"/>
    <cellStyle name="Nagłówek 4 3 2" xfId="19934"/>
    <cellStyle name="Nagłówek 4 3 2 2" xfId="19935"/>
    <cellStyle name="Nagłówek 4 3 3" xfId="19936"/>
    <cellStyle name="Nagłówek 4 3 4" xfId="19937"/>
    <cellStyle name="Nagłówek 4 3 5" xfId="19938"/>
    <cellStyle name="Nagłówek 4 4" xfId="19939"/>
    <cellStyle name="Nagłówek 4 4 2" xfId="19940"/>
    <cellStyle name="Nagłówek 4 4 3" xfId="19941"/>
    <cellStyle name="Nagłówek 4 4 4" xfId="19942"/>
    <cellStyle name="Nagłówek 4 4 5" xfId="19943"/>
    <cellStyle name="Nagłówek 4 5" xfId="19944"/>
    <cellStyle name="Nagłówek 4 5 2" xfId="19945"/>
    <cellStyle name="Nagłówek 4 5 3" xfId="19946"/>
    <cellStyle name="Nagłówek 4 6" xfId="19947"/>
    <cellStyle name="Nagłówek 4 6 2" xfId="19948"/>
    <cellStyle name="Nagłówek 4 7" xfId="19949"/>
    <cellStyle name="Neutralne 2" xfId="19950"/>
    <cellStyle name="Neutralne 2 10" xfId="19951"/>
    <cellStyle name="Neutralne 2 10 2" xfId="19952"/>
    <cellStyle name="Neutralne 2 10 3" xfId="19953"/>
    <cellStyle name="Neutralne 2 10 4" xfId="19954"/>
    <cellStyle name="Neutralne 2 10 5" xfId="19955"/>
    <cellStyle name="Neutralne 2 10 6" xfId="19956"/>
    <cellStyle name="Neutralne 2 10 7" xfId="19957"/>
    <cellStyle name="Neutralne 2 11" xfId="19958"/>
    <cellStyle name="Neutralne 2 11 2" xfId="19959"/>
    <cellStyle name="Neutralne 2 11 3" xfId="19960"/>
    <cellStyle name="Neutralne 2 11 4" xfId="19961"/>
    <cellStyle name="Neutralne 2 11 5" xfId="19962"/>
    <cellStyle name="Neutralne 2 11 6" xfId="19963"/>
    <cellStyle name="Neutralne 2 11 7" xfId="19964"/>
    <cellStyle name="Neutralne 2 12" xfId="19965"/>
    <cellStyle name="Neutralne 2 12 2" xfId="19966"/>
    <cellStyle name="Neutralne 2 12 3" xfId="19967"/>
    <cellStyle name="Neutralne 2 12 4" xfId="19968"/>
    <cellStyle name="Neutralne 2 12 5" xfId="19969"/>
    <cellStyle name="Neutralne 2 12 6" xfId="19970"/>
    <cellStyle name="Neutralne 2 12 7" xfId="19971"/>
    <cellStyle name="Neutralne 2 13" xfId="19972"/>
    <cellStyle name="Neutralne 2 13 2" xfId="19973"/>
    <cellStyle name="Neutralne 2 13 3" xfId="19974"/>
    <cellStyle name="Neutralne 2 13 4" xfId="19975"/>
    <cellStyle name="Neutralne 2 13 5" xfId="19976"/>
    <cellStyle name="Neutralne 2 13 6" xfId="19977"/>
    <cellStyle name="Neutralne 2 13 7" xfId="19978"/>
    <cellStyle name="Neutralne 2 14" xfId="19979"/>
    <cellStyle name="Neutralne 2 14 2" xfId="19980"/>
    <cellStyle name="Neutralne 2 14 3" xfId="19981"/>
    <cellStyle name="Neutralne 2 14 4" xfId="19982"/>
    <cellStyle name="Neutralne 2 14 5" xfId="19983"/>
    <cellStyle name="Neutralne 2 14 6" xfId="19984"/>
    <cellStyle name="Neutralne 2 14 7" xfId="19985"/>
    <cellStyle name="Neutralne 2 15" xfId="19986"/>
    <cellStyle name="Neutralne 2 15 2" xfId="19987"/>
    <cellStyle name="Neutralne 2 15 3" xfId="19988"/>
    <cellStyle name="Neutralne 2 15 4" xfId="19989"/>
    <cellStyle name="Neutralne 2 15 5" xfId="19990"/>
    <cellStyle name="Neutralne 2 15 6" xfId="19991"/>
    <cellStyle name="Neutralne 2 15 7" xfId="19992"/>
    <cellStyle name="Neutralne 2 16" xfId="19993"/>
    <cellStyle name="Neutralne 2 16 2" xfId="19994"/>
    <cellStyle name="Neutralne 2 16 3" xfId="19995"/>
    <cellStyle name="Neutralne 2 16 4" xfId="19996"/>
    <cellStyle name="Neutralne 2 16 5" xfId="19997"/>
    <cellStyle name="Neutralne 2 16 6" xfId="19998"/>
    <cellStyle name="Neutralne 2 16 7" xfId="19999"/>
    <cellStyle name="Neutralne 2 17" xfId="20000"/>
    <cellStyle name="Neutralne 2 17 2" xfId="20001"/>
    <cellStyle name="Neutralne 2 17 3" xfId="20002"/>
    <cellStyle name="Neutralne 2 17 4" xfId="20003"/>
    <cellStyle name="Neutralne 2 17 5" xfId="20004"/>
    <cellStyle name="Neutralne 2 17 6" xfId="20005"/>
    <cellStyle name="Neutralne 2 17 7" xfId="20006"/>
    <cellStyle name="Neutralne 2 18" xfId="20007"/>
    <cellStyle name="Neutralne 2 18 2" xfId="20008"/>
    <cellStyle name="Neutralne 2 18 3" xfId="20009"/>
    <cellStyle name="Neutralne 2 18 4" xfId="20010"/>
    <cellStyle name="Neutralne 2 18 5" xfId="20011"/>
    <cellStyle name="Neutralne 2 18 6" xfId="20012"/>
    <cellStyle name="Neutralne 2 18 7" xfId="20013"/>
    <cellStyle name="Neutralne 2 19" xfId="20014"/>
    <cellStyle name="Neutralne 2 19 2" xfId="20015"/>
    <cellStyle name="Neutralne 2 19 3" xfId="20016"/>
    <cellStyle name="Neutralne 2 19 4" xfId="20017"/>
    <cellStyle name="Neutralne 2 19 5" xfId="20018"/>
    <cellStyle name="Neutralne 2 19 6" xfId="20019"/>
    <cellStyle name="Neutralne 2 19 7" xfId="20020"/>
    <cellStyle name="Neutralne 2 2" xfId="20021"/>
    <cellStyle name="Neutralne 2 2 2" xfId="20022"/>
    <cellStyle name="Neutralne 2 2 3" xfId="20023"/>
    <cellStyle name="Neutralne 2 2 4" xfId="20024"/>
    <cellStyle name="Neutralne 2 2 5" xfId="20025"/>
    <cellStyle name="Neutralne 2 2 6" xfId="20026"/>
    <cellStyle name="Neutralne 2 2 7" xfId="20027"/>
    <cellStyle name="Neutralne 2 2 8" xfId="20028"/>
    <cellStyle name="Neutralne 2 20" xfId="20029"/>
    <cellStyle name="Neutralne 2 20 2" xfId="20030"/>
    <cellStyle name="Neutralne 2 20 3" xfId="20031"/>
    <cellStyle name="Neutralne 2 20 4" xfId="20032"/>
    <cellStyle name="Neutralne 2 20 5" xfId="20033"/>
    <cellStyle name="Neutralne 2 20 6" xfId="20034"/>
    <cellStyle name="Neutralne 2 20 7" xfId="20035"/>
    <cellStyle name="Neutralne 2 21" xfId="20036"/>
    <cellStyle name="Neutralne 2 21 2" xfId="20037"/>
    <cellStyle name="Neutralne 2 21 3" xfId="20038"/>
    <cellStyle name="Neutralne 2 21 4" xfId="20039"/>
    <cellStyle name="Neutralne 2 21 5" xfId="20040"/>
    <cellStyle name="Neutralne 2 21 6" xfId="20041"/>
    <cellStyle name="Neutralne 2 21 7" xfId="20042"/>
    <cellStyle name="Neutralne 2 22" xfId="20043"/>
    <cellStyle name="Neutralne 2 22 2" xfId="20044"/>
    <cellStyle name="Neutralne 2 22 3" xfId="20045"/>
    <cellStyle name="Neutralne 2 22 4" xfId="20046"/>
    <cellStyle name="Neutralne 2 22 5" xfId="20047"/>
    <cellStyle name="Neutralne 2 22 6" xfId="20048"/>
    <cellStyle name="Neutralne 2 22 7" xfId="20049"/>
    <cellStyle name="Neutralne 2 23" xfId="20050"/>
    <cellStyle name="Neutralne 2 23 2" xfId="20051"/>
    <cellStyle name="Neutralne 2 23 3" xfId="20052"/>
    <cellStyle name="Neutralne 2 23 4" xfId="20053"/>
    <cellStyle name="Neutralne 2 23 5" xfId="20054"/>
    <cellStyle name="Neutralne 2 23 6" xfId="20055"/>
    <cellStyle name="Neutralne 2 23 7" xfId="20056"/>
    <cellStyle name="Neutralne 2 24" xfId="20057"/>
    <cellStyle name="Neutralne 2 24 2" xfId="20058"/>
    <cellStyle name="Neutralne 2 24 3" xfId="20059"/>
    <cellStyle name="Neutralne 2 24 4" xfId="20060"/>
    <cellStyle name="Neutralne 2 24 5" xfId="20061"/>
    <cellStyle name="Neutralne 2 24 6" xfId="20062"/>
    <cellStyle name="Neutralne 2 24 7" xfId="20063"/>
    <cellStyle name="Neutralne 2 25" xfId="20064"/>
    <cellStyle name="Neutralne 2 25 2" xfId="20065"/>
    <cellStyle name="Neutralne 2 25 3" xfId="20066"/>
    <cellStyle name="Neutralne 2 25 4" xfId="20067"/>
    <cellStyle name="Neutralne 2 25 5" xfId="20068"/>
    <cellStyle name="Neutralne 2 25 6" xfId="20069"/>
    <cellStyle name="Neutralne 2 25 7" xfId="20070"/>
    <cellStyle name="Neutralne 2 26" xfId="20071"/>
    <cellStyle name="Neutralne 2 26 2" xfId="20072"/>
    <cellStyle name="Neutralne 2 26 3" xfId="20073"/>
    <cellStyle name="Neutralne 2 26 4" xfId="20074"/>
    <cellStyle name="Neutralne 2 26 5" xfId="20075"/>
    <cellStyle name="Neutralne 2 26 6" xfId="20076"/>
    <cellStyle name="Neutralne 2 26 7" xfId="20077"/>
    <cellStyle name="Neutralne 2 27" xfId="20078"/>
    <cellStyle name="Neutralne 2 27 2" xfId="20079"/>
    <cellStyle name="Neutralne 2 27 3" xfId="20080"/>
    <cellStyle name="Neutralne 2 27 4" xfId="20081"/>
    <cellStyle name="Neutralne 2 27 5" xfId="20082"/>
    <cellStyle name="Neutralne 2 27 6" xfId="20083"/>
    <cellStyle name="Neutralne 2 27 7" xfId="20084"/>
    <cellStyle name="Neutralne 2 28" xfId="20085"/>
    <cellStyle name="Neutralne 2 28 2" xfId="20086"/>
    <cellStyle name="Neutralne 2 28 3" xfId="20087"/>
    <cellStyle name="Neutralne 2 28 4" xfId="20088"/>
    <cellStyle name="Neutralne 2 28 5" xfId="20089"/>
    <cellStyle name="Neutralne 2 28 6" xfId="20090"/>
    <cellStyle name="Neutralne 2 28 7" xfId="20091"/>
    <cellStyle name="Neutralne 2 29" xfId="20092"/>
    <cellStyle name="Neutralne 2 29 2" xfId="20093"/>
    <cellStyle name="Neutralne 2 3" xfId="20094"/>
    <cellStyle name="Neutralne 2 3 2" xfId="20095"/>
    <cellStyle name="Neutralne 2 3 3" xfId="20096"/>
    <cellStyle name="Neutralne 2 3 4" xfId="20097"/>
    <cellStyle name="Neutralne 2 3 5" xfId="20098"/>
    <cellStyle name="Neutralne 2 3 6" xfId="20099"/>
    <cellStyle name="Neutralne 2 3 7" xfId="20100"/>
    <cellStyle name="Neutralne 2 30" xfId="20101"/>
    <cellStyle name="Neutralne 2 30 2" xfId="20102"/>
    <cellStyle name="Neutralne 2 31" xfId="20103"/>
    <cellStyle name="Neutralne 2 31 2" xfId="20104"/>
    <cellStyle name="Neutralne 2 32" xfId="20105"/>
    <cellStyle name="Neutralne 2 32 2" xfId="20106"/>
    <cellStyle name="Neutralne 2 33" xfId="20107"/>
    <cellStyle name="Neutralne 2 34" xfId="20108"/>
    <cellStyle name="Neutralne 2 35" xfId="20109"/>
    <cellStyle name="Neutralne 2 36" xfId="20110"/>
    <cellStyle name="Neutralne 2 37" xfId="20111"/>
    <cellStyle name="Neutralne 2 38" xfId="20112"/>
    <cellStyle name="Neutralne 2 39" xfId="20113"/>
    <cellStyle name="Neutralne 2 4" xfId="20114"/>
    <cellStyle name="Neutralne 2 4 2" xfId="20115"/>
    <cellStyle name="Neutralne 2 4 3" xfId="20116"/>
    <cellStyle name="Neutralne 2 4 4" xfId="20117"/>
    <cellStyle name="Neutralne 2 4 5" xfId="20118"/>
    <cellStyle name="Neutralne 2 4 6" xfId="20119"/>
    <cellStyle name="Neutralne 2 4 7" xfId="20120"/>
    <cellStyle name="Neutralne 2 5" xfId="20121"/>
    <cellStyle name="Neutralne 2 5 2" xfId="20122"/>
    <cellStyle name="Neutralne 2 5 3" xfId="20123"/>
    <cellStyle name="Neutralne 2 5 4" xfId="20124"/>
    <cellStyle name="Neutralne 2 5 5" xfId="20125"/>
    <cellStyle name="Neutralne 2 5 6" xfId="20126"/>
    <cellStyle name="Neutralne 2 5 7" xfId="20127"/>
    <cellStyle name="Neutralne 2 6" xfId="20128"/>
    <cellStyle name="Neutralne 2 6 2" xfId="20129"/>
    <cellStyle name="Neutralne 2 6 3" xfId="20130"/>
    <cellStyle name="Neutralne 2 6 4" xfId="20131"/>
    <cellStyle name="Neutralne 2 6 5" xfId="20132"/>
    <cellStyle name="Neutralne 2 6 6" xfId="20133"/>
    <cellStyle name="Neutralne 2 6 7" xfId="20134"/>
    <cellStyle name="Neutralne 2 7" xfId="20135"/>
    <cellStyle name="Neutralne 2 7 2" xfId="20136"/>
    <cellStyle name="Neutralne 2 7 3" xfId="20137"/>
    <cellStyle name="Neutralne 2 7 4" xfId="20138"/>
    <cellStyle name="Neutralne 2 7 5" xfId="20139"/>
    <cellStyle name="Neutralne 2 7 6" xfId="20140"/>
    <cellStyle name="Neutralne 2 7 7" xfId="20141"/>
    <cellStyle name="Neutralne 2 8" xfId="20142"/>
    <cellStyle name="Neutralne 2 8 2" xfId="20143"/>
    <cellStyle name="Neutralne 2 8 3" xfId="20144"/>
    <cellStyle name="Neutralne 2 8 4" xfId="20145"/>
    <cellStyle name="Neutralne 2 8 5" xfId="20146"/>
    <cellStyle name="Neutralne 2 8 6" xfId="20147"/>
    <cellStyle name="Neutralne 2 8 7" xfId="20148"/>
    <cellStyle name="Neutralne 2 9" xfId="20149"/>
    <cellStyle name="Neutralne 2 9 2" xfId="20150"/>
    <cellStyle name="Neutralne 2 9 3" xfId="20151"/>
    <cellStyle name="Neutralne 2 9 4" xfId="20152"/>
    <cellStyle name="Neutralne 2 9 5" xfId="20153"/>
    <cellStyle name="Neutralne 2 9 6" xfId="20154"/>
    <cellStyle name="Neutralne 2 9 7" xfId="20155"/>
    <cellStyle name="Neutralne 3" xfId="20156"/>
    <cellStyle name="Neutralne 3 2" xfId="20157"/>
    <cellStyle name="Neutralne 3 2 2" xfId="20158"/>
    <cellStyle name="Neutralne 3 3" xfId="20159"/>
    <cellStyle name="Neutralne 3 4" xfId="20160"/>
    <cellStyle name="Neutralne 3 5" xfId="20161"/>
    <cellStyle name="Neutralne 3 6" xfId="20162"/>
    <cellStyle name="Neutralne 3 7" xfId="20163"/>
    <cellStyle name="Neutralne 3 8" xfId="20164"/>
    <cellStyle name="Neutralne 3 9" xfId="20165"/>
    <cellStyle name="Neutralne 4" xfId="20166"/>
    <cellStyle name="Neutralne 4 2" xfId="20167"/>
    <cellStyle name="Neutralne 4 3" xfId="20168"/>
    <cellStyle name="Neutralne 4 4" xfId="20169"/>
    <cellStyle name="Neutralne 4 5" xfId="20170"/>
    <cellStyle name="Neutralne 4 6" xfId="20171"/>
    <cellStyle name="Neutralne 4 7" xfId="20172"/>
    <cellStyle name="Neutralne 4 8" xfId="20173"/>
    <cellStyle name="Neutralne 4 9" xfId="20174"/>
    <cellStyle name="Neutralne 5" xfId="20175"/>
    <cellStyle name="Neutralne 5 2" xfId="20176"/>
    <cellStyle name="Neutralne 5 3" xfId="20177"/>
    <cellStyle name="Neutralne 6" xfId="20178"/>
    <cellStyle name="Neutralne 6 2" xfId="20179"/>
    <cellStyle name="Neutralne 7" xfId="20180"/>
    <cellStyle name="Nor}al" xfId="20181"/>
    <cellStyle name="Normal - Style1" xfId="20182"/>
    <cellStyle name="Normal 2" xfId="20183"/>
    <cellStyle name="Normal 3" xfId="20184"/>
    <cellStyle name="Normal 4" xfId="18"/>
    <cellStyle name="Normal_bilans_kardia" xfId="20185"/>
    <cellStyle name="Normál_cb-fr" xfId="20186"/>
    <cellStyle name="Normal_CC_SM_B" xfId="20187"/>
    <cellStyle name="Normale_INDIA_Allegato3" xfId="20188"/>
    <cellStyle name="normální_Kopie - Kalos_DD­_3" xfId="20189"/>
    <cellStyle name="Normalny" xfId="0" builtinId="0"/>
    <cellStyle name="Normalny 10" xfId="20190"/>
    <cellStyle name="Normalny 10 10" xfId="20191"/>
    <cellStyle name="Normalny 10 10 2" xfId="20192"/>
    <cellStyle name="Normalny 10 11" xfId="20193"/>
    <cellStyle name="Normalny 10 11 2" xfId="20194"/>
    <cellStyle name="Normalny 10 12" xfId="20195"/>
    <cellStyle name="Normalny 10 12 2" xfId="20196"/>
    <cellStyle name="Normalny 10 13" xfId="20197"/>
    <cellStyle name="Normalny 10 13 2" xfId="20198"/>
    <cellStyle name="Normalny 10 14" xfId="20199"/>
    <cellStyle name="Normalny 10 14 2" xfId="20200"/>
    <cellStyle name="Normalny 10 15" xfId="20201"/>
    <cellStyle name="Normalny 10 15 2" xfId="20202"/>
    <cellStyle name="Normalny 10 16" xfId="20203"/>
    <cellStyle name="Normalny 10 16 2" xfId="20204"/>
    <cellStyle name="Normalny 10 17" xfId="20205"/>
    <cellStyle name="Normalny 10 17 2" xfId="20206"/>
    <cellStyle name="Normalny 10 18" xfId="20207"/>
    <cellStyle name="Normalny 10 18 2" xfId="20208"/>
    <cellStyle name="Normalny 10 19" xfId="20209"/>
    <cellStyle name="Normalny 10 19 2" xfId="20210"/>
    <cellStyle name="Normalny 10 2" xfId="20211"/>
    <cellStyle name="Normalny 10 2 2" xfId="20212"/>
    <cellStyle name="Normalny 10 2 3" xfId="20213"/>
    <cellStyle name="Normalny 10 2 4" xfId="20214"/>
    <cellStyle name="Normalny 10 20" xfId="20215"/>
    <cellStyle name="Normalny 10 20 2" xfId="20216"/>
    <cellStyle name="Normalny 10 21" xfId="20217"/>
    <cellStyle name="Normalny 10 21 2" xfId="20218"/>
    <cellStyle name="Normalny 10 22" xfId="20219"/>
    <cellStyle name="Normalny 10 22 2" xfId="20220"/>
    <cellStyle name="Normalny 10 23" xfId="20221"/>
    <cellStyle name="Normalny 10 23 2" xfId="20222"/>
    <cellStyle name="Normalny 10 24" xfId="20223"/>
    <cellStyle name="Normalny 10 24 2" xfId="20224"/>
    <cellStyle name="Normalny 10 25" xfId="20225"/>
    <cellStyle name="Normalny 10 25 2" xfId="20226"/>
    <cellStyle name="Normalny 10 26" xfId="20227"/>
    <cellStyle name="Normalny 10 26 2" xfId="20228"/>
    <cellStyle name="Normalny 10 27" xfId="20229"/>
    <cellStyle name="Normalny 10 27 2" xfId="20230"/>
    <cellStyle name="Normalny 10 28" xfId="20231"/>
    <cellStyle name="Normalny 10 29" xfId="20232"/>
    <cellStyle name="Normalny 10 3" xfId="20233"/>
    <cellStyle name="Normalny 10 3 2" xfId="20234"/>
    <cellStyle name="Normalny 10 3 3" xfId="20235"/>
    <cellStyle name="Normalny 10 3 4" xfId="20236"/>
    <cellStyle name="Normalny 10 30" xfId="20237"/>
    <cellStyle name="Normalny 10 31" xfId="20238"/>
    <cellStyle name="Normalny 10 32" xfId="20239"/>
    <cellStyle name="Normalny 10 33" xfId="20240"/>
    <cellStyle name="Normalny 10 34" xfId="20241"/>
    <cellStyle name="Normalny 10 35" xfId="20242"/>
    <cellStyle name="Normalny 10 36" xfId="20243"/>
    <cellStyle name="Normalny 10 37" xfId="20244"/>
    <cellStyle name="Normalny 10 38" xfId="20245"/>
    <cellStyle name="Normalny 10 39" xfId="20246"/>
    <cellStyle name="Normalny 10 4" xfId="20247"/>
    <cellStyle name="Normalny 10 4 2" xfId="20248"/>
    <cellStyle name="Normalny 10 4 3" xfId="20249"/>
    <cellStyle name="Normalny 10 40" xfId="20250"/>
    <cellStyle name="Normalny 10 41" xfId="20251"/>
    <cellStyle name="Normalny 10 42" xfId="20252"/>
    <cellStyle name="Normalny 10 43" xfId="20253"/>
    <cellStyle name="Normalny 10 44" xfId="20254"/>
    <cellStyle name="Normalny 10 45" xfId="20255"/>
    <cellStyle name="Normalny 10 46" xfId="20256"/>
    <cellStyle name="Normalny 10 47" xfId="20257"/>
    <cellStyle name="Normalny 10 48" xfId="20258"/>
    <cellStyle name="Normalny 10 49" xfId="20259"/>
    <cellStyle name="Normalny 10 5" xfId="20260"/>
    <cellStyle name="Normalny 10 5 2" xfId="20261"/>
    <cellStyle name="Normalny 10 5 3" xfId="20262"/>
    <cellStyle name="Normalny 10 50" xfId="20263"/>
    <cellStyle name="Normalny 10 51" xfId="20264"/>
    <cellStyle name="Normalny 10 52" xfId="20265"/>
    <cellStyle name="Normalny 10 53" xfId="20266"/>
    <cellStyle name="Normalny 10 54" xfId="20267"/>
    <cellStyle name="Normalny 10 55" xfId="20268"/>
    <cellStyle name="Normalny 10 56" xfId="20269"/>
    <cellStyle name="Normalny 10 57" xfId="20270"/>
    <cellStyle name="Normalny 10 58" xfId="20271"/>
    <cellStyle name="Normalny 10 59" xfId="20272"/>
    <cellStyle name="Normalny 10 6" xfId="20273"/>
    <cellStyle name="Normalny 10 6 2" xfId="20274"/>
    <cellStyle name="Normalny 10 60" xfId="20275"/>
    <cellStyle name="Normalny 10 61" xfId="20276"/>
    <cellStyle name="Normalny 10 62" xfId="20277"/>
    <cellStyle name="Normalny 10 63" xfId="20278"/>
    <cellStyle name="Normalny 10 64" xfId="20279"/>
    <cellStyle name="Normalny 10 65" xfId="20280"/>
    <cellStyle name="Normalny 10 66" xfId="20281"/>
    <cellStyle name="Normalny 10 67" xfId="20282"/>
    <cellStyle name="Normalny 10 68" xfId="20283"/>
    <cellStyle name="Normalny 10 69" xfId="20284"/>
    <cellStyle name="Normalny 10 7" xfId="20285"/>
    <cellStyle name="Normalny 10 7 2" xfId="20286"/>
    <cellStyle name="Normalny 10 70" xfId="20287"/>
    <cellStyle name="Normalny 10 71" xfId="20288"/>
    <cellStyle name="Normalny 10 72" xfId="20289"/>
    <cellStyle name="Normalny 10 73" xfId="20290"/>
    <cellStyle name="Normalny 10 74" xfId="20291"/>
    <cellStyle name="Normalny 10 75" xfId="20292"/>
    <cellStyle name="Normalny 10 8" xfId="20293"/>
    <cellStyle name="Normalny 10 8 2" xfId="20294"/>
    <cellStyle name="Normalny 10 9" xfId="20295"/>
    <cellStyle name="Normalny 10 9 2" xfId="20296"/>
    <cellStyle name="Normalny 100" xfId="20297"/>
    <cellStyle name="Normalny 100 2" xfId="20298"/>
    <cellStyle name="Normalny 101" xfId="20299"/>
    <cellStyle name="Normalny 101 2" xfId="20300"/>
    <cellStyle name="Normalny 102" xfId="20301"/>
    <cellStyle name="Normalny 102 2" xfId="20302"/>
    <cellStyle name="Normalny 103" xfId="20303"/>
    <cellStyle name="Normalny 103 2" xfId="20304"/>
    <cellStyle name="Normalny 104" xfId="20305"/>
    <cellStyle name="Normalny 104 2" xfId="20306"/>
    <cellStyle name="Normalny 105" xfId="20307"/>
    <cellStyle name="Normalny 105 2" xfId="20308"/>
    <cellStyle name="Normalny 106" xfId="20309"/>
    <cellStyle name="Normalny 106 2" xfId="20310"/>
    <cellStyle name="Normalny 107" xfId="20311"/>
    <cellStyle name="Normalny 107 2" xfId="20312"/>
    <cellStyle name="Normalny 108" xfId="20313"/>
    <cellStyle name="Normalny 108 2" xfId="20314"/>
    <cellStyle name="Normalny 109" xfId="20315"/>
    <cellStyle name="Normalny 109 2" xfId="20316"/>
    <cellStyle name="Normalny 11" xfId="20317"/>
    <cellStyle name="Normalny 11 2" xfId="20318"/>
    <cellStyle name="Normalny 11 2 2" xfId="20319"/>
    <cellStyle name="Normalny 11 2 3" xfId="20320"/>
    <cellStyle name="Normalny 11 3" xfId="20321"/>
    <cellStyle name="Normalny 11 3 2" xfId="20322"/>
    <cellStyle name="Normalny 11 4" xfId="20323"/>
    <cellStyle name="Normalny 11 5" xfId="20324"/>
    <cellStyle name="Normalny 110" xfId="20325"/>
    <cellStyle name="Normalny 110 2" xfId="20326"/>
    <cellStyle name="Normalny 111" xfId="20327"/>
    <cellStyle name="Normalny 111 2" xfId="20328"/>
    <cellStyle name="Normalny 112" xfId="20329"/>
    <cellStyle name="Normalny 112 2" xfId="20330"/>
    <cellStyle name="Normalny 113" xfId="20331"/>
    <cellStyle name="Normalny 113 2" xfId="20332"/>
    <cellStyle name="Normalny 114" xfId="20333"/>
    <cellStyle name="Normalny 114 2" xfId="20334"/>
    <cellStyle name="Normalny 115" xfId="20335"/>
    <cellStyle name="Normalny 115 2" xfId="20336"/>
    <cellStyle name="Normalny 116" xfId="20337"/>
    <cellStyle name="Normalny 116 2" xfId="20338"/>
    <cellStyle name="Normalny 117" xfId="20339"/>
    <cellStyle name="Normalny 117 2" xfId="20340"/>
    <cellStyle name="Normalny 118" xfId="20341"/>
    <cellStyle name="Normalny 118 2" xfId="20342"/>
    <cellStyle name="Normalny 119" xfId="20343"/>
    <cellStyle name="Normalny 119 2" xfId="20344"/>
    <cellStyle name="Normalny 12" xfId="20345"/>
    <cellStyle name="Normalny 12 10" xfId="20346"/>
    <cellStyle name="Normalny 12 10 2" xfId="20347"/>
    <cellStyle name="Normalny 12 11" xfId="20348"/>
    <cellStyle name="Normalny 12 11 2" xfId="20349"/>
    <cellStyle name="Normalny 12 12" xfId="20350"/>
    <cellStyle name="Normalny 12 12 2" xfId="20351"/>
    <cellStyle name="Normalny 12 13" xfId="20352"/>
    <cellStyle name="Normalny 12 13 2" xfId="20353"/>
    <cellStyle name="Normalny 12 14" xfId="20354"/>
    <cellStyle name="Normalny 12 14 2" xfId="20355"/>
    <cellStyle name="Normalny 12 15" xfId="20356"/>
    <cellStyle name="Normalny 12 15 2" xfId="20357"/>
    <cellStyle name="Normalny 12 16" xfId="20358"/>
    <cellStyle name="Normalny 12 16 2" xfId="20359"/>
    <cellStyle name="Normalny 12 17" xfId="20360"/>
    <cellStyle name="Normalny 12 17 2" xfId="20361"/>
    <cellStyle name="Normalny 12 18" xfId="20362"/>
    <cellStyle name="Normalny 12 18 2" xfId="20363"/>
    <cellStyle name="Normalny 12 19" xfId="20364"/>
    <cellStyle name="Normalny 12 19 2" xfId="20365"/>
    <cellStyle name="Normalny 12 2" xfId="20366"/>
    <cellStyle name="Normalny 12 2 2" xfId="20367"/>
    <cellStyle name="Normalny 12 2 3" xfId="20368"/>
    <cellStyle name="Normalny 12 2 4" xfId="20369"/>
    <cellStyle name="Normalny 12 20" xfId="20370"/>
    <cellStyle name="Normalny 12 20 2" xfId="20371"/>
    <cellStyle name="Normalny 12 21" xfId="20372"/>
    <cellStyle name="Normalny 12 21 2" xfId="20373"/>
    <cellStyle name="Normalny 12 22" xfId="20374"/>
    <cellStyle name="Normalny 12 22 2" xfId="20375"/>
    <cellStyle name="Normalny 12 23" xfId="20376"/>
    <cellStyle name="Normalny 12 23 2" xfId="20377"/>
    <cellStyle name="Normalny 12 24" xfId="20378"/>
    <cellStyle name="Normalny 12 24 2" xfId="20379"/>
    <cellStyle name="Normalny 12 25" xfId="20380"/>
    <cellStyle name="Normalny 12 25 2" xfId="20381"/>
    <cellStyle name="Normalny 12 26" xfId="20382"/>
    <cellStyle name="Normalny 12 26 2" xfId="20383"/>
    <cellStyle name="Normalny 12 27" xfId="20384"/>
    <cellStyle name="Normalny 12 27 2" xfId="20385"/>
    <cellStyle name="Normalny 12 28" xfId="20386"/>
    <cellStyle name="Normalny 12 29" xfId="20387"/>
    <cellStyle name="Normalny 12 3" xfId="20388"/>
    <cellStyle name="Normalny 12 3 2" xfId="20389"/>
    <cellStyle name="Normalny 12 3 3" xfId="20390"/>
    <cellStyle name="Normalny 12 30" xfId="20391"/>
    <cellStyle name="Normalny 12 31" xfId="20392"/>
    <cellStyle name="Normalny 12 32" xfId="20393"/>
    <cellStyle name="Normalny 12 33" xfId="20394"/>
    <cellStyle name="Normalny 12 34" xfId="20395"/>
    <cellStyle name="Normalny 12 35" xfId="20396"/>
    <cellStyle name="Normalny 12 36" xfId="20397"/>
    <cellStyle name="Normalny 12 37" xfId="20398"/>
    <cellStyle name="Normalny 12 38" xfId="20399"/>
    <cellStyle name="Normalny 12 39" xfId="20400"/>
    <cellStyle name="Normalny 12 4" xfId="20401"/>
    <cellStyle name="Normalny 12 4 2" xfId="20402"/>
    <cellStyle name="Normalny 12 4 3" xfId="20403"/>
    <cellStyle name="Normalny 12 40" xfId="20404"/>
    <cellStyle name="Normalny 12 41" xfId="20405"/>
    <cellStyle name="Normalny 12 42" xfId="20406"/>
    <cellStyle name="Normalny 12 43" xfId="20407"/>
    <cellStyle name="Normalny 12 44" xfId="20408"/>
    <cellStyle name="Normalny 12 45" xfId="20409"/>
    <cellStyle name="Normalny 12 46" xfId="20410"/>
    <cellStyle name="Normalny 12 47" xfId="20411"/>
    <cellStyle name="Normalny 12 48" xfId="20412"/>
    <cellStyle name="Normalny 12 49" xfId="20413"/>
    <cellStyle name="Normalny 12 5" xfId="20414"/>
    <cellStyle name="Normalny 12 5 2" xfId="20415"/>
    <cellStyle name="Normalny 12 5 3" xfId="20416"/>
    <cellStyle name="Normalny 12 50" xfId="20417"/>
    <cellStyle name="Normalny 12 51" xfId="20418"/>
    <cellStyle name="Normalny 12 52" xfId="20419"/>
    <cellStyle name="Normalny 12 53" xfId="20420"/>
    <cellStyle name="Normalny 12 54" xfId="20421"/>
    <cellStyle name="Normalny 12 55" xfId="20422"/>
    <cellStyle name="Normalny 12 56" xfId="20423"/>
    <cellStyle name="Normalny 12 57" xfId="20424"/>
    <cellStyle name="Normalny 12 58" xfId="20425"/>
    <cellStyle name="Normalny 12 59" xfId="20426"/>
    <cellStyle name="Normalny 12 6" xfId="20427"/>
    <cellStyle name="Normalny 12 6 2" xfId="20428"/>
    <cellStyle name="Normalny 12 60" xfId="20429"/>
    <cellStyle name="Normalny 12 61" xfId="20430"/>
    <cellStyle name="Normalny 12 62" xfId="20431"/>
    <cellStyle name="Normalny 12 63" xfId="20432"/>
    <cellStyle name="Normalny 12 64" xfId="20433"/>
    <cellStyle name="Normalny 12 65" xfId="20434"/>
    <cellStyle name="Normalny 12 66" xfId="20435"/>
    <cellStyle name="Normalny 12 67" xfId="20436"/>
    <cellStyle name="Normalny 12 68" xfId="20437"/>
    <cellStyle name="Normalny 12 69" xfId="20438"/>
    <cellStyle name="Normalny 12 7" xfId="20439"/>
    <cellStyle name="Normalny 12 7 2" xfId="20440"/>
    <cellStyle name="Normalny 12 70" xfId="20441"/>
    <cellStyle name="Normalny 12 71" xfId="20442"/>
    <cellStyle name="Normalny 12 72" xfId="20443"/>
    <cellStyle name="Normalny 12 73" xfId="20444"/>
    <cellStyle name="Normalny 12 74" xfId="20445"/>
    <cellStyle name="Normalny 12 75" xfId="20446"/>
    <cellStyle name="Normalny 12 8" xfId="20447"/>
    <cellStyle name="Normalny 12 8 2" xfId="20448"/>
    <cellStyle name="Normalny 12 9" xfId="20449"/>
    <cellStyle name="Normalny 12 9 2" xfId="20450"/>
    <cellStyle name="Normalny 120" xfId="20451"/>
    <cellStyle name="Normalny 120 2" xfId="20452"/>
    <cellStyle name="Normalny 121" xfId="20453"/>
    <cellStyle name="Normalny 121 2" xfId="20454"/>
    <cellStyle name="Normalny 121 2 2" xfId="20455"/>
    <cellStyle name="Normalny 122" xfId="20456"/>
    <cellStyle name="Normalny 122 2" xfId="20457"/>
    <cellStyle name="Normalny 123" xfId="16"/>
    <cellStyle name="Normalny 123 2" xfId="20458"/>
    <cellStyle name="Normalny 123 3" xfId="42849"/>
    <cellStyle name="Normalny 124" xfId="11"/>
    <cellStyle name="Normalny 125" xfId="20459"/>
    <cellStyle name="Normalny 126" xfId="12"/>
    <cellStyle name="Normalny 127" xfId="14"/>
    <cellStyle name="Normalny 128" xfId="20460"/>
    <cellStyle name="Normalny 129" xfId="20461"/>
    <cellStyle name="Normalny 13" xfId="20462"/>
    <cellStyle name="Normalny 13 2" xfId="20463"/>
    <cellStyle name="Normalny 13 2 2" xfId="20464"/>
    <cellStyle name="Normalny 13 2 3" xfId="20465"/>
    <cellStyle name="Normalny 13 3" xfId="20466"/>
    <cellStyle name="Normalny 13 3 2" xfId="20467"/>
    <cellStyle name="Normalny 13 4" xfId="20468"/>
    <cellStyle name="Normalny 130" xfId="20469"/>
    <cellStyle name="Normalny 131" xfId="20470"/>
    <cellStyle name="Normalny 132" xfId="20471"/>
    <cellStyle name="Normalny 133" xfId="20472"/>
    <cellStyle name="Normalny 134" xfId="42845"/>
    <cellStyle name="Normalny 135" xfId="42848"/>
    <cellStyle name="Normalny 136" xfId="9"/>
    <cellStyle name="Normalny 14" xfId="20473"/>
    <cellStyle name="Normalny 14 2" xfId="20474"/>
    <cellStyle name="Normalny 14 2 2" xfId="20475"/>
    <cellStyle name="Normalny 14 3" xfId="20476"/>
    <cellStyle name="Normalny 14 4" xfId="20477"/>
    <cellStyle name="Normalny 14 5" xfId="20478"/>
    <cellStyle name="Normalny 15" xfId="20479"/>
    <cellStyle name="Normalny 15 2" xfId="20480"/>
    <cellStyle name="Normalny 15 2 2" xfId="20481"/>
    <cellStyle name="Normalny 15 2 3" xfId="20482"/>
    <cellStyle name="Normalny 15 3" xfId="20483"/>
    <cellStyle name="Normalny 15 4" xfId="20484"/>
    <cellStyle name="Normalny 15 5" xfId="20485"/>
    <cellStyle name="Normalny 15 6" xfId="20486"/>
    <cellStyle name="Normalny 16" xfId="20487"/>
    <cellStyle name="Normalny 16 2" xfId="20488"/>
    <cellStyle name="Normalny 16 2 2" xfId="20489"/>
    <cellStyle name="Normalny 16 3" xfId="20490"/>
    <cellStyle name="Normalny 16 4" xfId="20491"/>
    <cellStyle name="Normalny 16 5" xfId="20492"/>
    <cellStyle name="Normalny 17" xfId="15"/>
    <cellStyle name="Normalny 17 2" xfId="20493"/>
    <cellStyle name="Normalny 17 3" xfId="20494"/>
    <cellStyle name="Normalny 17 4" xfId="20495"/>
    <cellStyle name="Normalny 17 5" xfId="20496"/>
    <cellStyle name="Normalny 18" xfId="20497"/>
    <cellStyle name="Normalny 18 2" xfId="20498"/>
    <cellStyle name="Normalny 18 3" xfId="20499"/>
    <cellStyle name="Normalny 18 4" xfId="20500"/>
    <cellStyle name="Normalny 19" xfId="20501"/>
    <cellStyle name="Normalny 19 2" xfId="20502"/>
    <cellStyle name="Normalny 19 2 2" xfId="20503"/>
    <cellStyle name="Normalny 19 2 3" xfId="20504"/>
    <cellStyle name="Normalny 19 3" xfId="20505"/>
    <cellStyle name="Normalny 19 4" xfId="20506"/>
    <cellStyle name="Normalny 19 5" xfId="20507"/>
    <cellStyle name="Normalny 2" xfId="3"/>
    <cellStyle name="Normalny 2 10" xfId="20509"/>
    <cellStyle name="Normalny 2 10 2" xfId="20510"/>
    <cellStyle name="Normalny 2 10 3" xfId="20511"/>
    <cellStyle name="Normalny 2 10 4" xfId="20512"/>
    <cellStyle name="Normalny 2 10 5" xfId="20513"/>
    <cellStyle name="Normalny 2 11" xfId="20514"/>
    <cellStyle name="Normalny 2 11 2" xfId="20515"/>
    <cellStyle name="Normalny 2 11 3" xfId="20516"/>
    <cellStyle name="Normalny 2 11 4" xfId="20517"/>
    <cellStyle name="Normalny 2 12" xfId="20518"/>
    <cellStyle name="Normalny 2 12 2" xfId="20519"/>
    <cellStyle name="Normalny 2 12 3" xfId="20520"/>
    <cellStyle name="Normalny 2 12 4" xfId="20521"/>
    <cellStyle name="Normalny 2 13" xfId="20522"/>
    <cellStyle name="Normalny 2 13 2" xfId="20523"/>
    <cellStyle name="Normalny 2 13 3" xfId="20524"/>
    <cellStyle name="Normalny 2 14" xfId="20525"/>
    <cellStyle name="Normalny 2 14 2" xfId="20526"/>
    <cellStyle name="Normalny 2 14 3" xfId="20527"/>
    <cellStyle name="Normalny 2 15" xfId="20528"/>
    <cellStyle name="Normalny 2 15 2" xfId="20529"/>
    <cellStyle name="Normalny 2 15 3" xfId="20530"/>
    <cellStyle name="Normalny 2 16" xfId="20531"/>
    <cellStyle name="Normalny 2 16 2" xfId="20532"/>
    <cellStyle name="Normalny 2 16 3" xfId="20533"/>
    <cellStyle name="Normalny 2 17" xfId="20534"/>
    <cellStyle name="Normalny 2 17 2" xfId="20535"/>
    <cellStyle name="Normalny 2 17 3" xfId="20536"/>
    <cellStyle name="Normalny 2 18" xfId="20537"/>
    <cellStyle name="Normalny 2 18 2" xfId="20538"/>
    <cellStyle name="Normalny 2 18 3" xfId="20539"/>
    <cellStyle name="Normalny 2 19" xfId="20540"/>
    <cellStyle name="Normalny 2 19 2" xfId="20541"/>
    <cellStyle name="Normalny 2 19 3" xfId="20542"/>
    <cellStyle name="Normalny 2 2" xfId="20543"/>
    <cellStyle name="Normalny 2 2 10" xfId="20544"/>
    <cellStyle name="Normalny 2 2 10 2" xfId="20545"/>
    <cellStyle name="Normalny 2 2 11" xfId="20546"/>
    <cellStyle name="Normalny 2 2 11 2" xfId="20547"/>
    <cellStyle name="Normalny 2 2 12" xfId="20548"/>
    <cellStyle name="Normalny 2 2 13" xfId="20549"/>
    <cellStyle name="Normalny 2 2 14" xfId="20550"/>
    <cellStyle name="Normalny 2 2 15" xfId="20551"/>
    <cellStyle name="Normalny 2 2 16" xfId="20552"/>
    <cellStyle name="Normalny 2 2 17" xfId="20553"/>
    <cellStyle name="Normalny 2 2 18" xfId="20554"/>
    <cellStyle name="Normalny 2 2 19" xfId="20555"/>
    <cellStyle name="Normalny 2 2 2" xfId="20556"/>
    <cellStyle name="Normalny 2 2 2 2" xfId="20557"/>
    <cellStyle name="Normalny 2 2 2 2 2" xfId="20558"/>
    <cellStyle name="Normalny 2 2 2 3" xfId="20559"/>
    <cellStyle name="Normalny 2 2 2 3 2" xfId="20560"/>
    <cellStyle name="Normalny 2 2 2 3 3" xfId="20561"/>
    <cellStyle name="Normalny 2 2 2 4" xfId="20562"/>
    <cellStyle name="Normalny 2 2 3" xfId="4"/>
    <cellStyle name="Normalny 2 2 3 2" xfId="20564"/>
    <cellStyle name="Normalny 2 2 3 2 2" xfId="20565"/>
    <cellStyle name="Normalny 2 2 3 3" xfId="20566"/>
    <cellStyle name="Normalny 2 2 3 4" xfId="20563"/>
    <cellStyle name="Normalny 2 2 4" xfId="20567"/>
    <cellStyle name="Normalny 2 2 4 2" xfId="20568"/>
    <cellStyle name="Normalny 2 2 5" xfId="20569"/>
    <cellStyle name="Normalny 2 2 5 2" xfId="20570"/>
    <cellStyle name="Normalny 2 2 6" xfId="20571"/>
    <cellStyle name="Normalny 2 2 6 2" xfId="20572"/>
    <cellStyle name="Normalny 2 2 7" xfId="20573"/>
    <cellStyle name="Normalny 2 2 7 2" xfId="20574"/>
    <cellStyle name="Normalny 2 2 8" xfId="20575"/>
    <cellStyle name="Normalny 2 2 8 2" xfId="20576"/>
    <cellStyle name="Normalny 2 2 9" xfId="20577"/>
    <cellStyle name="Normalny 2 2 9 2" xfId="20578"/>
    <cellStyle name="Normalny 2 20" xfId="20579"/>
    <cellStyle name="Normalny 2 20 2" xfId="20580"/>
    <cellStyle name="Normalny 2 20 3" xfId="20581"/>
    <cellStyle name="Normalny 2 21" xfId="20582"/>
    <cellStyle name="Normalny 2 21 2" xfId="20583"/>
    <cellStyle name="Normalny 2 21 3" xfId="20584"/>
    <cellStyle name="Normalny 2 22" xfId="20585"/>
    <cellStyle name="Normalny 2 22 2" xfId="20586"/>
    <cellStyle name="Normalny 2 22 3" xfId="20587"/>
    <cellStyle name="Normalny 2 23" xfId="20588"/>
    <cellStyle name="Normalny 2 23 2" xfId="20589"/>
    <cellStyle name="Normalny 2 23 3" xfId="20590"/>
    <cellStyle name="Normalny 2 24" xfId="20591"/>
    <cellStyle name="Normalny 2 24 2" xfId="20592"/>
    <cellStyle name="Normalny 2 24 3" xfId="20593"/>
    <cellStyle name="Normalny 2 25" xfId="20594"/>
    <cellStyle name="Normalny 2 25 2" xfId="20595"/>
    <cellStyle name="Normalny 2 25 3" xfId="20596"/>
    <cellStyle name="Normalny 2 26" xfId="20597"/>
    <cellStyle name="Normalny 2 26 2" xfId="20598"/>
    <cellStyle name="Normalny 2 26 3" xfId="20599"/>
    <cellStyle name="Normalny 2 27" xfId="20600"/>
    <cellStyle name="Normalny 2 27 2" xfId="20601"/>
    <cellStyle name="Normalny 2 28" xfId="20602"/>
    <cellStyle name="Normalny 2 29" xfId="20603"/>
    <cellStyle name="Normalny 2 3" xfId="20604"/>
    <cellStyle name="Normalny 2 3 2" xfId="20605"/>
    <cellStyle name="Normalny 2 3 2 2" xfId="20606"/>
    <cellStyle name="Normalny 2 3 2 3" xfId="20607"/>
    <cellStyle name="Normalny 2 3 3" xfId="20608"/>
    <cellStyle name="Normalny 2 3 3 2" xfId="20609"/>
    <cellStyle name="Normalny 2 3 4" xfId="20610"/>
    <cellStyle name="Normalny 2 3 5" xfId="20611"/>
    <cellStyle name="Normalny 2 3 6" xfId="20"/>
    <cellStyle name="Normalny 2 3 7" xfId="20612"/>
    <cellStyle name="Normalny 2 3 8" xfId="20613"/>
    <cellStyle name="Normalny 2 30" xfId="20614"/>
    <cellStyle name="Normalny 2 30 2" xfId="20615"/>
    <cellStyle name="Normalny 2 31" xfId="20616"/>
    <cellStyle name="Normalny 2 32" xfId="20617"/>
    <cellStyle name="Normalny 2 33" xfId="20618"/>
    <cellStyle name="Normalny 2 34" xfId="20508"/>
    <cellStyle name="Normalny 2 4" xfId="20619"/>
    <cellStyle name="Normalny 2 4 10" xfId="20620"/>
    <cellStyle name="Normalny 2 4 11" xfId="20621"/>
    <cellStyle name="Normalny 2 4 12" xfId="20622"/>
    <cellStyle name="Normalny 2 4 13" xfId="20623"/>
    <cellStyle name="Normalny 2 4 14" xfId="20624"/>
    <cellStyle name="Normalny 2 4 15" xfId="20625"/>
    <cellStyle name="Normalny 2 4 16" xfId="20626"/>
    <cellStyle name="Normalny 2 4 17" xfId="20627"/>
    <cellStyle name="Normalny 2 4 18" xfId="20628"/>
    <cellStyle name="Normalny 2 4 19" xfId="20629"/>
    <cellStyle name="Normalny 2 4 2" xfId="20630"/>
    <cellStyle name="Normalny 2 4 2 2" xfId="20631"/>
    <cellStyle name="Normalny 2 4 2 3" xfId="20632"/>
    <cellStyle name="Normalny 2 4 20" xfId="20633"/>
    <cellStyle name="Normalny 2 4 21" xfId="20634"/>
    <cellStyle name="Normalny 2 4 22" xfId="20635"/>
    <cellStyle name="Normalny 2 4 23" xfId="20636"/>
    <cellStyle name="Normalny 2 4 3" xfId="20637"/>
    <cellStyle name="Normalny 2 4 4" xfId="20638"/>
    <cellStyle name="Normalny 2 4 5" xfId="20639"/>
    <cellStyle name="Normalny 2 4 6" xfId="20640"/>
    <cellStyle name="Normalny 2 4 7" xfId="20641"/>
    <cellStyle name="Normalny 2 4 8" xfId="20642"/>
    <cellStyle name="Normalny 2 4 9" xfId="20643"/>
    <cellStyle name="Normalny 2 5" xfId="20644"/>
    <cellStyle name="Normalny 2 5 2" xfId="20645"/>
    <cellStyle name="Normalny 2 5 2 2" xfId="20646"/>
    <cellStyle name="Normalny 2 5 3" xfId="20647"/>
    <cellStyle name="Normalny 2 5 3 2" xfId="20648"/>
    <cellStyle name="Normalny 2 5 4" xfId="20649"/>
    <cellStyle name="Normalny 2 6" xfId="20650"/>
    <cellStyle name="Normalny 2 6 2" xfId="20651"/>
    <cellStyle name="Normalny 2 6 3" xfId="20652"/>
    <cellStyle name="Normalny 2 6 4" xfId="20653"/>
    <cellStyle name="Normalny 2 7" xfId="20654"/>
    <cellStyle name="Normalny 2 7 2" xfId="20655"/>
    <cellStyle name="Normalny 2 7 3" xfId="20656"/>
    <cellStyle name="Normalny 2 7 4" xfId="20657"/>
    <cellStyle name="Normalny 2 8" xfId="20658"/>
    <cellStyle name="Normalny 2 8 2" xfId="20659"/>
    <cellStyle name="Normalny 2 8 3" xfId="20660"/>
    <cellStyle name="Normalny 2 8 4" xfId="20661"/>
    <cellStyle name="Normalny 2 9" xfId="20662"/>
    <cellStyle name="Normalny 2 9 2" xfId="20663"/>
    <cellStyle name="Normalny 2 9 3" xfId="20664"/>
    <cellStyle name="Normalny 2 9 4" xfId="20665"/>
    <cellStyle name="Normalny 2_CHURN " xfId="20666"/>
    <cellStyle name="Normalny 20" xfId="20667"/>
    <cellStyle name="Normalny 20 2" xfId="20668"/>
    <cellStyle name="Normalny 20 2 2" xfId="20669"/>
    <cellStyle name="Normalny 20 2 3" xfId="20670"/>
    <cellStyle name="Normalny 20 3" xfId="20671"/>
    <cellStyle name="Normalny 20 4" xfId="20672"/>
    <cellStyle name="Normalny 20 5" xfId="20673"/>
    <cellStyle name="Normalny 20 6" xfId="20674"/>
    <cellStyle name="Normalny 21" xfId="20675"/>
    <cellStyle name="Normalny 21 2" xfId="20676"/>
    <cellStyle name="Normalny 21 2 2" xfId="20677"/>
    <cellStyle name="Normalny 21 2 3" xfId="20678"/>
    <cellStyle name="Normalny 21 3" xfId="20679"/>
    <cellStyle name="Normalny 21 4" xfId="20680"/>
    <cellStyle name="Normalny 21 5" xfId="20681"/>
    <cellStyle name="Normalny 21 6" xfId="20682"/>
    <cellStyle name="Normalny 22" xfId="20683"/>
    <cellStyle name="Normalny 22 2" xfId="20684"/>
    <cellStyle name="Normalny 22 2 2" xfId="20685"/>
    <cellStyle name="Normalny 22 2 3" xfId="20686"/>
    <cellStyle name="Normalny 22 3" xfId="20687"/>
    <cellStyle name="Normalny 22 4" xfId="20688"/>
    <cellStyle name="Normalny 22 5" xfId="20689"/>
    <cellStyle name="Normalny 22 6" xfId="20690"/>
    <cellStyle name="Normalny 23" xfId="20691"/>
    <cellStyle name="Normalny 23 2" xfId="20692"/>
    <cellStyle name="Normalny 23 2 2" xfId="20693"/>
    <cellStyle name="Normalny 23 2 3" xfId="20694"/>
    <cellStyle name="Normalny 23 3" xfId="20695"/>
    <cellStyle name="Normalny 23 4" xfId="20696"/>
    <cellStyle name="Normalny 23 5" xfId="20697"/>
    <cellStyle name="Normalny 23 6" xfId="20698"/>
    <cellStyle name="Normalny 24" xfId="20699"/>
    <cellStyle name="Normalny 24 2" xfId="20700"/>
    <cellStyle name="Normalny 24 2 2" xfId="20701"/>
    <cellStyle name="Normalny 24 2 3" xfId="20702"/>
    <cellStyle name="Normalny 24 3" xfId="20703"/>
    <cellStyle name="Normalny 24 4" xfId="20704"/>
    <cellStyle name="Normalny 24 5" xfId="20705"/>
    <cellStyle name="Normalny 24 6" xfId="20706"/>
    <cellStyle name="Normalny 25" xfId="20707"/>
    <cellStyle name="Normalny 25 2" xfId="20708"/>
    <cellStyle name="Normalny 25 3" xfId="20709"/>
    <cellStyle name="Normalny 25 4" xfId="20710"/>
    <cellStyle name="Normalny 26" xfId="20711"/>
    <cellStyle name="Normalny 26 2" xfId="20712"/>
    <cellStyle name="Normalny 26 3" xfId="20713"/>
    <cellStyle name="Normalny 26 4" xfId="20714"/>
    <cellStyle name="Normalny 27" xfId="20715"/>
    <cellStyle name="Normalny 27 2" xfId="20716"/>
    <cellStyle name="Normalny 27 3" xfId="20717"/>
    <cellStyle name="Normalny 27 4" xfId="20718"/>
    <cellStyle name="Normalny 28" xfId="20719"/>
    <cellStyle name="Normalny 28 2" xfId="20720"/>
    <cellStyle name="Normalny 28 3" xfId="20721"/>
    <cellStyle name="Normalny 28 4" xfId="20722"/>
    <cellStyle name="Normalny 29" xfId="20723"/>
    <cellStyle name="Normalny 29 2" xfId="20724"/>
    <cellStyle name="Normalny 29 2 2" xfId="20725"/>
    <cellStyle name="Normalny 29 2 3" xfId="20726"/>
    <cellStyle name="Normalny 29 3" xfId="20727"/>
    <cellStyle name="Normalny 29 4" xfId="20728"/>
    <cellStyle name="Normalny 3" xfId="20729"/>
    <cellStyle name="Normalny 3 10" xfId="20730"/>
    <cellStyle name="Normalny 3 10 2" xfId="20731"/>
    <cellStyle name="Normalny 3 11" xfId="20732"/>
    <cellStyle name="Normalny 3 2" xfId="20733"/>
    <cellStyle name="Normalny 3 2 10" xfId="20734"/>
    <cellStyle name="Normalny 3 2 11" xfId="20735"/>
    <cellStyle name="Normalny 3 2 12" xfId="20736"/>
    <cellStyle name="Normalny 3 2 13" xfId="20737"/>
    <cellStyle name="Normalny 3 2 14" xfId="20738"/>
    <cellStyle name="Normalny 3 2 15" xfId="20739"/>
    <cellStyle name="Normalny 3 2 16" xfId="20740"/>
    <cellStyle name="Normalny 3 2 17" xfId="20741"/>
    <cellStyle name="Normalny 3 2 18" xfId="20742"/>
    <cellStyle name="Normalny 3 2 19" xfId="20743"/>
    <cellStyle name="Normalny 3 2 2" xfId="20744"/>
    <cellStyle name="Normalny 3 2 2 2" xfId="20745"/>
    <cellStyle name="Normalny 3 2 20" xfId="20746"/>
    <cellStyle name="Normalny 3 2 21" xfId="20747"/>
    <cellStyle name="Normalny 3 2 22" xfId="20748"/>
    <cellStyle name="Normalny 3 2 23" xfId="20749"/>
    <cellStyle name="Normalny 3 2 24" xfId="20750"/>
    <cellStyle name="Normalny 3 2 3" xfId="20751"/>
    <cellStyle name="Normalny 3 2 4" xfId="20752"/>
    <cellStyle name="Normalny 3 2 5" xfId="20753"/>
    <cellStyle name="Normalny 3 2 6" xfId="20754"/>
    <cellStyle name="Normalny 3 2 7" xfId="20755"/>
    <cellStyle name="Normalny 3 2 8" xfId="20756"/>
    <cellStyle name="Normalny 3 2 9" xfId="20757"/>
    <cellStyle name="Normalny 3 3" xfId="20758"/>
    <cellStyle name="Normalny 3 3 10" xfId="20759"/>
    <cellStyle name="Normalny 3 3 11" xfId="20760"/>
    <cellStyle name="Normalny 3 3 12" xfId="20761"/>
    <cellStyle name="Normalny 3 3 13" xfId="20762"/>
    <cellStyle name="Normalny 3 3 14" xfId="20763"/>
    <cellStyle name="Normalny 3 3 15" xfId="20764"/>
    <cellStyle name="Normalny 3 3 16" xfId="20765"/>
    <cellStyle name="Normalny 3 3 17" xfId="20766"/>
    <cellStyle name="Normalny 3 3 18" xfId="20767"/>
    <cellStyle name="Normalny 3 3 19" xfId="20768"/>
    <cellStyle name="Normalny 3 3 2" xfId="20769"/>
    <cellStyle name="Normalny 3 3 2 2" xfId="20770"/>
    <cellStyle name="Normalny 3 3 20" xfId="20771"/>
    <cellStyle name="Normalny 3 3 21" xfId="20772"/>
    <cellStyle name="Normalny 3 3 3" xfId="20773"/>
    <cellStyle name="Normalny 3 3 4" xfId="20774"/>
    <cellStyle name="Normalny 3 3 5" xfId="20775"/>
    <cellStyle name="Normalny 3 3 6" xfId="20776"/>
    <cellStyle name="Normalny 3 3 7" xfId="20777"/>
    <cellStyle name="Normalny 3 3 8" xfId="20778"/>
    <cellStyle name="Normalny 3 3 9" xfId="20779"/>
    <cellStyle name="Normalny 3 4" xfId="20780"/>
    <cellStyle name="Normalny 3 4 2" xfId="20781"/>
    <cellStyle name="Normalny 3 4 2 2" xfId="20782"/>
    <cellStyle name="Normalny 3 4 3" xfId="20783"/>
    <cellStyle name="Normalny 3 4 4" xfId="20784"/>
    <cellStyle name="Normalny 3 4 5" xfId="20785"/>
    <cellStyle name="Normalny 3 4 6" xfId="20786"/>
    <cellStyle name="Normalny 3 5" xfId="20787"/>
    <cellStyle name="Normalny 3 5 2" xfId="20788"/>
    <cellStyle name="Normalny 3 5 3" xfId="20789"/>
    <cellStyle name="Normalny 3 6" xfId="20790"/>
    <cellStyle name="Normalny 3 6 2" xfId="20791"/>
    <cellStyle name="Normalny 3 6 3" xfId="20792"/>
    <cellStyle name="Normalny 3 7" xfId="20793"/>
    <cellStyle name="Normalny 3 7 2" xfId="20794"/>
    <cellStyle name="Normalny 3 7 3" xfId="20795"/>
    <cellStyle name="Normalny 3 8" xfId="20796"/>
    <cellStyle name="Normalny 3 8 2" xfId="20797"/>
    <cellStyle name="Normalny 3 8 3" xfId="20798"/>
    <cellStyle name="Normalny 3 9" xfId="20799"/>
    <cellStyle name="Normalny 3_CHURN " xfId="20800"/>
    <cellStyle name="Normalny 30" xfId="20801"/>
    <cellStyle name="Normalny 30 2" xfId="20802"/>
    <cellStyle name="Normalny 30 3" xfId="20803"/>
    <cellStyle name="Normalny 30 4" xfId="20804"/>
    <cellStyle name="Normalny 31" xfId="20805"/>
    <cellStyle name="Normalny 31 2" xfId="20806"/>
    <cellStyle name="Normalny 31 2 2" xfId="20807"/>
    <cellStyle name="Normalny 31 2 3" xfId="20808"/>
    <cellStyle name="Normalny 31 3" xfId="20809"/>
    <cellStyle name="Normalny 32" xfId="20810"/>
    <cellStyle name="Normalny 32 2" xfId="20811"/>
    <cellStyle name="Normalny 32 3" xfId="20812"/>
    <cellStyle name="Normalny 32 4" xfId="20813"/>
    <cellStyle name="Normalny 33" xfId="20814"/>
    <cellStyle name="Normalny 33 2" xfId="20815"/>
    <cellStyle name="Normalny 33 3" xfId="20816"/>
    <cellStyle name="Normalny 33 4" xfId="20817"/>
    <cellStyle name="Normalny 34" xfId="20818"/>
    <cellStyle name="Normalny 34 2" xfId="20819"/>
    <cellStyle name="Normalny 34 3" xfId="20820"/>
    <cellStyle name="Normalny 34 4" xfId="20821"/>
    <cellStyle name="Normalny 35" xfId="20822"/>
    <cellStyle name="Normalny 35 2" xfId="20823"/>
    <cellStyle name="Normalny 35 3" xfId="20824"/>
    <cellStyle name="Normalny 35 4" xfId="20825"/>
    <cellStyle name="Normalny 36" xfId="20826"/>
    <cellStyle name="Normalny 36 2" xfId="20827"/>
    <cellStyle name="Normalny 36 3" xfId="20828"/>
    <cellStyle name="Normalny 36 4" xfId="20829"/>
    <cellStyle name="Normalny 37" xfId="20830"/>
    <cellStyle name="Normalny 37 2" xfId="20831"/>
    <cellStyle name="Normalny 37 3" xfId="20832"/>
    <cellStyle name="Normalny 37 4" xfId="20833"/>
    <cellStyle name="Normalny 38" xfId="20834"/>
    <cellStyle name="Normalny 38 2" xfId="20835"/>
    <cellStyle name="Normalny 38 3" xfId="20836"/>
    <cellStyle name="Normalny 38 4" xfId="20837"/>
    <cellStyle name="Normalny 39" xfId="20838"/>
    <cellStyle name="Normalny 39 2" xfId="20839"/>
    <cellStyle name="Normalny 39 2 2" xfId="20840"/>
    <cellStyle name="Normalny 39 2 3" xfId="20841"/>
    <cellStyle name="Normalny 39 3" xfId="20842"/>
    <cellStyle name="Normalny 4" xfId="20843"/>
    <cellStyle name="Normalny 4 10" xfId="20844"/>
    <cellStyle name="Normalny 4 11" xfId="20845"/>
    <cellStyle name="Normalny 4 2" xfId="20846"/>
    <cellStyle name="Normalny 4 2 10" xfId="20847"/>
    <cellStyle name="Normalny 4 2 2" xfId="20848"/>
    <cellStyle name="Normalny 4 2 2 2" xfId="20849"/>
    <cellStyle name="Normalny 4 2 2 3" xfId="20850"/>
    <cellStyle name="Normalny 4 2 2 4" xfId="20851"/>
    <cellStyle name="Normalny 4 2 2 5" xfId="20852"/>
    <cellStyle name="Normalny 4 2 3" xfId="20853"/>
    <cellStyle name="Normalny 4 2 4" xfId="20854"/>
    <cellStyle name="Normalny 4 2 5" xfId="20855"/>
    <cellStyle name="Normalny 4 2 6" xfId="20856"/>
    <cellStyle name="Normalny 4 2 7" xfId="20857"/>
    <cellStyle name="Normalny 4 2 8" xfId="20858"/>
    <cellStyle name="Normalny 4 2 9" xfId="20859"/>
    <cellStyle name="Normalny 4 3" xfId="20860"/>
    <cellStyle name="Normalny 4 3 2" xfId="20861"/>
    <cellStyle name="Normalny 4 3 2 2" xfId="20862"/>
    <cellStyle name="Normalny 4 3 3" xfId="20863"/>
    <cellStyle name="Normalny 4 3 4" xfId="20864"/>
    <cellStyle name="Normalny 4 4" xfId="20865"/>
    <cellStyle name="Normalny 4 4 2" xfId="20866"/>
    <cellStyle name="Normalny 4 4 3" xfId="20867"/>
    <cellStyle name="Normalny 4 4 4" xfId="20868"/>
    <cellStyle name="Normalny 4 5" xfId="20869"/>
    <cellStyle name="Normalny 4 5 2" xfId="20870"/>
    <cellStyle name="Normalny 4 5 3" xfId="20871"/>
    <cellStyle name="Normalny 4 5 4" xfId="20872"/>
    <cellStyle name="Normalny 4 6" xfId="20873"/>
    <cellStyle name="Normalny 4 6 2" xfId="20874"/>
    <cellStyle name="Normalny 4 6 3" xfId="20875"/>
    <cellStyle name="Normalny 4 6 4" xfId="20876"/>
    <cellStyle name="Normalny 4 6 5" xfId="20877"/>
    <cellStyle name="Normalny 4 7" xfId="20878"/>
    <cellStyle name="Normalny 4 7 2" xfId="20879"/>
    <cellStyle name="Normalny 4 8" xfId="20880"/>
    <cellStyle name="Normalny 4 9" xfId="20881"/>
    <cellStyle name="Normalny 4_CHURN " xfId="20882"/>
    <cellStyle name="Normalny 40" xfId="20883"/>
    <cellStyle name="Normalny 40 2" xfId="20884"/>
    <cellStyle name="Normalny 40 2 2" xfId="20885"/>
    <cellStyle name="Normalny 40 2 3" xfId="20886"/>
    <cellStyle name="Normalny 40 3" xfId="20887"/>
    <cellStyle name="Normalny 40 4" xfId="20888"/>
    <cellStyle name="Normalny 41" xfId="20889"/>
    <cellStyle name="Normalny 41 2" xfId="20890"/>
    <cellStyle name="Normalny 41 2 2" xfId="20891"/>
    <cellStyle name="Normalny 41 3" xfId="20892"/>
    <cellStyle name="Normalny 42" xfId="20893"/>
    <cellStyle name="Normalny 42 2" xfId="20894"/>
    <cellStyle name="Normalny 42 2 2" xfId="20895"/>
    <cellStyle name="Normalny 42 3" xfId="20896"/>
    <cellStyle name="Normalny 43" xfId="20897"/>
    <cellStyle name="Normalny 43 2" xfId="20898"/>
    <cellStyle name="Normalny 43 2 2" xfId="20899"/>
    <cellStyle name="Normalny 43 3" xfId="20900"/>
    <cellStyle name="Normalny 44" xfId="20901"/>
    <cellStyle name="Normalny 44 2" xfId="20902"/>
    <cellStyle name="Normalny 44 2 2" xfId="20903"/>
    <cellStyle name="Normalny 44 3" xfId="20904"/>
    <cellStyle name="Normalny 44 4" xfId="20905"/>
    <cellStyle name="Normalny 45" xfId="20906"/>
    <cellStyle name="Normalny 45 2" xfId="20907"/>
    <cellStyle name="Normalny 45 2 2" xfId="20908"/>
    <cellStyle name="Normalny 45 3" xfId="20909"/>
    <cellStyle name="Normalny 45 4" xfId="20910"/>
    <cellStyle name="Normalny 46" xfId="20911"/>
    <cellStyle name="Normalny 46 2" xfId="20912"/>
    <cellStyle name="Normalny 46 2 2" xfId="20913"/>
    <cellStyle name="Normalny 46 3" xfId="20914"/>
    <cellStyle name="Normalny 46 4" xfId="20915"/>
    <cellStyle name="Normalny 47" xfId="13"/>
    <cellStyle name="Normalny 47 2" xfId="20916"/>
    <cellStyle name="Normalny 47 2 2" xfId="20917"/>
    <cellStyle name="Normalny 47 3" xfId="20918"/>
    <cellStyle name="Normalny 47 4" xfId="20919"/>
    <cellStyle name="Normalny 48" xfId="20920"/>
    <cellStyle name="Normalny 48 2" xfId="20921"/>
    <cellStyle name="Normalny 48 3" xfId="20922"/>
    <cellStyle name="Normalny 48 4" xfId="20923"/>
    <cellStyle name="Normalny 49" xfId="20924"/>
    <cellStyle name="Normalny 49 2" xfId="20925"/>
    <cellStyle name="Normalny 49 3" xfId="20926"/>
    <cellStyle name="Normalny 49 4" xfId="20927"/>
    <cellStyle name="Normalny 5" xfId="20928"/>
    <cellStyle name="Normalny 5 10" xfId="20929"/>
    <cellStyle name="Normalny 5 10 2" xfId="20930"/>
    <cellStyle name="Normalny 5 10 3" xfId="20931"/>
    <cellStyle name="Normalny 5 11" xfId="20932"/>
    <cellStyle name="Normalny 5 11 2" xfId="20933"/>
    <cellStyle name="Normalny 5 12" xfId="20934"/>
    <cellStyle name="Normalny 5 13" xfId="20935"/>
    <cellStyle name="Normalny 5 14" xfId="20936"/>
    <cellStyle name="Normalny 5 15" xfId="20937"/>
    <cellStyle name="Normalny 5 16" xfId="20938"/>
    <cellStyle name="Normalny 5 17" xfId="20939"/>
    <cellStyle name="Normalny 5 18" xfId="20940"/>
    <cellStyle name="Normalny 5 19" xfId="20941"/>
    <cellStyle name="Normalny 5 2" xfId="20942"/>
    <cellStyle name="Normalny 5 2 10" xfId="20943"/>
    <cellStyle name="Normalny 5 2 11" xfId="20944"/>
    <cellStyle name="Normalny 5 2 12" xfId="20945"/>
    <cellStyle name="Normalny 5 2 13" xfId="20946"/>
    <cellStyle name="Normalny 5 2 14" xfId="20947"/>
    <cellStyle name="Normalny 5 2 15" xfId="20948"/>
    <cellStyle name="Normalny 5 2 16" xfId="20949"/>
    <cellStyle name="Normalny 5 2 17" xfId="20950"/>
    <cellStyle name="Normalny 5 2 18" xfId="20951"/>
    <cellStyle name="Normalny 5 2 19" xfId="20952"/>
    <cellStyle name="Normalny 5 2 2" xfId="20953"/>
    <cellStyle name="Normalny 5 2 2 2" xfId="20954"/>
    <cellStyle name="Normalny 5 2 2 3" xfId="20955"/>
    <cellStyle name="Normalny 5 2 20" xfId="20956"/>
    <cellStyle name="Normalny 5 2 21" xfId="20957"/>
    <cellStyle name="Normalny 5 2 22" xfId="20958"/>
    <cellStyle name="Normalny 5 2 3" xfId="20959"/>
    <cellStyle name="Normalny 5 2 4" xfId="20960"/>
    <cellStyle name="Normalny 5 2 5" xfId="20961"/>
    <cellStyle name="Normalny 5 2 6" xfId="20962"/>
    <cellStyle name="Normalny 5 2 7" xfId="20963"/>
    <cellStyle name="Normalny 5 2 8" xfId="20964"/>
    <cellStyle name="Normalny 5 2 9" xfId="20965"/>
    <cellStyle name="Normalny 5 20" xfId="20966"/>
    <cellStyle name="Normalny 5 21" xfId="20967"/>
    <cellStyle name="Normalny 5 22" xfId="20968"/>
    <cellStyle name="Normalny 5 23" xfId="20969"/>
    <cellStyle name="Normalny 5 3" xfId="20970"/>
    <cellStyle name="Normalny 5 3 2" xfId="20971"/>
    <cellStyle name="Normalny 5 3 2 2" xfId="20972"/>
    <cellStyle name="Normalny 5 3 3" xfId="20973"/>
    <cellStyle name="Normalny 5 4" xfId="20974"/>
    <cellStyle name="Normalny 5 4 2" xfId="20975"/>
    <cellStyle name="Normalny 5 4 3" xfId="20976"/>
    <cellStyle name="Normalny 5 5" xfId="20977"/>
    <cellStyle name="Normalny 5 5 2" xfId="20978"/>
    <cellStyle name="Normalny 5 6" xfId="20979"/>
    <cellStyle name="Normalny 5 6 2" xfId="20980"/>
    <cellStyle name="Normalny 5 7" xfId="20981"/>
    <cellStyle name="Normalny 5 7 2" xfId="20982"/>
    <cellStyle name="Normalny 5 8" xfId="20983"/>
    <cellStyle name="Normalny 5 8 2" xfId="20984"/>
    <cellStyle name="Normalny 5 9" xfId="20985"/>
    <cellStyle name="Normalny 5 9 2" xfId="20986"/>
    <cellStyle name="Normalny 5_CHURN " xfId="20987"/>
    <cellStyle name="Normalny 50" xfId="20988"/>
    <cellStyle name="Normalny 50 2" xfId="20989"/>
    <cellStyle name="Normalny 50 3" xfId="20990"/>
    <cellStyle name="Normalny 50 4" xfId="20991"/>
    <cellStyle name="Normalny 51" xfId="20992"/>
    <cellStyle name="Normalny 51 2" xfId="20993"/>
    <cellStyle name="Normalny 51 3" xfId="20994"/>
    <cellStyle name="Normalny 51 4" xfId="20995"/>
    <cellStyle name="Normalny 52" xfId="20996"/>
    <cellStyle name="Normalny 52 2" xfId="20997"/>
    <cellStyle name="Normalny 52 3" xfId="20998"/>
    <cellStyle name="Normalny 52 4" xfId="20999"/>
    <cellStyle name="Normalny 53" xfId="21000"/>
    <cellStyle name="Normalny 53 2" xfId="21001"/>
    <cellStyle name="Normalny 53 3" xfId="21002"/>
    <cellStyle name="Normalny 53 4" xfId="21003"/>
    <cellStyle name="Normalny 54" xfId="21004"/>
    <cellStyle name="Normalny 54 2" xfId="21005"/>
    <cellStyle name="Normalny 54 3" xfId="21006"/>
    <cellStyle name="Normalny 54 4" xfId="21007"/>
    <cellStyle name="Normalny 55" xfId="21008"/>
    <cellStyle name="Normalny 55 2" xfId="21009"/>
    <cellStyle name="Normalny 55 3" xfId="21010"/>
    <cellStyle name="Normalny 55 4" xfId="21011"/>
    <cellStyle name="Normalny 56" xfId="21012"/>
    <cellStyle name="Normalny 56 2" xfId="21013"/>
    <cellStyle name="Normalny 56 3" xfId="21014"/>
    <cellStyle name="Normalny 56 4" xfId="21015"/>
    <cellStyle name="Normalny 57" xfId="21016"/>
    <cellStyle name="Normalny 57 2" xfId="21017"/>
    <cellStyle name="Normalny 57 3" xfId="21018"/>
    <cellStyle name="Normalny 57 4" xfId="21019"/>
    <cellStyle name="Normalny 58" xfId="21020"/>
    <cellStyle name="Normalny 58 2" xfId="21021"/>
    <cellStyle name="Normalny 58 3" xfId="21022"/>
    <cellStyle name="Normalny 58 4" xfId="21023"/>
    <cellStyle name="Normalny 59" xfId="21024"/>
    <cellStyle name="Normalny 59 2" xfId="21025"/>
    <cellStyle name="Normalny 6" xfId="21026"/>
    <cellStyle name="Normalny 6 10" xfId="21027"/>
    <cellStyle name="Normalny 6 10 2" xfId="21028"/>
    <cellStyle name="Normalny 6 10 3" xfId="21029"/>
    <cellStyle name="Normalny 6 11" xfId="21030"/>
    <cellStyle name="Normalny 6 11 2" xfId="21031"/>
    <cellStyle name="Normalny 6 12" xfId="21032"/>
    <cellStyle name="Normalny 6 12 2" xfId="21033"/>
    <cellStyle name="Normalny 6 12 3" xfId="21034"/>
    <cellStyle name="Normalny 6 13" xfId="21035"/>
    <cellStyle name="Normalny 6 13 2" xfId="21036"/>
    <cellStyle name="Normalny 6 14" xfId="21037"/>
    <cellStyle name="Normalny 6 15" xfId="21038"/>
    <cellStyle name="Normalny 6 16" xfId="21039"/>
    <cellStyle name="Normalny 6 17" xfId="21040"/>
    <cellStyle name="Normalny 6 18" xfId="21041"/>
    <cellStyle name="Normalny 6 19" xfId="21042"/>
    <cellStyle name="Normalny 6 2" xfId="21043"/>
    <cellStyle name="Normalny 6 2 10" xfId="21044"/>
    <cellStyle name="Normalny 6 2 10 2" xfId="21045"/>
    <cellStyle name="Normalny 6 2 11" xfId="21046"/>
    <cellStyle name="Normalny 6 2 11 2" xfId="21047"/>
    <cellStyle name="Normalny 6 2 12" xfId="21048"/>
    <cellStyle name="Normalny 6 2 12 2" xfId="21049"/>
    <cellStyle name="Normalny 6 2 13" xfId="21050"/>
    <cellStyle name="Normalny 6 2 14" xfId="21051"/>
    <cellStyle name="Normalny 6 2 15" xfId="21052"/>
    <cellStyle name="Normalny 6 2 16" xfId="21053"/>
    <cellStyle name="Normalny 6 2 17" xfId="21054"/>
    <cellStyle name="Normalny 6 2 18" xfId="21055"/>
    <cellStyle name="Normalny 6 2 19" xfId="21056"/>
    <cellStyle name="Normalny 6 2 2" xfId="21057"/>
    <cellStyle name="Normalny 6 2 2 2" xfId="21058"/>
    <cellStyle name="Normalny 6 2 2 2 2" xfId="21059"/>
    <cellStyle name="Normalny 6 2 2 3" xfId="21060"/>
    <cellStyle name="Normalny 6 2 20" xfId="21061"/>
    <cellStyle name="Normalny 6 2 21" xfId="21062"/>
    <cellStyle name="Normalny 6 2 22" xfId="21063"/>
    <cellStyle name="Normalny 6 2 23" xfId="21064"/>
    <cellStyle name="Normalny 6 2 24" xfId="21065"/>
    <cellStyle name="Normalny 6 2 3" xfId="21066"/>
    <cellStyle name="Normalny 6 2 3 2" xfId="21067"/>
    <cellStyle name="Normalny 6 2 3 3" xfId="21068"/>
    <cellStyle name="Normalny 6 2 4" xfId="21069"/>
    <cellStyle name="Normalny 6 2 4 2" xfId="21070"/>
    <cellStyle name="Normalny 6 2 5" xfId="21071"/>
    <cellStyle name="Normalny 6 2 5 2" xfId="21072"/>
    <cellStyle name="Normalny 6 2 6" xfId="21073"/>
    <cellStyle name="Normalny 6 2 6 2" xfId="21074"/>
    <cellStyle name="Normalny 6 2 7" xfId="21075"/>
    <cellStyle name="Normalny 6 2 7 2" xfId="21076"/>
    <cellStyle name="Normalny 6 2 8" xfId="21077"/>
    <cellStyle name="Normalny 6 2 8 2" xfId="21078"/>
    <cellStyle name="Normalny 6 2 9" xfId="21079"/>
    <cellStyle name="Normalny 6 2 9 2" xfId="21080"/>
    <cellStyle name="Normalny 6 3" xfId="21081"/>
    <cellStyle name="Normalny 6 3 10" xfId="21082"/>
    <cellStyle name="Normalny 6 3 11" xfId="21083"/>
    <cellStyle name="Normalny 6 3 12" xfId="21084"/>
    <cellStyle name="Normalny 6 3 13" xfId="21085"/>
    <cellStyle name="Normalny 6 3 14" xfId="21086"/>
    <cellStyle name="Normalny 6 3 15" xfId="21087"/>
    <cellStyle name="Normalny 6 3 16" xfId="21088"/>
    <cellStyle name="Normalny 6 3 17" xfId="21089"/>
    <cellStyle name="Normalny 6 3 18" xfId="21090"/>
    <cellStyle name="Normalny 6 3 19" xfId="21091"/>
    <cellStyle name="Normalny 6 3 2" xfId="21092"/>
    <cellStyle name="Normalny 6 3 2 2" xfId="21093"/>
    <cellStyle name="Normalny 6 3 20" xfId="21094"/>
    <cellStyle name="Normalny 6 3 21" xfId="21095"/>
    <cellStyle name="Normalny 6 3 22" xfId="21096"/>
    <cellStyle name="Normalny 6 3 23" xfId="21097"/>
    <cellStyle name="Normalny 6 3 24" xfId="21098"/>
    <cellStyle name="Normalny 6 3 3" xfId="21099"/>
    <cellStyle name="Normalny 6 3 4" xfId="21100"/>
    <cellStyle name="Normalny 6 3 5" xfId="21101"/>
    <cellStyle name="Normalny 6 3 6" xfId="21102"/>
    <cellStyle name="Normalny 6 3 7" xfId="21103"/>
    <cellStyle name="Normalny 6 3 8" xfId="21104"/>
    <cellStyle name="Normalny 6 3 9" xfId="21105"/>
    <cellStyle name="Normalny 6 4" xfId="21106"/>
    <cellStyle name="Normalny 6 4 2" xfId="21107"/>
    <cellStyle name="Normalny 6 4 2 2" xfId="21108"/>
    <cellStyle name="Normalny 6 4 3" xfId="21109"/>
    <cellStyle name="Normalny 6 4 4" xfId="21110"/>
    <cellStyle name="Normalny 6 4 5" xfId="21111"/>
    <cellStyle name="Normalny 6 5" xfId="21112"/>
    <cellStyle name="Normalny 6 5 2" xfId="21113"/>
    <cellStyle name="Normalny 6 5 2 2" xfId="21114"/>
    <cellStyle name="Normalny 6 5 3" xfId="21115"/>
    <cellStyle name="Normalny 6 5 4" xfId="21116"/>
    <cellStyle name="Normalny 6 5 5" xfId="21117"/>
    <cellStyle name="Normalny 6 6" xfId="21118"/>
    <cellStyle name="Normalny 6 6 2" xfId="21119"/>
    <cellStyle name="Normalny 6 6 2 2" xfId="21120"/>
    <cellStyle name="Normalny 6 6 3" xfId="21121"/>
    <cellStyle name="Normalny 6 6 4" xfId="21122"/>
    <cellStyle name="Normalny 6 6 5" xfId="21123"/>
    <cellStyle name="Normalny 6 7" xfId="21124"/>
    <cellStyle name="Normalny 6 7 2" xfId="21125"/>
    <cellStyle name="Normalny 6 7 3" xfId="21126"/>
    <cellStyle name="Normalny 6 8" xfId="21127"/>
    <cellStyle name="Normalny 6 8 2" xfId="21128"/>
    <cellStyle name="Normalny 6 8 3" xfId="21129"/>
    <cellStyle name="Normalny 6 9" xfId="21130"/>
    <cellStyle name="Normalny 6 9 2" xfId="21131"/>
    <cellStyle name="Normalny 6 9 3" xfId="21132"/>
    <cellStyle name="Normalny 6_CHURN " xfId="21133"/>
    <cellStyle name="Normalny 60" xfId="21134"/>
    <cellStyle name="Normalny 60 2" xfId="21135"/>
    <cellStyle name="Normalny 60 3" xfId="21136"/>
    <cellStyle name="Normalny 61" xfId="21137"/>
    <cellStyle name="Normalny 61 2" xfId="21138"/>
    <cellStyle name="Normalny 61 3" xfId="21139"/>
    <cellStyle name="Normalny 62" xfId="21140"/>
    <cellStyle name="Normalny 62 2" xfId="21141"/>
    <cellStyle name="Normalny 62 3" xfId="21142"/>
    <cellStyle name="Normalny 63" xfId="21143"/>
    <cellStyle name="Normalny 63 2" xfId="21144"/>
    <cellStyle name="Normalny 63 2 2" xfId="21145"/>
    <cellStyle name="Normalny 63 3" xfId="21146"/>
    <cellStyle name="Normalny 63 4" xfId="21147"/>
    <cellStyle name="Normalny 64" xfId="21148"/>
    <cellStyle name="Normalny 64 2" xfId="21149"/>
    <cellStyle name="Normalny 64 3" xfId="21150"/>
    <cellStyle name="Normalny 65" xfId="21151"/>
    <cellStyle name="Normalny 65 2" xfId="21152"/>
    <cellStyle name="Normalny 65 3" xfId="21153"/>
    <cellStyle name="Normalny 66" xfId="5"/>
    <cellStyle name="Normalny 66 2" xfId="21155"/>
    <cellStyle name="Normalny 66 3" xfId="21154"/>
    <cellStyle name="Normalny 67" xfId="21156"/>
    <cellStyle name="Normalny 67 2" xfId="21157"/>
    <cellStyle name="Normalny 68" xfId="21158"/>
    <cellStyle name="Normalny 68 2" xfId="21159"/>
    <cellStyle name="Normalny 69" xfId="21160"/>
    <cellStyle name="Normalny 69 2" xfId="21161"/>
    <cellStyle name="Normalny 7" xfId="21162"/>
    <cellStyle name="Normalny 7 10" xfId="21163"/>
    <cellStyle name="Normalny 7 11" xfId="21164"/>
    <cellStyle name="Normalny 7 12" xfId="21165"/>
    <cellStyle name="Normalny 7 13" xfId="21166"/>
    <cellStyle name="Normalny 7 14" xfId="21167"/>
    <cellStyle name="Normalny 7 2" xfId="21168"/>
    <cellStyle name="Normalny 7 2 2" xfId="21169"/>
    <cellStyle name="Normalny 7 2 2 2" xfId="21170"/>
    <cellStyle name="Normalny 7 2 3" xfId="21171"/>
    <cellStyle name="Normalny 7 2 4" xfId="21172"/>
    <cellStyle name="Normalny 7 2 5" xfId="21173"/>
    <cellStyle name="Normalny 7 2 6" xfId="21174"/>
    <cellStyle name="Normalny 7 3" xfId="21175"/>
    <cellStyle name="Normalny 7 3 2" xfId="21176"/>
    <cellStyle name="Normalny 7 3 2 2" xfId="21177"/>
    <cellStyle name="Normalny 7 3 3" xfId="21178"/>
    <cellStyle name="Normalny 7 3 4" xfId="21179"/>
    <cellStyle name="Normalny 7 3 5" xfId="21180"/>
    <cellStyle name="Normalny 7 4" xfId="21181"/>
    <cellStyle name="Normalny 7 4 2" xfId="21182"/>
    <cellStyle name="Normalny 7 5" xfId="21183"/>
    <cellStyle name="Normalny 7 5 2" xfId="21184"/>
    <cellStyle name="Normalny 7 6" xfId="21185"/>
    <cellStyle name="Normalny 7 7" xfId="21186"/>
    <cellStyle name="Normalny 7 8" xfId="21187"/>
    <cellStyle name="Normalny 7 9" xfId="21188"/>
    <cellStyle name="Normalny 7_CHURN " xfId="21189"/>
    <cellStyle name="Normalny 70" xfId="21190"/>
    <cellStyle name="Normalny 70 2" xfId="21191"/>
    <cellStyle name="Normalny 71" xfId="21192"/>
    <cellStyle name="Normalny 71 2" xfId="21193"/>
    <cellStyle name="Normalny 72" xfId="21194"/>
    <cellStyle name="Normalny 72 2" xfId="21195"/>
    <cellStyle name="Normalny 73" xfId="21196"/>
    <cellStyle name="Normalny 73 2" xfId="21197"/>
    <cellStyle name="Normalny 74" xfId="21198"/>
    <cellStyle name="Normalny 74 2" xfId="21199"/>
    <cellStyle name="Normalny 75" xfId="21200"/>
    <cellStyle name="Normalny 75 2" xfId="21201"/>
    <cellStyle name="Normalny 76" xfId="21202"/>
    <cellStyle name="Normalny 76 2" xfId="21203"/>
    <cellStyle name="Normalny 77" xfId="21204"/>
    <cellStyle name="Normalny 77 2" xfId="21205"/>
    <cellStyle name="Normalny 78" xfId="21206"/>
    <cellStyle name="Normalny 78 2" xfId="21207"/>
    <cellStyle name="Normalny 79" xfId="21208"/>
    <cellStyle name="Normalny 79 2" xfId="21209"/>
    <cellStyle name="Normalny 8" xfId="21210"/>
    <cellStyle name="Normalny 8 10" xfId="21211"/>
    <cellStyle name="Normalny 8 11" xfId="21212"/>
    <cellStyle name="Normalny 8 12" xfId="21213"/>
    <cellStyle name="Normalny 8 13" xfId="21214"/>
    <cellStyle name="Normalny 8 13 2" xfId="21215"/>
    <cellStyle name="Normalny 8 14" xfId="21216"/>
    <cellStyle name="Normalny 8 2" xfId="21217"/>
    <cellStyle name="Normalny 8 2 10" xfId="21218"/>
    <cellStyle name="Normalny 8 2 11" xfId="21219"/>
    <cellStyle name="Normalny 8 2 12" xfId="21220"/>
    <cellStyle name="Normalny 8 2 13" xfId="21221"/>
    <cellStyle name="Normalny 8 2 14" xfId="21222"/>
    <cellStyle name="Normalny 8 2 15" xfId="21223"/>
    <cellStyle name="Normalny 8 2 16" xfId="21224"/>
    <cellStyle name="Normalny 8 2 17" xfId="21225"/>
    <cellStyle name="Normalny 8 2 18" xfId="21226"/>
    <cellStyle name="Normalny 8 2 19" xfId="21227"/>
    <cellStyle name="Normalny 8 2 2" xfId="21228"/>
    <cellStyle name="Normalny 8 2 2 2" xfId="21229"/>
    <cellStyle name="Normalny 8 2 20" xfId="21230"/>
    <cellStyle name="Normalny 8 2 21" xfId="21231"/>
    <cellStyle name="Normalny 8 2 22" xfId="21232"/>
    <cellStyle name="Normalny 8 2 23" xfId="21233"/>
    <cellStyle name="Normalny 8 2 24" xfId="21234"/>
    <cellStyle name="Normalny 8 2 3" xfId="21235"/>
    <cellStyle name="Normalny 8 2 4" xfId="21236"/>
    <cellStyle name="Normalny 8 2 5" xfId="21237"/>
    <cellStyle name="Normalny 8 2 6" xfId="21238"/>
    <cellStyle name="Normalny 8 2 7" xfId="21239"/>
    <cellStyle name="Normalny 8 2 8" xfId="21240"/>
    <cellStyle name="Normalny 8 2 9" xfId="21241"/>
    <cellStyle name="Normalny 8 3" xfId="21242"/>
    <cellStyle name="Normalny 8 3 2" xfId="21243"/>
    <cellStyle name="Normalny 8 3 2 2" xfId="21244"/>
    <cellStyle name="Normalny 8 3 3" xfId="21245"/>
    <cellStyle name="Normalny 8 3 4" xfId="21246"/>
    <cellStyle name="Normalny 8 3 5" xfId="21247"/>
    <cellStyle name="Normalny 8 4" xfId="21248"/>
    <cellStyle name="Normalny 8 4 2" xfId="21249"/>
    <cellStyle name="Normalny 8 5" xfId="21250"/>
    <cellStyle name="Normalny 8 5 2" xfId="21251"/>
    <cellStyle name="Normalny 8 6" xfId="21252"/>
    <cellStyle name="Normalny 8 7" xfId="21253"/>
    <cellStyle name="Normalny 8 8" xfId="21254"/>
    <cellStyle name="Normalny 8 9" xfId="21255"/>
    <cellStyle name="Normalny 8_CHURN " xfId="21256"/>
    <cellStyle name="Normalny 80" xfId="21257"/>
    <cellStyle name="Normalny 80 2" xfId="21258"/>
    <cellStyle name="Normalny 81" xfId="21259"/>
    <cellStyle name="Normalny 81 2" xfId="21260"/>
    <cellStyle name="Normalny 82" xfId="19"/>
    <cellStyle name="Normalny 82 2" xfId="21261"/>
    <cellStyle name="Normalny 83" xfId="21262"/>
    <cellStyle name="Normalny 83 2" xfId="21263"/>
    <cellStyle name="Normalny 84" xfId="21264"/>
    <cellStyle name="Normalny 84 2" xfId="21265"/>
    <cellStyle name="Normalny 85" xfId="21266"/>
    <cellStyle name="Normalny 85 2" xfId="21267"/>
    <cellStyle name="Normalny 86" xfId="21268"/>
    <cellStyle name="Normalny 86 2" xfId="21269"/>
    <cellStyle name="Normalny 87" xfId="21270"/>
    <cellStyle name="Normalny 87 2" xfId="21271"/>
    <cellStyle name="Normalny 88" xfId="21272"/>
    <cellStyle name="Normalny 88 2" xfId="21273"/>
    <cellStyle name="Normalny 89" xfId="21274"/>
    <cellStyle name="Normalny 89 2" xfId="21275"/>
    <cellStyle name="Normalny 9" xfId="21276"/>
    <cellStyle name="Normalny 9 2" xfId="21277"/>
    <cellStyle name="Normalny 9 2 2" xfId="21278"/>
    <cellStyle name="Normalny 9 3" xfId="21279"/>
    <cellStyle name="Normalny 9 3 2" xfId="21280"/>
    <cellStyle name="Normalny 9 4" xfId="21281"/>
    <cellStyle name="Normalny 9 5" xfId="21282"/>
    <cellStyle name="Normalny 9 5 2" xfId="21283"/>
    <cellStyle name="Normalny 9 6" xfId="21284"/>
    <cellStyle name="Normalny 90" xfId="21285"/>
    <cellStyle name="Normalny 90 2" xfId="21286"/>
    <cellStyle name="Normalny 91" xfId="21287"/>
    <cellStyle name="Normalny 91 2" xfId="21288"/>
    <cellStyle name="Normalny 92" xfId="21289"/>
    <cellStyle name="Normalny 92 2" xfId="21290"/>
    <cellStyle name="Normalny 93" xfId="21291"/>
    <cellStyle name="Normalny 93 2" xfId="21292"/>
    <cellStyle name="Normalny 94" xfId="21293"/>
    <cellStyle name="Normalny 94 2" xfId="21294"/>
    <cellStyle name="Normalny 95" xfId="21295"/>
    <cellStyle name="Normalny 95 2" xfId="21296"/>
    <cellStyle name="Normalny 96" xfId="21297"/>
    <cellStyle name="Normalny 96 2" xfId="21298"/>
    <cellStyle name="Normalny 97" xfId="21299"/>
    <cellStyle name="Normalny 97 2" xfId="21300"/>
    <cellStyle name="Normalny 98" xfId="21301"/>
    <cellStyle name="Normalny 98 2" xfId="21302"/>
    <cellStyle name="Normalny 99" xfId="21303"/>
    <cellStyle name="Normalny 99 2" xfId="21304"/>
    <cellStyle name="Note 2" xfId="21305"/>
    <cellStyle name="Note 3" xfId="21306"/>
    <cellStyle name="NoteMark" xfId="21307"/>
    <cellStyle name="Obliczenia 2" xfId="21308"/>
    <cellStyle name="Obliczenia 2 10" xfId="21309"/>
    <cellStyle name="Obliczenia 2 10 10" xfId="21310"/>
    <cellStyle name="Obliczenia 2 10 10 2" xfId="21311"/>
    <cellStyle name="Obliczenia 2 10 10 3" xfId="21312"/>
    <cellStyle name="Obliczenia 2 10 10 4" xfId="21313"/>
    <cellStyle name="Obliczenia 2 10 11" xfId="21314"/>
    <cellStyle name="Obliczenia 2 10 11 2" xfId="21315"/>
    <cellStyle name="Obliczenia 2 10 11 3" xfId="21316"/>
    <cellStyle name="Obliczenia 2 10 11 4" xfId="21317"/>
    <cellStyle name="Obliczenia 2 10 12" xfId="21318"/>
    <cellStyle name="Obliczenia 2 10 12 2" xfId="21319"/>
    <cellStyle name="Obliczenia 2 10 12 3" xfId="21320"/>
    <cellStyle name="Obliczenia 2 10 12 4" xfId="21321"/>
    <cellStyle name="Obliczenia 2 10 13" xfId="21322"/>
    <cellStyle name="Obliczenia 2 10 13 2" xfId="21323"/>
    <cellStyle name="Obliczenia 2 10 13 3" xfId="21324"/>
    <cellStyle name="Obliczenia 2 10 13 4" xfId="21325"/>
    <cellStyle name="Obliczenia 2 10 14" xfId="21326"/>
    <cellStyle name="Obliczenia 2 10 14 2" xfId="21327"/>
    <cellStyle name="Obliczenia 2 10 14 3" xfId="21328"/>
    <cellStyle name="Obliczenia 2 10 14 4" xfId="21329"/>
    <cellStyle name="Obliczenia 2 10 15" xfId="21330"/>
    <cellStyle name="Obliczenia 2 10 15 2" xfId="21331"/>
    <cellStyle name="Obliczenia 2 10 15 3" xfId="21332"/>
    <cellStyle name="Obliczenia 2 10 15 4" xfId="21333"/>
    <cellStyle name="Obliczenia 2 10 16" xfId="21334"/>
    <cellStyle name="Obliczenia 2 10 16 2" xfId="21335"/>
    <cellStyle name="Obliczenia 2 10 16 3" xfId="21336"/>
    <cellStyle name="Obliczenia 2 10 16 4" xfId="21337"/>
    <cellStyle name="Obliczenia 2 10 17" xfId="21338"/>
    <cellStyle name="Obliczenia 2 10 17 2" xfId="21339"/>
    <cellStyle name="Obliczenia 2 10 17 3" xfId="21340"/>
    <cellStyle name="Obliczenia 2 10 17 4" xfId="21341"/>
    <cellStyle name="Obliczenia 2 10 18" xfId="21342"/>
    <cellStyle name="Obliczenia 2 10 18 2" xfId="21343"/>
    <cellStyle name="Obliczenia 2 10 18 3" xfId="21344"/>
    <cellStyle name="Obliczenia 2 10 18 4" xfId="21345"/>
    <cellStyle name="Obliczenia 2 10 19" xfId="21346"/>
    <cellStyle name="Obliczenia 2 10 19 2" xfId="21347"/>
    <cellStyle name="Obliczenia 2 10 19 3" xfId="21348"/>
    <cellStyle name="Obliczenia 2 10 19 4" xfId="21349"/>
    <cellStyle name="Obliczenia 2 10 2" xfId="21350"/>
    <cellStyle name="Obliczenia 2 10 2 2" xfId="21351"/>
    <cellStyle name="Obliczenia 2 10 2 3" xfId="21352"/>
    <cellStyle name="Obliczenia 2 10 2 4" xfId="21353"/>
    <cellStyle name="Obliczenia 2 10 20" xfId="21354"/>
    <cellStyle name="Obliczenia 2 10 20 2" xfId="21355"/>
    <cellStyle name="Obliczenia 2 10 20 3" xfId="21356"/>
    <cellStyle name="Obliczenia 2 10 20 4" xfId="21357"/>
    <cellStyle name="Obliczenia 2 10 21" xfId="21358"/>
    <cellStyle name="Obliczenia 2 10 21 2" xfId="21359"/>
    <cellStyle name="Obliczenia 2 10 21 3" xfId="21360"/>
    <cellStyle name="Obliczenia 2 10 22" xfId="21361"/>
    <cellStyle name="Obliczenia 2 10 22 2" xfId="21362"/>
    <cellStyle name="Obliczenia 2 10 22 3" xfId="21363"/>
    <cellStyle name="Obliczenia 2 10 23" xfId="21364"/>
    <cellStyle name="Obliczenia 2 10 23 2" xfId="21365"/>
    <cellStyle name="Obliczenia 2 10 23 3" xfId="21366"/>
    <cellStyle name="Obliczenia 2 10 24" xfId="21367"/>
    <cellStyle name="Obliczenia 2 10 24 2" xfId="21368"/>
    <cellStyle name="Obliczenia 2 10 24 3" xfId="21369"/>
    <cellStyle name="Obliczenia 2 10 25" xfId="21370"/>
    <cellStyle name="Obliczenia 2 10 25 2" xfId="21371"/>
    <cellStyle name="Obliczenia 2 10 25 3" xfId="21372"/>
    <cellStyle name="Obliczenia 2 10 26" xfId="21373"/>
    <cellStyle name="Obliczenia 2 10 26 2" xfId="21374"/>
    <cellStyle name="Obliczenia 2 10 26 3" xfId="21375"/>
    <cellStyle name="Obliczenia 2 10 27" xfId="21376"/>
    <cellStyle name="Obliczenia 2 10 27 2" xfId="21377"/>
    <cellStyle name="Obliczenia 2 10 27 3" xfId="21378"/>
    <cellStyle name="Obliczenia 2 10 28" xfId="21379"/>
    <cellStyle name="Obliczenia 2 10 28 2" xfId="21380"/>
    <cellStyle name="Obliczenia 2 10 28 3" xfId="21381"/>
    <cellStyle name="Obliczenia 2 10 29" xfId="21382"/>
    <cellStyle name="Obliczenia 2 10 29 2" xfId="21383"/>
    <cellStyle name="Obliczenia 2 10 29 3" xfId="21384"/>
    <cellStyle name="Obliczenia 2 10 3" xfId="21385"/>
    <cellStyle name="Obliczenia 2 10 3 2" xfId="21386"/>
    <cellStyle name="Obliczenia 2 10 3 3" xfId="21387"/>
    <cellStyle name="Obliczenia 2 10 3 4" xfId="21388"/>
    <cellStyle name="Obliczenia 2 10 30" xfId="21389"/>
    <cellStyle name="Obliczenia 2 10 30 2" xfId="21390"/>
    <cellStyle name="Obliczenia 2 10 30 3" xfId="21391"/>
    <cellStyle name="Obliczenia 2 10 31" xfId="21392"/>
    <cellStyle name="Obliczenia 2 10 31 2" xfId="21393"/>
    <cellStyle name="Obliczenia 2 10 31 3" xfId="21394"/>
    <cellStyle name="Obliczenia 2 10 32" xfId="21395"/>
    <cellStyle name="Obliczenia 2 10 32 2" xfId="21396"/>
    <cellStyle name="Obliczenia 2 10 32 3" xfId="21397"/>
    <cellStyle name="Obliczenia 2 10 33" xfId="21398"/>
    <cellStyle name="Obliczenia 2 10 33 2" xfId="21399"/>
    <cellStyle name="Obliczenia 2 10 33 3" xfId="21400"/>
    <cellStyle name="Obliczenia 2 10 34" xfId="21401"/>
    <cellStyle name="Obliczenia 2 10 34 2" xfId="21402"/>
    <cellStyle name="Obliczenia 2 10 34 3" xfId="21403"/>
    <cellStyle name="Obliczenia 2 10 35" xfId="21404"/>
    <cellStyle name="Obliczenia 2 10 35 2" xfId="21405"/>
    <cellStyle name="Obliczenia 2 10 35 3" xfId="21406"/>
    <cellStyle name="Obliczenia 2 10 36" xfId="21407"/>
    <cellStyle name="Obliczenia 2 10 36 2" xfId="21408"/>
    <cellStyle name="Obliczenia 2 10 36 3" xfId="21409"/>
    <cellStyle name="Obliczenia 2 10 37" xfId="21410"/>
    <cellStyle name="Obliczenia 2 10 37 2" xfId="21411"/>
    <cellStyle name="Obliczenia 2 10 37 3" xfId="21412"/>
    <cellStyle name="Obliczenia 2 10 38" xfId="21413"/>
    <cellStyle name="Obliczenia 2 10 38 2" xfId="21414"/>
    <cellStyle name="Obliczenia 2 10 38 3" xfId="21415"/>
    <cellStyle name="Obliczenia 2 10 39" xfId="21416"/>
    <cellStyle name="Obliczenia 2 10 39 2" xfId="21417"/>
    <cellStyle name="Obliczenia 2 10 39 3" xfId="21418"/>
    <cellStyle name="Obliczenia 2 10 4" xfId="21419"/>
    <cellStyle name="Obliczenia 2 10 4 2" xfId="21420"/>
    <cellStyle name="Obliczenia 2 10 4 3" xfId="21421"/>
    <cellStyle name="Obliczenia 2 10 4 4" xfId="21422"/>
    <cellStyle name="Obliczenia 2 10 40" xfId="21423"/>
    <cellStyle name="Obliczenia 2 10 40 2" xfId="21424"/>
    <cellStyle name="Obliczenia 2 10 40 3" xfId="21425"/>
    <cellStyle name="Obliczenia 2 10 41" xfId="21426"/>
    <cellStyle name="Obliczenia 2 10 41 2" xfId="21427"/>
    <cellStyle name="Obliczenia 2 10 41 3" xfId="21428"/>
    <cellStyle name="Obliczenia 2 10 42" xfId="21429"/>
    <cellStyle name="Obliczenia 2 10 42 2" xfId="21430"/>
    <cellStyle name="Obliczenia 2 10 42 3" xfId="21431"/>
    <cellStyle name="Obliczenia 2 10 43" xfId="21432"/>
    <cellStyle name="Obliczenia 2 10 43 2" xfId="21433"/>
    <cellStyle name="Obliczenia 2 10 43 3" xfId="21434"/>
    <cellStyle name="Obliczenia 2 10 44" xfId="21435"/>
    <cellStyle name="Obliczenia 2 10 44 2" xfId="21436"/>
    <cellStyle name="Obliczenia 2 10 44 3" xfId="21437"/>
    <cellStyle name="Obliczenia 2 10 45" xfId="21438"/>
    <cellStyle name="Obliczenia 2 10 45 2" xfId="21439"/>
    <cellStyle name="Obliczenia 2 10 45 3" xfId="21440"/>
    <cellStyle name="Obliczenia 2 10 46" xfId="21441"/>
    <cellStyle name="Obliczenia 2 10 46 2" xfId="21442"/>
    <cellStyle name="Obliczenia 2 10 46 3" xfId="21443"/>
    <cellStyle name="Obliczenia 2 10 47" xfId="21444"/>
    <cellStyle name="Obliczenia 2 10 47 2" xfId="21445"/>
    <cellStyle name="Obliczenia 2 10 47 3" xfId="21446"/>
    <cellStyle name="Obliczenia 2 10 48" xfId="21447"/>
    <cellStyle name="Obliczenia 2 10 48 2" xfId="21448"/>
    <cellStyle name="Obliczenia 2 10 48 3" xfId="21449"/>
    <cellStyle name="Obliczenia 2 10 49" xfId="21450"/>
    <cellStyle name="Obliczenia 2 10 49 2" xfId="21451"/>
    <cellStyle name="Obliczenia 2 10 49 3" xfId="21452"/>
    <cellStyle name="Obliczenia 2 10 5" xfId="21453"/>
    <cellStyle name="Obliczenia 2 10 5 2" xfId="21454"/>
    <cellStyle name="Obliczenia 2 10 5 3" xfId="21455"/>
    <cellStyle name="Obliczenia 2 10 5 4" xfId="21456"/>
    <cellStyle name="Obliczenia 2 10 50" xfId="21457"/>
    <cellStyle name="Obliczenia 2 10 50 2" xfId="21458"/>
    <cellStyle name="Obliczenia 2 10 50 3" xfId="21459"/>
    <cellStyle name="Obliczenia 2 10 51" xfId="21460"/>
    <cellStyle name="Obliczenia 2 10 51 2" xfId="21461"/>
    <cellStyle name="Obliczenia 2 10 51 3" xfId="21462"/>
    <cellStyle name="Obliczenia 2 10 52" xfId="21463"/>
    <cellStyle name="Obliczenia 2 10 52 2" xfId="21464"/>
    <cellStyle name="Obliczenia 2 10 52 3" xfId="21465"/>
    <cellStyle name="Obliczenia 2 10 53" xfId="21466"/>
    <cellStyle name="Obliczenia 2 10 53 2" xfId="21467"/>
    <cellStyle name="Obliczenia 2 10 53 3" xfId="21468"/>
    <cellStyle name="Obliczenia 2 10 54" xfId="21469"/>
    <cellStyle name="Obliczenia 2 10 54 2" xfId="21470"/>
    <cellStyle name="Obliczenia 2 10 54 3" xfId="21471"/>
    <cellStyle name="Obliczenia 2 10 55" xfId="21472"/>
    <cellStyle name="Obliczenia 2 10 55 2" xfId="21473"/>
    <cellStyle name="Obliczenia 2 10 55 3" xfId="21474"/>
    <cellStyle name="Obliczenia 2 10 56" xfId="21475"/>
    <cellStyle name="Obliczenia 2 10 56 2" xfId="21476"/>
    <cellStyle name="Obliczenia 2 10 56 3" xfId="21477"/>
    <cellStyle name="Obliczenia 2 10 57" xfId="21478"/>
    <cellStyle name="Obliczenia 2 10 58" xfId="21479"/>
    <cellStyle name="Obliczenia 2 10 6" xfId="21480"/>
    <cellStyle name="Obliczenia 2 10 6 2" xfId="21481"/>
    <cellStyle name="Obliczenia 2 10 6 3" xfId="21482"/>
    <cellStyle name="Obliczenia 2 10 6 4" xfId="21483"/>
    <cellStyle name="Obliczenia 2 10 7" xfId="21484"/>
    <cellStyle name="Obliczenia 2 10 7 2" xfId="21485"/>
    <cellStyle name="Obliczenia 2 10 7 3" xfId="21486"/>
    <cellStyle name="Obliczenia 2 10 7 4" xfId="21487"/>
    <cellStyle name="Obliczenia 2 10 8" xfId="21488"/>
    <cellStyle name="Obliczenia 2 10 8 2" xfId="21489"/>
    <cellStyle name="Obliczenia 2 10 8 3" xfId="21490"/>
    <cellStyle name="Obliczenia 2 10 8 4" xfId="21491"/>
    <cellStyle name="Obliczenia 2 10 9" xfId="21492"/>
    <cellStyle name="Obliczenia 2 10 9 2" xfId="21493"/>
    <cellStyle name="Obliczenia 2 10 9 3" xfId="21494"/>
    <cellStyle name="Obliczenia 2 10 9 4" xfId="21495"/>
    <cellStyle name="Obliczenia 2 11" xfId="21496"/>
    <cellStyle name="Obliczenia 2 11 10" xfId="21497"/>
    <cellStyle name="Obliczenia 2 11 10 2" xfId="21498"/>
    <cellStyle name="Obliczenia 2 11 10 3" xfId="21499"/>
    <cellStyle name="Obliczenia 2 11 10 4" xfId="21500"/>
    <cellStyle name="Obliczenia 2 11 11" xfId="21501"/>
    <cellStyle name="Obliczenia 2 11 11 2" xfId="21502"/>
    <cellStyle name="Obliczenia 2 11 11 3" xfId="21503"/>
    <cellStyle name="Obliczenia 2 11 11 4" xfId="21504"/>
    <cellStyle name="Obliczenia 2 11 12" xfId="21505"/>
    <cellStyle name="Obliczenia 2 11 12 2" xfId="21506"/>
    <cellStyle name="Obliczenia 2 11 12 3" xfId="21507"/>
    <cellStyle name="Obliczenia 2 11 12 4" xfId="21508"/>
    <cellStyle name="Obliczenia 2 11 13" xfId="21509"/>
    <cellStyle name="Obliczenia 2 11 13 2" xfId="21510"/>
    <cellStyle name="Obliczenia 2 11 13 3" xfId="21511"/>
    <cellStyle name="Obliczenia 2 11 13 4" xfId="21512"/>
    <cellStyle name="Obliczenia 2 11 14" xfId="21513"/>
    <cellStyle name="Obliczenia 2 11 14 2" xfId="21514"/>
    <cellStyle name="Obliczenia 2 11 14 3" xfId="21515"/>
    <cellStyle name="Obliczenia 2 11 14 4" xfId="21516"/>
    <cellStyle name="Obliczenia 2 11 15" xfId="21517"/>
    <cellStyle name="Obliczenia 2 11 15 2" xfId="21518"/>
    <cellStyle name="Obliczenia 2 11 15 3" xfId="21519"/>
    <cellStyle name="Obliczenia 2 11 15 4" xfId="21520"/>
    <cellStyle name="Obliczenia 2 11 16" xfId="21521"/>
    <cellStyle name="Obliczenia 2 11 16 2" xfId="21522"/>
    <cellStyle name="Obliczenia 2 11 16 3" xfId="21523"/>
    <cellStyle name="Obliczenia 2 11 16 4" xfId="21524"/>
    <cellStyle name="Obliczenia 2 11 17" xfId="21525"/>
    <cellStyle name="Obliczenia 2 11 17 2" xfId="21526"/>
    <cellStyle name="Obliczenia 2 11 17 3" xfId="21527"/>
    <cellStyle name="Obliczenia 2 11 17 4" xfId="21528"/>
    <cellStyle name="Obliczenia 2 11 18" xfId="21529"/>
    <cellStyle name="Obliczenia 2 11 18 2" xfId="21530"/>
    <cellStyle name="Obliczenia 2 11 18 3" xfId="21531"/>
    <cellStyle name="Obliczenia 2 11 18 4" xfId="21532"/>
    <cellStyle name="Obliczenia 2 11 19" xfId="21533"/>
    <cellStyle name="Obliczenia 2 11 19 2" xfId="21534"/>
    <cellStyle name="Obliczenia 2 11 19 3" xfId="21535"/>
    <cellStyle name="Obliczenia 2 11 19 4" xfId="21536"/>
    <cellStyle name="Obliczenia 2 11 2" xfId="21537"/>
    <cellStyle name="Obliczenia 2 11 2 2" xfId="21538"/>
    <cellStyle name="Obliczenia 2 11 2 3" xfId="21539"/>
    <cellStyle name="Obliczenia 2 11 2 4" xfId="21540"/>
    <cellStyle name="Obliczenia 2 11 20" xfId="21541"/>
    <cellStyle name="Obliczenia 2 11 20 2" xfId="21542"/>
    <cellStyle name="Obliczenia 2 11 20 3" xfId="21543"/>
    <cellStyle name="Obliczenia 2 11 20 4" xfId="21544"/>
    <cellStyle name="Obliczenia 2 11 21" xfId="21545"/>
    <cellStyle name="Obliczenia 2 11 21 2" xfId="21546"/>
    <cellStyle name="Obliczenia 2 11 21 3" xfId="21547"/>
    <cellStyle name="Obliczenia 2 11 22" xfId="21548"/>
    <cellStyle name="Obliczenia 2 11 22 2" xfId="21549"/>
    <cellStyle name="Obliczenia 2 11 22 3" xfId="21550"/>
    <cellStyle name="Obliczenia 2 11 23" xfId="21551"/>
    <cellStyle name="Obliczenia 2 11 23 2" xfId="21552"/>
    <cellStyle name="Obliczenia 2 11 23 3" xfId="21553"/>
    <cellStyle name="Obliczenia 2 11 24" xfId="21554"/>
    <cellStyle name="Obliczenia 2 11 24 2" xfId="21555"/>
    <cellStyle name="Obliczenia 2 11 24 3" xfId="21556"/>
    <cellStyle name="Obliczenia 2 11 25" xfId="21557"/>
    <cellStyle name="Obliczenia 2 11 25 2" xfId="21558"/>
    <cellStyle name="Obliczenia 2 11 25 3" xfId="21559"/>
    <cellStyle name="Obliczenia 2 11 26" xfId="21560"/>
    <cellStyle name="Obliczenia 2 11 26 2" xfId="21561"/>
    <cellStyle name="Obliczenia 2 11 26 3" xfId="21562"/>
    <cellStyle name="Obliczenia 2 11 27" xfId="21563"/>
    <cellStyle name="Obliczenia 2 11 27 2" xfId="21564"/>
    <cellStyle name="Obliczenia 2 11 27 3" xfId="21565"/>
    <cellStyle name="Obliczenia 2 11 28" xfId="21566"/>
    <cellStyle name="Obliczenia 2 11 28 2" xfId="21567"/>
    <cellStyle name="Obliczenia 2 11 28 3" xfId="21568"/>
    <cellStyle name="Obliczenia 2 11 29" xfId="21569"/>
    <cellStyle name="Obliczenia 2 11 29 2" xfId="21570"/>
    <cellStyle name="Obliczenia 2 11 29 3" xfId="21571"/>
    <cellStyle name="Obliczenia 2 11 3" xfId="21572"/>
    <cellStyle name="Obliczenia 2 11 3 2" xfId="21573"/>
    <cellStyle name="Obliczenia 2 11 3 3" xfId="21574"/>
    <cellStyle name="Obliczenia 2 11 3 4" xfId="21575"/>
    <cellStyle name="Obliczenia 2 11 30" xfId="21576"/>
    <cellStyle name="Obliczenia 2 11 30 2" xfId="21577"/>
    <cellStyle name="Obliczenia 2 11 30 3" xfId="21578"/>
    <cellStyle name="Obliczenia 2 11 31" xfId="21579"/>
    <cellStyle name="Obliczenia 2 11 31 2" xfId="21580"/>
    <cellStyle name="Obliczenia 2 11 31 3" xfId="21581"/>
    <cellStyle name="Obliczenia 2 11 32" xfId="21582"/>
    <cellStyle name="Obliczenia 2 11 32 2" xfId="21583"/>
    <cellStyle name="Obliczenia 2 11 32 3" xfId="21584"/>
    <cellStyle name="Obliczenia 2 11 33" xfId="21585"/>
    <cellStyle name="Obliczenia 2 11 33 2" xfId="21586"/>
    <cellStyle name="Obliczenia 2 11 33 3" xfId="21587"/>
    <cellStyle name="Obliczenia 2 11 34" xfId="21588"/>
    <cellStyle name="Obliczenia 2 11 34 2" xfId="21589"/>
    <cellStyle name="Obliczenia 2 11 34 3" xfId="21590"/>
    <cellStyle name="Obliczenia 2 11 35" xfId="21591"/>
    <cellStyle name="Obliczenia 2 11 35 2" xfId="21592"/>
    <cellStyle name="Obliczenia 2 11 35 3" xfId="21593"/>
    <cellStyle name="Obliczenia 2 11 36" xfId="21594"/>
    <cellStyle name="Obliczenia 2 11 36 2" xfId="21595"/>
    <cellStyle name="Obliczenia 2 11 36 3" xfId="21596"/>
    <cellStyle name="Obliczenia 2 11 37" xfId="21597"/>
    <cellStyle name="Obliczenia 2 11 37 2" xfId="21598"/>
    <cellStyle name="Obliczenia 2 11 37 3" xfId="21599"/>
    <cellStyle name="Obliczenia 2 11 38" xfId="21600"/>
    <cellStyle name="Obliczenia 2 11 38 2" xfId="21601"/>
    <cellStyle name="Obliczenia 2 11 38 3" xfId="21602"/>
    <cellStyle name="Obliczenia 2 11 39" xfId="21603"/>
    <cellStyle name="Obliczenia 2 11 39 2" xfId="21604"/>
    <cellStyle name="Obliczenia 2 11 39 3" xfId="21605"/>
    <cellStyle name="Obliczenia 2 11 4" xfId="21606"/>
    <cellStyle name="Obliczenia 2 11 4 2" xfId="21607"/>
    <cellStyle name="Obliczenia 2 11 4 3" xfId="21608"/>
    <cellStyle name="Obliczenia 2 11 4 4" xfId="21609"/>
    <cellStyle name="Obliczenia 2 11 40" xfId="21610"/>
    <cellStyle name="Obliczenia 2 11 40 2" xfId="21611"/>
    <cellStyle name="Obliczenia 2 11 40 3" xfId="21612"/>
    <cellStyle name="Obliczenia 2 11 41" xfId="21613"/>
    <cellStyle name="Obliczenia 2 11 41 2" xfId="21614"/>
    <cellStyle name="Obliczenia 2 11 41 3" xfId="21615"/>
    <cellStyle name="Obliczenia 2 11 42" xfId="21616"/>
    <cellStyle name="Obliczenia 2 11 42 2" xfId="21617"/>
    <cellStyle name="Obliczenia 2 11 42 3" xfId="21618"/>
    <cellStyle name="Obliczenia 2 11 43" xfId="21619"/>
    <cellStyle name="Obliczenia 2 11 43 2" xfId="21620"/>
    <cellStyle name="Obliczenia 2 11 43 3" xfId="21621"/>
    <cellStyle name="Obliczenia 2 11 44" xfId="21622"/>
    <cellStyle name="Obliczenia 2 11 44 2" xfId="21623"/>
    <cellStyle name="Obliczenia 2 11 44 3" xfId="21624"/>
    <cellStyle name="Obliczenia 2 11 45" xfId="21625"/>
    <cellStyle name="Obliczenia 2 11 45 2" xfId="21626"/>
    <cellStyle name="Obliczenia 2 11 45 3" xfId="21627"/>
    <cellStyle name="Obliczenia 2 11 46" xfId="21628"/>
    <cellStyle name="Obliczenia 2 11 46 2" xfId="21629"/>
    <cellStyle name="Obliczenia 2 11 46 3" xfId="21630"/>
    <cellStyle name="Obliczenia 2 11 47" xfId="21631"/>
    <cellStyle name="Obliczenia 2 11 47 2" xfId="21632"/>
    <cellStyle name="Obliczenia 2 11 47 3" xfId="21633"/>
    <cellStyle name="Obliczenia 2 11 48" xfId="21634"/>
    <cellStyle name="Obliczenia 2 11 48 2" xfId="21635"/>
    <cellStyle name="Obliczenia 2 11 48 3" xfId="21636"/>
    <cellStyle name="Obliczenia 2 11 49" xfId="21637"/>
    <cellStyle name="Obliczenia 2 11 49 2" xfId="21638"/>
    <cellStyle name="Obliczenia 2 11 49 3" xfId="21639"/>
    <cellStyle name="Obliczenia 2 11 5" xfId="21640"/>
    <cellStyle name="Obliczenia 2 11 5 2" xfId="21641"/>
    <cellStyle name="Obliczenia 2 11 5 3" xfId="21642"/>
    <cellStyle name="Obliczenia 2 11 5 4" xfId="21643"/>
    <cellStyle name="Obliczenia 2 11 50" xfId="21644"/>
    <cellStyle name="Obliczenia 2 11 50 2" xfId="21645"/>
    <cellStyle name="Obliczenia 2 11 50 3" xfId="21646"/>
    <cellStyle name="Obliczenia 2 11 51" xfId="21647"/>
    <cellStyle name="Obliczenia 2 11 51 2" xfId="21648"/>
    <cellStyle name="Obliczenia 2 11 51 3" xfId="21649"/>
    <cellStyle name="Obliczenia 2 11 52" xfId="21650"/>
    <cellStyle name="Obliczenia 2 11 52 2" xfId="21651"/>
    <cellStyle name="Obliczenia 2 11 52 3" xfId="21652"/>
    <cellStyle name="Obliczenia 2 11 53" xfId="21653"/>
    <cellStyle name="Obliczenia 2 11 53 2" xfId="21654"/>
    <cellStyle name="Obliczenia 2 11 53 3" xfId="21655"/>
    <cellStyle name="Obliczenia 2 11 54" xfId="21656"/>
    <cellStyle name="Obliczenia 2 11 54 2" xfId="21657"/>
    <cellStyle name="Obliczenia 2 11 54 3" xfId="21658"/>
    <cellStyle name="Obliczenia 2 11 55" xfId="21659"/>
    <cellStyle name="Obliczenia 2 11 55 2" xfId="21660"/>
    <cellStyle name="Obliczenia 2 11 55 3" xfId="21661"/>
    <cellStyle name="Obliczenia 2 11 56" xfId="21662"/>
    <cellStyle name="Obliczenia 2 11 56 2" xfId="21663"/>
    <cellStyle name="Obliczenia 2 11 56 3" xfId="21664"/>
    <cellStyle name="Obliczenia 2 11 57" xfId="21665"/>
    <cellStyle name="Obliczenia 2 11 58" xfId="21666"/>
    <cellStyle name="Obliczenia 2 11 6" xfId="21667"/>
    <cellStyle name="Obliczenia 2 11 6 2" xfId="21668"/>
    <cellStyle name="Obliczenia 2 11 6 3" xfId="21669"/>
    <cellStyle name="Obliczenia 2 11 6 4" xfId="21670"/>
    <cellStyle name="Obliczenia 2 11 7" xfId="21671"/>
    <cellStyle name="Obliczenia 2 11 7 2" xfId="21672"/>
    <cellStyle name="Obliczenia 2 11 7 3" xfId="21673"/>
    <cellStyle name="Obliczenia 2 11 7 4" xfId="21674"/>
    <cellStyle name="Obliczenia 2 11 8" xfId="21675"/>
    <cellStyle name="Obliczenia 2 11 8 2" xfId="21676"/>
    <cellStyle name="Obliczenia 2 11 8 3" xfId="21677"/>
    <cellStyle name="Obliczenia 2 11 8 4" xfId="21678"/>
    <cellStyle name="Obliczenia 2 11 9" xfId="21679"/>
    <cellStyle name="Obliczenia 2 11 9 2" xfId="21680"/>
    <cellStyle name="Obliczenia 2 11 9 3" xfId="21681"/>
    <cellStyle name="Obliczenia 2 11 9 4" xfId="21682"/>
    <cellStyle name="Obliczenia 2 12" xfId="21683"/>
    <cellStyle name="Obliczenia 2 12 10" xfId="21684"/>
    <cellStyle name="Obliczenia 2 12 10 2" xfId="21685"/>
    <cellStyle name="Obliczenia 2 12 10 3" xfId="21686"/>
    <cellStyle name="Obliczenia 2 12 10 4" xfId="21687"/>
    <cellStyle name="Obliczenia 2 12 11" xfId="21688"/>
    <cellStyle name="Obliczenia 2 12 11 2" xfId="21689"/>
    <cellStyle name="Obliczenia 2 12 11 3" xfId="21690"/>
    <cellStyle name="Obliczenia 2 12 11 4" xfId="21691"/>
    <cellStyle name="Obliczenia 2 12 12" xfId="21692"/>
    <cellStyle name="Obliczenia 2 12 12 2" xfId="21693"/>
    <cellStyle name="Obliczenia 2 12 12 3" xfId="21694"/>
    <cellStyle name="Obliczenia 2 12 12 4" xfId="21695"/>
    <cellStyle name="Obliczenia 2 12 13" xfId="21696"/>
    <cellStyle name="Obliczenia 2 12 13 2" xfId="21697"/>
    <cellStyle name="Obliczenia 2 12 13 3" xfId="21698"/>
    <cellStyle name="Obliczenia 2 12 13 4" xfId="21699"/>
    <cellStyle name="Obliczenia 2 12 14" xfId="21700"/>
    <cellStyle name="Obliczenia 2 12 14 2" xfId="21701"/>
    <cellStyle name="Obliczenia 2 12 14 3" xfId="21702"/>
    <cellStyle name="Obliczenia 2 12 14 4" xfId="21703"/>
    <cellStyle name="Obliczenia 2 12 15" xfId="21704"/>
    <cellStyle name="Obliczenia 2 12 15 2" xfId="21705"/>
    <cellStyle name="Obliczenia 2 12 15 3" xfId="21706"/>
    <cellStyle name="Obliczenia 2 12 15 4" xfId="21707"/>
    <cellStyle name="Obliczenia 2 12 16" xfId="21708"/>
    <cellStyle name="Obliczenia 2 12 16 2" xfId="21709"/>
    <cellStyle name="Obliczenia 2 12 16 3" xfId="21710"/>
    <cellStyle name="Obliczenia 2 12 16 4" xfId="21711"/>
    <cellStyle name="Obliczenia 2 12 17" xfId="21712"/>
    <cellStyle name="Obliczenia 2 12 17 2" xfId="21713"/>
    <cellStyle name="Obliczenia 2 12 17 3" xfId="21714"/>
    <cellStyle name="Obliczenia 2 12 17 4" xfId="21715"/>
    <cellStyle name="Obliczenia 2 12 18" xfId="21716"/>
    <cellStyle name="Obliczenia 2 12 18 2" xfId="21717"/>
    <cellStyle name="Obliczenia 2 12 18 3" xfId="21718"/>
    <cellStyle name="Obliczenia 2 12 18 4" xfId="21719"/>
    <cellStyle name="Obliczenia 2 12 19" xfId="21720"/>
    <cellStyle name="Obliczenia 2 12 19 2" xfId="21721"/>
    <cellStyle name="Obliczenia 2 12 19 3" xfId="21722"/>
    <cellStyle name="Obliczenia 2 12 19 4" xfId="21723"/>
    <cellStyle name="Obliczenia 2 12 2" xfId="21724"/>
    <cellStyle name="Obliczenia 2 12 2 2" xfId="21725"/>
    <cellStyle name="Obliczenia 2 12 2 3" xfId="21726"/>
    <cellStyle name="Obliczenia 2 12 2 4" xfId="21727"/>
    <cellStyle name="Obliczenia 2 12 20" xfId="21728"/>
    <cellStyle name="Obliczenia 2 12 20 2" xfId="21729"/>
    <cellStyle name="Obliczenia 2 12 20 3" xfId="21730"/>
    <cellStyle name="Obliczenia 2 12 20 4" xfId="21731"/>
    <cellStyle name="Obliczenia 2 12 21" xfId="21732"/>
    <cellStyle name="Obliczenia 2 12 21 2" xfId="21733"/>
    <cellStyle name="Obliczenia 2 12 21 3" xfId="21734"/>
    <cellStyle name="Obliczenia 2 12 22" xfId="21735"/>
    <cellStyle name="Obliczenia 2 12 22 2" xfId="21736"/>
    <cellStyle name="Obliczenia 2 12 22 3" xfId="21737"/>
    <cellStyle name="Obliczenia 2 12 23" xfId="21738"/>
    <cellStyle name="Obliczenia 2 12 23 2" xfId="21739"/>
    <cellStyle name="Obliczenia 2 12 23 3" xfId="21740"/>
    <cellStyle name="Obliczenia 2 12 24" xfId="21741"/>
    <cellStyle name="Obliczenia 2 12 24 2" xfId="21742"/>
    <cellStyle name="Obliczenia 2 12 24 3" xfId="21743"/>
    <cellStyle name="Obliczenia 2 12 25" xfId="21744"/>
    <cellStyle name="Obliczenia 2 12 25 2" xfId="21745"/>
    <cellStyle name="Obliczenia 2 12 25 3" xfId="21746"/>
    <cellStyle name="Obliczenia 2 12 26" xfId="21747"/>
    <cellStyle name="Obliczenia 2 12 26 2" xfId="21748"/>
    <cellStyle name="Obliczenia 2 12 26 3" xfId="21749"/>
    <cellStyle name="Obliczenia 2 12 27" xfId="21750"/>
    <cellStyle name="Obliczenia 2 12 27 2" xfId="21751"/>
    <cellStyle name="Obliczenia 2 12 27 3" xfId="21752"/>
    <cellStyle name="Obliczenia 2 12 28" xfId="21753"/>
    <cellStyle name="Obliczenia 2 12 28 2" xfId="21754"/>
    <cellStyle name="Obliczenia 2 12 28 3" xfId="21755"/>
    <cellStyle name="Obliczenia 2 12 29" xfId="21756"/>
    <cellStyle name="Obliczenia 2 12 29 2" xfId="21757"/>
    <cellStyle name="Obliczenia 2 12 29 3" xfId="21758"/>
    <cellStyle name="Obliczenia 2 12 3" xfId="21759"/>
    <cellStyle name="Obliczenia 2 12 3 2" xfId="21760"/>
    <cellStyle name="Obliczenia 2 12 3 3" xfId="21761"/>
    <cellStyle name="Obliczenia 2 12 3 4" xfId="21762"/>
    <cellStyle name="Obliczenia 2 12 30" xfId="21763"/>
    <cellStyle name="Obliczenia 2 12 30 2" xfId="21764"/>
    <cellStyle name="Obliczenia 2 12 30 3" xfId="21765"/>
    <cellStyle name="Obliczenia 2 12 31" xfId="21766"/>
    <cellStyle name="Obliczenia 2 12 31 2" xfId="21767"/>
    <cellStyle name="Obliczenia 2 12 31 3" xfId="21768"/>
    <cellStyle name="Obliczenia 2 12 32" xfId="21769"/>
    <cellStyle name="Obliczenia 2 12 32 2" xfId="21770"/>
    <cellStyle name="Obliczenia 2 12 32 3" xfId="21771"/>
    <cellStyle name="Obliczenia 2 12 33" xfId="21772"/>
    <cellStyle name="Obliczenia 2 12 33 2" xfId="21773"/>
    <cellStyle name="Obliczenia 2 12 33 3" xfId="21774"/>
    <cellStyle name="Obliczenia 2 12 34" xfId="21775"/>
    <cellStyle name="Obliczenia 2 12 34 2" xfId="21776"/>
    <cellStyle name="Obliczenia 2 12 34 3" xfId="21777"/>
    <cellStyle name="Obliczenia 2 12 35" xfId="21778"/>
    <cellStyle name="Obliczenia 2 12 35 2" xfId="21779"/>
    <cellStyle name="Obliczenia 2 12 35 3" xfId="21780"/>
    <cellStyle name="Obliczenia 2 12 36" xfId="21781"/>
    <cellStyle name="Obliczenia 2 12 36 2" xfId="21782"/>
    <cellStyle name="Obliczenia 2 12 36 3" xfId="21783"/>
    <cellStyle name="Obliczenia 2 12 37" xfId="21784"/>
    <cellStyle name="Obliczenia 2 12 37 2" xfId="21785"/>
    <cellStyle name="Obliczenia 2 12 37 3" xfId="21786"/>
    <cellStyle name="Obliczenia 2 12 38" xfId="21787"/>
    <cellStyle name="Obliczenia 2 12 38 2" xfId="21788"/>
    <cellStyle name="Obliczenia 2 12 38 3" xfId="21789"/>
    <cellStyle name="Obliczenia 2 12 39" xfId="21790"/>
    <cellStyle name="Obliczenia 2 12 39 2" xfId="21791"/>
    <cellStyle name="Obliczenia 2 12 39 3" xfId="21792"/>
    <cellStyle name="Obliczenia 2 12 4" xfId="21793"/>
    <cellStyle name="Obliczenia 2 12 4 2" xfId="21794"/>
    <cellStyle name="Obliczenia 2 12 4 3" xfId="21795"/>
    <cellStyle name="Obliczenia 2 12 4 4" xfId="21796"/>
    <cellStyle name="Obliczenia 2 12 40" xfId="21797"/>
    <cellStyle name="Obliczenia 2 12 40 2" xfId="21798"/>
    <cellStyle name="Obliczenia 2 12 40 3" xfId="21799"/>
    <cellStyle name="Obliczenia 2 12 41" xfId="21800"/>
    <cellStyle name="Obliczenia 2 12 41 2" xfId="21801"/>
    <cellStyle name="Obliczenia 2 12 41 3" xfId="21802"/>
    <cellStyle name="Obliczenia 2 12 42" xfId="21803"/>
    <cellStyle name="Obliczenia 2 12 42 2" xfId="21804"/>
    <cellStyle name="Obliczenia 2 12 42 3" xfId="21805"/>
    <cellStyle name="Obliczenia 2 12 43" xfId="21806"/>
    <cellStyle name="Obliczenia 2 12 43 2" xfId="21807"/>
    <cellStyle name="Obliczenia 2 12 43 3" xfId="21808"/>
    <cellStyle name="Obliczenia 2 12 44" xfId="21809"/>
    <cellStyle name="Obliczenia 2 12 44 2" xfId="21810"/>
    <cellStyle name="Obliczenia 2 12 44 3" xfId="21811"/>
    <cellStyle name="Obliczenia 2 12 45" xfId="21812"/>
    <cellStyle name="Obliczenia 2 12 45 2" xfId="21813"/>
    <cellStyle name="Obliczenia 2 12 45 3" xfId="21814"/>
    <cellStyle name="Obliczenia 2 12 46" xfId="21815"/>
    <cellStyle name="Obliczenia 2 12 46 2" xfId="21816"/>
    <cellStyle name="Obliczenia 2 12 46 3" xfId="21817"/>
    <cellStyle name="Obliczenia 2 12 47" xfId="21818"/>
    <cellStyle name="Obliczenia 2 12 47 2" xfId="21819"/>
    <cellStyle name="Obliczenia 2 12 47 3" xfId="21820"/>
    <cellStyle name="Obliczenia 2 12 48" xfId="21821"/>
    <cellStyle name="Obliczenia 2 12 48 2" xfId="21822"/>
    <cellStyle name="Obliczenia 2 12 48 3" xfId="21823"/>
    <cellStyle name="Obliczenia 2 12 49" xfId="21824"/>
    <cellStyle name="Obliczenia 2 12 49 2" xfId="21825"/>
    <cellStyle name="Obliczenia 2 12 49 3" xfId="21826"/>
    <cellStyle name="Obliczenia 2 12 5" xfId="21827"/>
    <cellStyle name="Obliczenia 2 12 5 2" xfId="21828"/>
    <cellStyle name="Obliczenia 2 12 5 3" xfId="21829"/>
    <cellStyle name="Obliczenia 2 12 5 4" xfId="21830"/>
    <cellStyle name="Obliczenia 2 12 50" xfId="21831"/>
    <cellStyle name="Obliczenia 2 12 50 2" xfId="21832"/>
    <cellStyle name="Obliczenia 2 12 50 3" xfId="21833"/>
    <cellStyle name="Obliczenia 2 12 51" xfId="21834"/>
    <cellStyle name="Obliczenia 2 12 51 2" xfId="21835"/>
    <cellStyle name="Obliczenia 2 12 51 3" xfId="21836"/>
    <cellStyle name="Obliczenia 2 12 52" xfId="21837"/>
    <cellStyle name="Obliczenia 2 12 52 2" xfId="21838"/>
    <cellStyle name="Obliczenia 2 12 52 3" xfId="21839"/>
    <cellStyle name="Obliczenia 2 12 53" xfId="21840"/>
    <cellStyle name="Obliczenia 2 12 53 2" xfId="21841"/>
    <cellStyle name="Obliczenia 2 12 53 3" xfId="21842"/>
    <cellStyle name="Obliczenia 2 12 54" xfId="21843"/>
    <cellStyle name="Obliczenia 2 12 54 2" xfId="21844"/>
    <cellStyle name="Obliczenia 2 12 54 3" xfId="21845"/>
    <cellStyle name="Obliczenia 2 12 55" xfId="21846"/>
    <cellStyle name="Obliczenia 2 12 55 2" xfId="21847"/>
    <cellStyle name="Obliczenia 2 12 55 3" xfId="21848"/>
    <cellStyle name="Obliczenia 2 12 56" xfId="21849"/>
    <cellStyle name="Obliczenia 2 12 56 2" xfId="21850"/>
    <cellStyle name="Obliczenia 2 12 56 3" xfId="21851"/>
    <cellStyle name="Obliczenia 2 12 57" xfId="21852"/>
    <cellStyle name="Obliczenia 2 12 58" xfId="21853"/>
    <cellStyle name="Obliczenia 2 12 6" xfId="21854"/>
    <cellStyle name="Obliczenia 2 12 6 2" xfId="21855"/>
    <cellStyle name="Obliczenia 2 12 6 3" xfId="21856"/>
    <cellStyle name="Obliczenia 2 12 6 4" xfId="21857"/>
    <cellStyle name="Obliczenia 2 12 7" xfId="21858"/>
    <cellStyle name="Obliczenia 2 12 7 2" xfId="21859"/>
    <cellStyle name="Obliczenia 2 12 7 3" xfId="21860"/>
    <cellStyle name="Obliczenia 2 12 7 4" xfId="21861"/>
    <cellStyle name="Obliczenia 2 12 8" xfId="21862"/>
    <cellStyle name="Obliczenia 2 12 8 2" xfId="21863"/>
    <cellStyle name="Obliczenia 2 12 8 3" xfId="21864"/>
    <cellStyle name="Obliczenia 2 12 8 4" xfId="21865"/>
    <cellStyle name="Obliczenia 2 12 9" xfId="21866"/>
    <cellStyle name="Obliczenia 2 12 9 2" xfId="21867"/>
    <cellStyle name="Obliczenia 2 12 9 3" xfId="21868"/>
    <cellStyle name="Obliczenia 2 12 9 4" xfId="21869"/>
    <cellStyle name="Obliczenia 2 13" xfId="21870"/>
    <cellStyle name="Obliczenia 2 13 10" xfId="21871"/>
    <cellStyle name="Obliczenia 2 13 10 2" xfId="21872"/>
    <cellStyle name="Obliczenia 2 13 10 3" xfId="21873"/>
    <cellStyle name="Obliczenia 2 13 10 4" xfId="21874"/>
    <cellStyle name="Obliczenia 2 13 11" xfId="21875"/>
    <cellStyle name="Obliczenia 2 13 11 2" xfId="21876"/>
    <cellStyle name="Obliczenia 2 13 11 3" xfId="21877"/>
    <cellStyle name="Obliczenia 2 13 11 4" xfId="21878"/>
    <cellStyle name="Obliczenia 2 13 12" xfId="21879"/>
    <cellStyle name="Obliczenia 2 13 12 2" xfId="21880"/>
    <cellStyle name="Obliczenia 2 13 12 3" xfId="21881"/>
    <cellStyle name="Obliczenia 2 13 12 4" xfId="21882"/>
    <cellStyle name="Obliczenia 2 13 13" xfId="21883"/>
    <cellStyle name="Obliczenia 2 13 13 2" xfId="21884"/>
    <cellStyle name="Obliczenia 2 13 13 3" xfId="21885"/>
    <cellStyle name="Obliczenia 2 13 13 4" xfId="21886"/>
    <cellStyle name="Obliczenia 2 13 14" xfId="21887"/>
    <cellStyle name="Obliczenia 2 13 14 2" xfId="21888"/>
    <cellStyle name="Obliczenia 2 13 14 3" xfId="21889"/>
    <cellStyle name="Obliczenia 2 13 14 4" xfId="21890"/>
    <cellStyle name="Obliczenia 2 13 15" xfId="21891"/>
    <cellStyle name="Obliczenia 2 13 15 2" xfId="21892"/>
    <cellStyle name="Obliczenia 2 13 15 3" xfId="21893"/>
    <cellStyle name="Obliczenia 2 13 15 4" xfId="21894"/>
    <cellStyle name="Obliczenia 2 13 16" xfId="21895"/>
    <cellStyle name="Obliczenia 2 13 16 2" xfId="21896"/>
    <cellStyle name="Obliczenia 2 13 16 3" xfId="21897"/>
    <cellStyle name="Obliczenia 2 13 16 4" xfId="21898"/>
    <cellStyle name="Obliczenia 2 13 17" xfId="21899"/>
    <cellStyle name="Obliczenia 2 13 17 2" xfId="21900"/>
    <cellStyle name="Obliczenia 2 13 17 3" xfId="21901"/>
    <cellStyle name="Obliczenia 2 13 17 4" xfId="21902"/>
    <cellStyle name="Obliczenia 2 13 18" xfId="21903"/>
    <cellStyle name="Obliczenia 2 13 18 2" xfId="21904"/>
    <cellStyle name="Obliczenia 2 13 18 3" xfId="21905"/>
    <cellStyle name="Obliczenia 2 13 18 4" xfId="21906"/>
    <cellStyle name="Obliczenia 2 13 19" xfId="21907"/>
    <cellStyle name="Obliczenia 2 13 19 2" xfId="21908"/>
    <cellStyle name="Obliczenia 2 13 19 3" xfId="21909"/>
    <cellStyle name="Obliczenia 2 13 19 4" xfId="21910"/>
    <cellStyle name="Obliczenia 2 13 2" xfId="21911"/>
    <cellStyle name="Obliczenia 2 13 2 2" xfId="21912"/>
    <cellStyle name="Obliczenia 2 13 2 3" xfId="21913"/>
    <cellStyle name="Obliczenia 2 13 2 4" xfId="21914"/>
    <cellStyle name="Obliczenia 2 13 20" xfId="21915"/>
    <cellStyle name="Obliczenia 2 13 20 2" xfId="21916"/>
    <cellStyle name="Obliczenia 2 13 20 3" xfId="21917"/>
    <cellStyle name="Obliczenia 2 13 20 4" xfId="21918"/>
    <cellStyle name="Obliczenia 2 13 21" xfId="21919"/>
    <cellStyle name="Obliczenia 2 13 21 2" xfId="21920"/>
    <cellStyle name="Obliczenia 2 13 21 3" xfId="21921"/>
    <cellStyle name="Obliczenia 2 13 22" xfId="21922"/>
    <cellStyle name="Obliczenia 2 13 22 2" xfId="21923"/>
    <cellStyle name="Obliczenia 2 13 22 3" xfId="21924"/>
    <cellStyle name="Obliczenia 2 13 23" xfId="21925"/>
    <cellStyle name="Obliczenia 2 13 23 2" xfId="21926"/>
    <cellStyle name="Obliczenia 2 13 23 3" xfId="21927"/>
    <cellStyle name="Obliczenia 2 13 24" xfId="21928"/>
    <cellStyle name="Obliczenia 2 13 24 2" xfId="21929"/>
    <cellStyle name="Obliczenia 2 13 24 3" xfId="21930"/>
    <cellStyle name="Obliczenia 2 13 25" xfId="21931"/>
    <cellStyle name="Obliczenia 2 13 25 2" xfId="21932"/>
    <cellStyle name="Obliczenia 2 13 25 3" xfId="21933"/>
    <cellStyle name="Obliczenia 2 13 26" xfId="21934"/>
    <cellStyle name="Obliczenia 2 13 26 2" xfId="21935"/>
    <cellStyle name="Obliczenia 2 13 26 3" xfId="21936"/>
    <cellStyle name="Obliczenia 2 13 27" xfId="21937"/>
    <cellStyle name="Obliczenia 2 13 27 2" xfId="21938"/>
    <cellStyle name="Obliczenia 2 13 27 3" xfId="21939"/>
    <cellStyle name="Obliczenia 2 13 28" xfId="21940"/>
    <cellStyle name="Obliczenia 2 13 28 2" xfId="21941"/>
    <cellStyle name="Obliczenia 2 13 28 3" xfId="21942"/>
    <cellStyle name="Obliczenia 2 13 29" xfId="21943"/>
    <cellStyle name="Obliczenia 2 13 29 2" xfId="21944"/>
    <cellStyle name="Obliczenia 2 13 29 3" xfId="21945"/>
    <cellStyle name="Obliczenia 2 13 3" xfId="21946"/>
    <cellStyle name="Obliczenia 2 13 3 2" xfId="21947"/>
    <cellStyle name="Obliczenia 2 13 3 3" xfId="21948"/>
    <cellStyle name="Obliczenia 2 13 3 4" xfId="21949"/>
    <cellStyle name="Obliczenia 2 13 30" xfId="21950"/>
    <cellStyle name="Obliczenia 2 13 30 2" xfId="21951"/>
    <cellStyle name="Obliczenia 2 13 30 3" xfId="21952"/>
    <cellStyle name="Obliczenia 2 13 31" xfId="21953"/>
    <cellStyle name="Obliczenia 2 13 31 2" xfId="21954"/>
    <cellStyle name="Obliczenia 2 13 31 3" xfId="21955"/>
    <cellStyle name="Obliczenia 2 13 32" xfId="21956"/>
    <cellStyle name="Obliczenia 2 13 32 2" xfId="21957"/>
    <cellStyle name="Obliczenia 2 13 32 3" xfId="21958"/>
    <cellStyle name="Obliczenia 2 13 33" xfId="21959"/>
    <cellStyle name="Obliczenia 2 13 33 2" xfId="21960"/>
    <cellStyle name="Obliczenia 2 13 33 3" xfId="21961"/>
    <cellStyle name="Obliczenia 2 13 34" xfId="21962"/>
    <cellStyle name="Obliczenia 2 13 34 2" xfId="21963"/>
    <cellStyle name="Obliczenia 2 13 34 3" xfId="21964"/>
    <cellStyle name="Obliczenia 2 13 35" xfId="21965"/>
    <cellStyle name="Obliczenia 2 13 35 2" xfId="21966"/>
    <cellStyle name="Obliczenia 2 13 35 3" xfId="21967"/>
    <cellStyle name="Obliczenia 2 13 36" xfId="21968"/>
    <cellStyle name="Obliczenia 2 13 36 2" xfId="21969"/>
    <cellStyle name="Obliczenia 2 13 36 3" xfId="21970"/>
    <cellStyle name="Obliczenia 2 13 37" xfId="21971"/>
    <cellStyle name="Obliczenia 2 13 37 2" xfId="21972"/>
    <cellStyle name="Obliczenia 2 13 37 3" xfId="21973"/>
    <cellStyle name="Obliczenia 2 13 38" xfId="21974"/>
    <cellStyle name="Obliczenia 2 13 38 2" xfId="21975"/>
    <cellStyle name="Obliczenia 2 13 38 3" xfId="21976"/>
    <cellStyle name="Obliczenia 2 13 39" xfId="21977"/>
    <cellStyle name="Obliczenia 2 13 39 2" xfId="21978"/>
    <cellStyle name="Obliczenia 2 13 39 3" xfId="21979"/>
    <cellStyle name="Obliczenia 2 13 4" xfId="21980"/>
    <cellStyle name="Obliczenia 2 13 4 2" xfId="21981"/>
    <cellStyle name="Obliczenia 2 13 4 3" xfId="21982"/>
    <cellStyle name="Obliczenia 2 13 4 4" xfId="21983"/>
    <cellStyle name="Obliczenia 2 13 40" xfId="21984"/>
    <cellStyle name="Obliczenia 2 13 40 2" xfId="21985"/>
    <cellStyle name="Obliczenia 2 13 40 3" xfId="21986"/>
    <cellStyle name="Obliczenia 2 13 41" xfId="21987"/>
    <cellStyle name="Obliczenia 2 13 41 2" xfId="21988"/>
    <cellStyle name="Obliczenia 2 13 41 3" xfId="21989"/>
    <cellStyle name="Obliczenia 2 13 42" xfId="21990"/>
    <cellStyle name="Obliczenia 2 13 42 2" xfId="21991"/>
    <cellStyle name="Obliczenia 2 13 42 3" xfId="21992"/>
    <cellStyle name="Obliczenia 2 13 43" xfId="21993"/>
    <cellStyle name="Obliczenia 2 13 43 2" xfId="21994"/>
    <cellStyle name="Obliczenia 2 13 43 3" xfId="21995"/>
    <cellStyle name="Obliczenia 2 13 44" xfId="21996"/>
    <cellStyle name="Obliczenia 2 13 44 2" xfId="21997"/>
    <cellStyle name="Obliczenia 2 13 44 3" xfId="21998"/>
    <cellStyle name="Obliczenia 2 13 45" xfId="21999"/>
    <cellStyle name="Obliczenia 2 13 45 2" xfId="22000"/>
    <cellStyle name="Obliczenia 2 13 45 3" xfId="22001"/>
    <cellStyle name="Obliczenia 2 13 46" xfId="22002"/>
    <cellStyle name="Obliczenia 2 13 46 2" xfId="22003"/>
    <cellStyle name="Obliczenia 2 13 46 3" xfId="22004"/>
    <cellStyle name="Obliczenia 2 13 47" xfId="22005"/>
    <cellStyle name="Obliczenia 2 13 47 2" xfId="22006"/>
    <cellStyle name="Obliczenia 2 13 47 3" xfId="22007"/>
    <cellStyle name="Obliczenia 2 13 48" xfId="22008"/>
    <cellStyle name="Obliczenia 2 13 48 2" xfId="22009"/>
    <cellStyle name="Obliczenia 2 13 48 3" xfId="22010"/>
    <cellStyle name="Obliczenia 2 13 49" xfId="22011"/>
    <cellStyle name="Obliczenia 2 13 49 2" xfId="22012"/>
    <cellStyle name="Obliczenia 2 13 49 3" xfId="22013"/>
    <cellStyle name="Obliczenia 2 13 5" xfId="22014"/>
    <cellStyle name="Obliczenia 2 13 5 2" xfId="22015"/>
    <cellStyle name="Obliczenia 2 13 5 3" xfId="22016"/>
    <cellStyle name="Obliczenia 2 13 5 4" xfId="22017"/>
    <cellStyle name="Obliczenia 2 13 50" xfId="22018"/>
    <cellStyle name="Obliczenia 2 13 50 2" xfId="22019"/>
    <cellStyle name="Obliczenia 2 13 50 3" xfId="22020"/>
    <cellStyle name="Obliczenia 2 13 51" xfId="22021"/>
    <cellStyle name="Obliczenia 2 13 51 2" xfId="22022"/>
    <cellStyle name="Obliczenia 2 13 51 3" xfId="22023"/>
    <cellStyle name="Obliczenia 2 13 52" xfId="22024"/>
    <cellStyle name="Obliczenia 2 13 52 2" xfId="22025"/>
    <cellStyle name="Obliczenia 2 13 52 3" xfId="22026"/>
    <cellStyle name="Obliczenia 2 13 53" xfId="22027"/>
    <cellStyle name="Obliczenia 2 13 53 2" xfId="22028"/>
    <cellStyle name="Obliczenia 2 13 53 3" xfId="22029"/>
    <cellStyle name="Obliczenia 2 13 54" xfId="22030"/>
    <cellStyle name="Obliczenia 2 13 54 2" xfId="22031"/>
    <cellStyle name="Obliczenia 2 13 54 3" xfId="22032"/>
    <cellStyle name="Obliczenia 2 13 55" xfId="22033"/>
    <cellStyle name="Obliczenia 2 13 55 2" xfId="22034"/>
    <cellStyle name="Obliczenia 2 13 55 3" xfId="22035"/>
    <cellStyle name="Obliczenia 2 13 56" xfId="22036"/>
    <cellStyle name="Obliczenia 2 13 56 2" xfId="22037"/>
    <cellStyle name="Obliczenia 2 13 56 3" xfId="22038"/>
    <cellStyle name="Obliczenia 2 13 57" xfId="22039"/>
    <cellStyle name="Obliczenia 2 13 58" xfId="22040"/>
    <cellStyle name="Obliczenia 2 13 6" xfId="22041"/>
    <cellStyle name="Obliczenia 2 13 6 2" xfId="22042"/>
    <cellStyle name="Obliczenia 2 13 6 3" xfId="22043"/>
    <cellStyle name="Obliczenia 2 13 6 4" xfId="22044"/>
    <cellStyle name="Obliczenia 2 13 7" xfId="22045"/>
    <cellStyle name="Obliczenia 2 13 7 2" xfId="22046"/>
    <cellStyle name="Obliczenia 2 13 7 3" xfId="22047"/>
    <cellStyle name="Obliczenia 2 13 7 4" xfId="22048"/>
    <cellStyle name="Obliczenia 2 13 8" xfId="22049"/>
    <cellStyle name="Obliczenia 2 13 8 2" xfId="22050"/>
    <cellStyle name="Obliczenia 2 13 8 3" xfId="22051"/>
    <cellStyle name="Obliczenia 2 13 8 4" xfId="22052"/>
    <cellStyle name="Obliczenia 2 13 9" xfId="22053"/>
    <cellStyle name="Obliczenia 2 13 9 2" xfId="22054"/>
    <cellStyle name="Obliczenia 2 13 9 3" xfId="22055"/>
    <cellStyle name="Obliczenia 2 13 9 4" xfId="22056"/>
    <cellStyle name="Obliczenia 2 14" xfId="22057"/>
    <cellStyle name="Obliczenia 2 14 10" xfId="22058"/>
    <cellStyle name="Obliczenia 2 14 10 2" xfId="22059"/>
    <cellStyle name="Obliczenia 2 14 10 3" xfId="22060"/>
    <cellStyle name="Obliczenia 2 14 10 4" xfId="22061"/>
    <cellStyle name="Obliczenia 2 14 11" xfId="22062"/>
    <cellStyle name="Obliczenia 2 14 11 2" xfId="22063"/>
    <cellStyle name="Obliczenia 2 14 11 3" xfId="22064"/>
    <cellStyle name="Obliczenia 2 14 11 4" xfId="22065"/>
    <cellStyle name="Obliczenia 2 14 12" xfId="22066"/>
    <cellStyle name="Obliczenia 2 14 12 2" xfId="22067"/>
    <cellStyle name="Obliczenia 2 14 12 3" xfId="22068"/>
    <cellStyle name="Obliczenia 2 14 12 4" xfId="22069"/>
    <cellStyle name="Obliczenia 2 14 13" xfId="22070"/>
    <cellStyle name="Obliczenia 2 14 13 2" xfId="22071"/>
    <cellStyle name="Obliczenia 2 14 13 3" xfId="22072"/>
    <cellStyle name="Obliczenia 2 14 13 4" xfId="22073"/>
    <cellStyle name="Obliczenia 2 14 14" xfId="22074"/>
    <cellStyle name="Obliczenia 2 14 14 2" xfId="22075"/>
    <cellStyle name="Obliczenia 2 14 14 3" xfId="22076"/>
    <cellStyle name="Obliczenia 2 14 14 4" xfId="22077"/>
    <cellStyle name="Obliczenia 2 14 15" xfId="22078"/>
    <cellStyle name="Obliczenia 2 14 15 2" xfId="22079"/>
    <cellStyle name="Obliczenia 2 14 15 3" xfId="22080"/>
    <cellStyle name="Obliczenia 2 14 15 4" xfId="22081"/>
    <cellStyle name="Obliczenia 2 14 16" xfId="22082"/>
    <cellStyle name="Obliczenia 2 14 16 2" xfId="22083"/>
    <cellStyle name="Obliczenia 2 14 16 3" xfId="22084"/>
    <cellStyle name="Obliczenia 2 14 16 4" xfId="22085"/>
    <cellStyle name="Obliczenia 2 14 17" xfId="22086"/>
    <cellStyle name="Obliczenia 2 14 17 2" xfId="22087"/>
    <cellStyle name="Obliczenia 2 14 17 3" xfId="22088"/>
    <cellStyle name="Obliczenia 2 14 17 4" xfId="22089"/>
    <cellStyle name="Obliczenia 2 14 18" xfId="22090"/>
    <cellStyle name="Obliczenia 2 14 18 2" xfId="22091"/>
    <cellStyle name="Obliczenia 2 14 18 3" xfId="22092"/>
    <cellStyle name="Obliczenia 2 14 18 4" xfId="22093"/>
    <cellStyle name="Obliczenia 2 14 19" xfId="22094"/>
    <cellStyle name="Obliczenia 2 14 19 2" xfId="22095"/>
    <cellStyle name="Obliczenia 2 14 19 3" xfId="22096"/>
    <cellStyle name="Obliczenia 2 14 19 4" xfId="22097"/>
    <cellStyle name="Obliczenia 2 14 2" xfId="22098"/>
    <cellStyle name="Obliczenia 2 14 2 2" xfId="22099"/>
    <cellStyle name="Obliczenia 2 14 2 3" xfId="22100"/>
    <cellStyle name="Obliczenia 2 14 2 4" xfId="22101"/>
    <cellStyle name="Obliczenia 2 14 20" xfId="22102"/>
    <cellStyle name="Obliczenia 2 14 20 2" xfId="22103"/>
    <cellStyle name="Obliczenia 2 14 20 3" xfId="22104"/>
    <cellStyle name="Obliczenia 2 14 20 4" xfId="22105"/>
    <cellStyle name="Obliczenia 2 14 21" xfId="22106"/>
    <cellStyle name="Obliczenia 2 14 21 2" xfId="22107"/>
    <cellStyle name="Obliczenia 2 14 21 3" xfId="22108"/>
    <cellStyle name="Obliczenia 2 14 22" xfId="22109"/>
    <cellStyle name="Obliczenia 2 14 22 2" xfId="22110"/>
    <cellStyle name="Obliczenia 2 14 22 3" xfId="22111"/>
    <cellStyle name="Obliczenia 2 14 23" xfId="22112"/>
    <cellStyle name="Obliczenia 2 14 23 2" xfId="22113"/>
    <cellStyle name="Obliczenia 2 14 23 3" xfId="22114"/>
    <cellStyle name="Obliczenia 2 14 24" xfId="22115"/>
    <cellStyle name="Obliczenia 2 14 24 2" xfId="22116"/>
    <cellStyle name="Obliczenia 2 14 24 3" xfId="22117"/>
    <cellStyle name="Obliczenia 2 14 25" xfId="22118"/>
    <cellStyle name="Obliczenia 2 14 25 2" xfId="22119"/>
    <cellStyle name="Obliczenia 2 14 25 3" xfId="22120"/>
    <cellStyle name="Obliczenia 2 14 26" xfId="22121"/>
    <cellStyle name="Obliczenia 2 14 26 2" xfId="22122"/>
    <cellStyle name="Obliczenia 2 14 26 3" xfId="22123"/>
    <cellStyle name="Obliczenia 2 14 27" xfId="22124"/>
    <cellStyle name="Obliczenia 2 14 27 2" xfId="22125"/>
    <cellStyle name="Obliczenia 2 14 27 3" xfId="22126"/>
    <cellStyle name="Obliczenia 2 14 28" xfId="22127"/>
    <cellStyle name="Obliczenia 2 14 28 2" xfId="22128"/>
    <cellStyle name="Obliczenia 2 14 28 3" xfId="22129"/>
    <cellStyle name="Obliczenia 2 14 29" xfId="22130"/>
    <cellStyle name="Obliczenia 2 14 29 2" xfId="22131"/>
    <cellStyle name="Obliczenia 2 14 29 3" xfId="22132"/>
    <cellStyle name="Obliczenia 2 14 3" xfId="22133"/>
    <cellStyle name="Obliczenia 2 14 3 2" xfId="22134"/>
    <cellStyle name="Obliczenia 2 14 3 3" xfId="22135"/>
    <cellStyle name="Obliczenia 2 14 3 4" xfId="22136"/>
    <cellStyle name="Obliczenia 2 14 30" xfId="22137"/>
    <cellStyle name="Obliczenia 2 14 30 2" xfId="22138"/>
    <cellStyle name="Obliczenia 2 14 30 3" xfId="22139"/>
    <cellStyle name="Obliczenia 2 14 31" xfId="22140"/>
    <cellStyle name="Obliczenia 2 14 31 2" xfId="22141"/>
    <cellStyle name="Obliczenia 2 14 31 3" xfId="22142"/>
    <cellStyle name="Obliczenia 2 14 32" xfId="22143"/>
    <cellStyle name="Obliczenia 2 14 32 2" xfId="22144"/>
    <cellStyle name="Obliczenia 2 14 32 3" xfId="22145"/>
    <cellStyle name="Obliczenia 2 14 33" xfId="22146"/>
    <cellStyle name="Obliczenia 2 14 33 2" xfId="22147"/>
    <cellStyle name="Obliczenia 2 14 33 3" xfId="22148"/>
    <cellStyle name="Obliczenia 2 14 34" xfId="22149"/>
    <cellStyle name="Obliczenia 2 14 34 2" xfId="22150"/>
    <cellStyle name="Obliczenia 2 14 34 3" xfId="22151"/>
    <cellStyle name="Obliczenia 2 14 35" xfId="22152"/>
    <cellStyle name="Obliczenia 2 14 35 2" xfId="22153"/>
    <cellStyle name="Obliczenia 2 14 35 3" xfId="22154"/>
    <cellStyle name="Obliczenia 2 14 36" xfId="22155"/>
    <cellStyle name="Obliczenia 2 14 36 2" xfId="22156"/>
    <cellStyle name="Obliczenia 2 14 36 3" xfId="22157"/>
    <cellStyle name="Obliczenia 2 14 37" xfId="22158"/>
    <cellStyle name="Obliczenia 2 14 37 2" xfId="22159"/>
    <cellStyle name="Obliczenia 2 14 37 3" xfId="22160"/>
    <cellStyle name="Obliczenia 2 14 38" xfId="22161"/>
    <cellStyle name="Obliczenia 2 14 38 2" xfId="22162"/>
    <cellStyle name="Obliczenia 2 14 38 3" xfId="22163"/>
    <cellStyle name="Obliczenia 2 14 39" xfId="22164"/>
    <cellStyle name="Obliczenia 2 14 39 2" xfId="22165"/>
    <cellStyle name="Obliczenia 2 14 39 3" xfId="22166"/>
    <cellStyle name="Obliczenia 2 14 4" xfId="22167"/>
    <cellStyle name="Obliczenia 2 14 4 2" xfId="22168"/>
    <cellStyle name="Obliczenia 2 14 4 3" xfId="22169"/>
    <cellStyle name="Obliczenia 2 14 4 4" xfId="22170"/>
    <cellStyle name="Obliczenia 2 14 40" xfId="22171"/>
    <cellStyle name="Obliczenia 2 14 40 2" xfId="22172"/>
    <cellStyle name="Obliczenia 2 14 40 3" xfId="22173"/>
    <cellStyle name="Obliczenia 2 14 41" xfId="22174"/>
    <cellStyle name="Obliczenia 2 14 41 2" xfId="22175"/>
    <cellStyle name="Obliczenia 2 14 41 3" xfId="22176"/>
    <cellStyle name="Obliczenia 2 14 42" xfId="22177"/>
    <cellStyle name="Obliczenia 2 14 42 2" xfId="22178"/>
    <cellStyle name="Obliczenia 2 14 42 3" xfId="22179"/>
    <cellStyle name="Obliczenia 2 14 43" xfId="22180"/>
    <cellStyle name="Obliczenia 2 14 43 2" xfId="22181"/>
    <cellStyle name="Obliczenia 2 14 43 3" xfId="22182"/>
    <cellStyle name="Obliczenia 2 14 44" xfId="22183"/>
    <cellStyle name="Obliczenia 2 14 44 2" xfId="22184"/>
    <cellStyle name="Obliczenia 2 14 44 3" xfId="22185"/>
    <cellStyle name="Obliczenia 2 14 45" xfId="22186"/>
    <cellStyle name="Obliczenia 2 14 45 2" xfId="22187"/>
    <cellStyle name="Obliczenia 2 14 45 3" xfId="22188"/>
    <cellStyle name="Obliczenia 2 14 46" xfId="22189"/>
    <cellStyle name="Obliczenia 2 14 46 2" xfId="22190"/>
    <cellStyle name="Obliczenia 2 14 46 3" xfId="22191"/>
    <cellStyle name="Obliczenia 2 14 47" xfId="22192"/>
    <cellStyle name="Obliczenia 2 14 47 2" xfId="22193"/>
    <cellStyle name="Obliczenia 2 14 47 3" xfId="22194"/>
    <cellStyle name="Obliczenia 2 14 48" xfId="22195"/>
    <cellStyle name="Obliczenia 2 14 48 2" xfId="22196"/>
    <cellStyle name="Obliczenia 2 14 48 3" xfId="22197"/>
    <cellStyle name="Obliczenia 2 14 49" xfId="22198"/>
    <cellStyle name="Obliczenia 2 14 49 2" xfId="22199"/>
    <cellStyle name="Obliczenia 2 14 49 3" xfId="22200"/>
    <cellStyle name="Obliczenia 2 14 5" xfId="22201"/>
    <cellStyle name="Obliczenia 2 14 5 2" xfId="22202"/>
    <cellStyle name="Obliczenia 2 14 5 3" xfId="22203"/>
    <cellStyle name="Obliczenia 2 14 5 4" xfId="22204"/>
    <cellStyle name="Obliczenia 2 14 50" xfId="22205"/>
    <cellStyle name="Obliczenia 2 14 50 2" xfId="22206"/>
    <cellStyle name="Obliczenia 2 14 50 3" xfId="22207"/>
    <cellStyle name="Obliczenia 2 14 51" xfId="22208"/>
    <cellStyle name="Obliczenia 2 14 51 2" xfId="22209"/>
    <cellStyle name="Obliczenia 2 14 51 3" xfId="22210"/>
    <cellStyle name="Obliczenia 2 14 52" xfId="22211"/>
    <cellStyle name="Obliczenia 2 14 52 2" xfId="22212"/>
    <cellStyle name="Obliczenia 2 14 52 3" xfId="22213"/>
    <cellStyle name="Obliczenia 2 14 53" xfId="22214"/>
    <cellStyle name="Obliczenia 2 14 53 2" xfId="22215"/>
    <cellStyle name="Obliczenia 2 14 53 3" xfId="22216"/>
    <cellStyle name="Obliczenia 2 14 54" xfId="22217"/>
    <cellStyle name="Obliczenia 2 14 54 2" xfId="22218"/>
    <cellStyle name="Obliczenia 2 14 54 3" xfId="22219"/>
    <cellStyle name="Obliczenia 2 14 55" xfId="22220"/>
    <cellStyle name="Obliczenia 2 14 55 2" xfId="22221"/>
    <cellStyle name="Obliczenia 2 14 55 3" xfId="22222"/>
    <cellStyle name="Obliczenia 2 14 56" xfId="22223"/>
    <cellStyle name="Obliczenia 2 14 56 2" xfId="22224"/>
    <cellStyle name="Obliczenia 2 14 56 3" xfId="22225"/>
    <cellStyle name="Obliczenia 2 14 57" xfId="22226"/>
    <cellStyle name="Obliczenia 2 14 58" xfId="22227"/>
    <cellStyle name="Obliczenia 2 14 6" xfId="22228"/>
    <cellStyle name="Obliczenia 2 14 6 2" xfId="22229"/>
    <cellStyle name="Obliczenia 2 14 6 3" xfId="22230"/>
    <cellStyle name="Obliczenia 2 14 6 4" xfId="22231"/>
    <cellStyle name="Obliczenia 2 14 7" xfId="22232"/>
    <cellStyle name="Obliczenia 2 14 7 2" xfId="22233"/>
    <cellStyle name="Obliczenia 2 14 7 3" xfId="22234"/>
    <cellStyle name="Obliczenia 2 14 7 4" xfId="22235"/>
    <cellStyle name="Obliczenia 2 14 8" xfId="22236"/>
    <cellStyle name="Obliczenia 2 14 8 2" xfId="22237"/>
    <cellStyle name="Obliczenia 2 14 8 3" xfId="22238"/>
    <cellStyle name="Obliczenia 2 14 8 4" xfId="22239"/>
    <cellStyle name="Obliczenia 2 14 9" xfId="22240"/>
    <cellStyle name="Obliczenia 2 14 9 2" xfId="22241"/>
    <cellStyle name="Obliczenia 2 14 9 3" xfId="22242"/>
    <cellStyle name="Obliczenia 2 14 9 4" xfId="22243"/>
    <cellStyle name="Obliczenia 2 15" xfId="22244"/>
    <cellStyle name="Obliczenia 2 15 10" xfId="22245"/>
    <cellStyle name="Obliczenia 2 15 10 2" xfId="22246"/>
    <cellStyle name="Obliczenia 2 15 10 3" xfId="22247"/>
    <cellStyle name="Obliczenia 2 15 10 4" xfId="22248"/>
    <cellStyle name="Obliczenia 2 15 11" xfId="22249"/>
    <cellStyle name="Obliczenia 2 15 11 2" xfId="22250"/>
    <cellStyle name="Obliczenia 2 15 11 3" xfId="22251"/>
    <cellStyle name="Obliczenia 2 15 11 4" xfId="22252"/>
    <cellStyle name="Obliczenia 2 15 12" xfId="22253"/>
    <cellStyle name="Obliczenia 2 15 12 2" xfId="22254"/>
    <cellStyle name="Obliczenia 2 15 12 3" xfId="22255"/>
    <cellStyle name="Obliczenia 2 15 12 4" xfId="22256"/>
    <cellStyle name="Obliczenia 2 15 13" xfId="22257"/>
    <cellStyle name="Obliczenia 2 15 13 2" xfId="22258"/>
    <cellStyle name="Obliczenia 2 15 13 3" xfId="22259"/>
    <cellStyle name="Obliczenia 2 15 13 4" xfId="22260"/>
    <cellStyle name="Obliczenia 2 15 14" xfId="22261"/>
    <cellStyle name="Obliczenia 2 15 14 2" xfId="22262"/>
    <cellStyle name="Obliczenia 2 15 14 3" xfId="22263"/>
    <cellStyle name="Obliczenia 2 15 14 4" xfId="22264"/>
    <cellStyle name="Obliczenia 2 15 15" xfId="22265"/>
    <cellStyle name="Obliczenia 2 15 15 2" xfId="22266"/>
    <cellStyle name="Obliczenia 2 15 15 3" xfId="22267"/>
    <cellStyle name="Obliczenia 2 15 15 4" xfId="22268"/>
    <cellStyle name="Obliczenia 2 15 16" xfId="22269"/>
    <cellStyle name="Obliczenia 2 15 16 2" xfId="22270"/>
    <cellStyle name="Obliczenia 2 15 16 3" xfId="22271"/>
    <cellStyle name="Obliczenia 2 15 16 4" xfId="22272"/>
    <cellStyle name="Obliczenia 2 15 17" xfId="22273"/>
    <cellStyle name="Obliczenia 2 15 17 2" xfId="22274"/>
    <cellStyle name="Obliczenia 2 15 17 3" xfId="22275"/>
    <cellStyle name="Obliczenia 2 15 17 4" xfId="22276"/>
    <cellStyle name="Obliczenia 2 15 18" xfId="22277"/>
    <cellStyle name="Obliczenia 2 15 18 2" xfId="22278"/>
    <cellStyle name="Obliczenia 2 15 18 3" xfId="22279"/>
    <cellStyle name="Obliczenia 2 15 18 4" xfId="22280"/>
    <cellStyle name="Obliczenia 2 15 19" xfId="22281"/>
    <cellStyle name="Obliczenia 2 15 19 2" xfId="22282"/>
    <cellStyle name="Obliczenia 2 15 19 3" xfId="22283"/>
    <cellStyle name="Obliczenia 2 15 19 4" xfId="22284"/>
    <cellStyle name="Obliczenia 2 15 2" xfId="22285"/>
    <cellStyle name="Obliczenia 2 15 2 2" xfId="22286"/>
    <cellStyle name="Obliczenia 2 15 2 3" xfId="22287"/>
    <cellStyle name="Obliczenia 2 15 2 4" xfId="22288"/>
    <cellStyle name="Obliczenia 2 15 20" xfId="22289"/>
    <cellStyle name="Obliczenia 2 15 20 2" xfId="22290"/>
    <cellStyle name="Obliczenia 2 15 20 3" xfId="22291"/>
    <cellStyle name="Obliczenia 2 15 20 4" xfId="22292"/>
    <cellStyle name="Obliczenia 2 15 21" xfId="22293"/>
    <cellStyle name="Obliczenia 2 15 21 2" xfId="22294"/>
    <cellStyle name="Obliczenia 2 15 21 3" xfId="22295"/>
    <cellStyle name="Obliczenia 2 15 22" xfId="22296"/>
    <cellStyle name="Obliczenia 2 15 22 2" xfId="22297"/>
    <cellStyle name="Obliczenia 2 15 22 3" xfId="22298"/>
    <cellStyle name="Obliczenia 2 15 23" xfId="22299"/>
    <cellStyle name="Obliczenia 2 15 23 2" xfId="22300"/>
    <cellStyle name="Obliczenia 2 15 23 3" xfId="22301"/>
    <cellStyle name="Obliczenia 2 15 24" xfId="22302"/>
    <cellStyle name="Obliczenia 2 15 24 2" xfId="22303"/>
    <cellStyle name="Obliczenia 2 15 24 3" xfId="22304"/>
    <cellStyle name="Obliczenia 2 15 25" xfId="22305"/>
    <cellStyle name="Obliczenia 2 15 25 2" xfId="22306"/>
    <cellStyle name="Obliczenia 2 15 25 3" xfId="22307"/>
    <cellStyle name="Obliczenia 2 15 26" xfId="22308"/>
    <cellStyle name="Obliczenia 2 15 26 2" xfId="22309"/>
    <cellStyle name="Obliczenia 2 15 26 3" xfId="22310"/>
    <cellStyle name="Obliczenia 2 15 27" xfId="22311"/>
    <cellStyle name="Obliczenia 2 15 27 2" xfId="22312"/>
    <cellStyle name="Obliczenia 2 15 27 3" xfId="22313"/>
    <cellStyle name="Obliczenia 2 15 28" xfId="22314"/>
    <cellStyle name="Obliczenia 2 15 28 2" xfId="22315"/>
    <cellStyle name="Obliczenia 2 15 28 3" xfId="22316"/>
    <cellStyle name="Obliczenia 2 15 29" xfId="22317"/>
    <cellStyle name="Obliczenia 2 15 29 2" xfId="22318"/>
    <cellStyle name="Obliczenia 2 15 29 3" xfId="22319"/>
    <cellStyle name="Obliczenia 2 15 3" xfId="22320"/>
    <cellStyle name="Obliczenia 2 15 3 2" xfId="22321"/>
    <cellStyle name="Obliczenia 2 15 3 3" xfId="22322"/>
    <cellStyle name="Obliczenia 2 15 3 4" xfId="22323"/>
    <cellStyle name="Obliczenia 2 15 30" xfId="22324"/>
    <cellStyle name="Obliczenia 2 15 30 2" xfId="22325"/>
    <cellStyle name="Obliczenia 2 15 30 3" xfId="22326"/>
    <cellStyle name="Obliczenia 2 15 31" xfId="22327"/>
    <cellStyle name="Obliczenia 2 15 31 2" xfId="22328"/>
    <cellStyle name="Obliczenia 2 15 31 3" xfId="22329"/>
    <cellStyle name="Obliczenia 2 15 32" xfId="22330"/>
    <cellStyle name="Obliczenia 2 15 32 2" xfId="22331"/>
    <cellStyle name="Obliczenia 2 15 32 3" xfId="22332"/>
    <cellStyle name="Obliczenia 2 15 33" xfId="22333"/>
    <cellStyle name="Obliczenia 2 15 33 2" xfId="22334"/>
    <cellStyle name="Obliczenia 2 15 33 3" xfId="22335"/>
    <cellStyle name="Obliczenia 2 15 34" xfId="22336"/>
    <cellStyle name="Obliczenia 2 15 34 2" xfId="22337"/>
    <cellStyle name="Obliczenia 2 15 34 3" xfId="22338"/>
    <cellStyle name="Obliczenia 2 15 35" xfId="22339"/>
    <cellStyle name="Obliczenia 2 15 35 2" xfId="22340"/>
    <cellStyle name="Obliczenia 2 15 35 3" xfId="22341"/>
    <cellStyle name="Obliczenia 2 15 36" xfId="22342"/>
    <cellStyle name="Obliczenia 2 15 36 2" xfId="22343"/>
    <cellStyle name="Obliczenia 2 15 36 3" xfId="22344"/>
    <cellStyle name="Obliczenia 2 15 37" xfId="22345"/>
    <cellStyle name="Obliczenia 2 15 37 2" xfId="22346"/>
    <cellStyle name="Obliczenia 2 15 37 3" xfId="22347"/>
    <cellStyle name="Obliczenia 2 15 38" xfId="22348"/>
    <cellStyle name="Obliczenia 2 15 38 2" xfId="22349"/>
    <cellStyle name="Obliczenia 2 15 38 3" xfId="22350"/>
    <cellStyle name="Obliczenia 2 15 39" xfId="22351"/>
    <cellStyle name="Obliczenia 2 15 39 2" xfId="22352"/>
    <cellStyle name="Obliczenia 2 15 39 3" xfId="22353"/>
    <cellStyle name="Obliczenia 2 15 4" xfId="22354"/>
    <cellStyle name="Obliczenia 2 15 4 2" xfId="22355"/>
    <cellStyle name="Obliczenia 2 15 4 3" xfId="22356"/>
    <cellStyle name="Obliczenia 2 15 4 4" xfId="22357"/>
    <cellStyle name="Obliczenia 2 15 40" xfId="22358"/>
    <cellStyle name="Obliczenia 2 15 40 2" xfId="22359"/>
    <cellStyle name="Obliczenia 2 15 40 3" xfId="22360"/>
    <cellStyle name="Obliczenia 2 15 41" xfId="22361"/>
    <cellStyle name="Obliczenia 2 15 41 2" xfId="22362"/>
    <cellStyle name="Obliczenia 2 15 41 3" xfId="22363"/>
    <cellStyle name="Obliczenia 2 15 42" xfId="22364"/>
    <cellStyle name="Obliczenia 2 15 42 2" xfId="22365"/>
    <cellStyle name="Obliczenia 2 15 42 3" xfId="22366"/>
    <cellStyle name="Obliczenia 2 15 43" xfId="22367"/>
    <cellStyle name="Obliczenia 2 15 43 2" xfId="22368"/>
    <cellStyle name="Obliczenia 2 15 43 3" xfId="22369"/>
    <cellStyle name="Obliczenia 2 15 44" xfId="22370"/>
    <cellStyle name="Obliczenia 2 15 44 2" xfId="22371"/>
    <cellStyle name="Obliczenia 2 15 44 3" xfId="22372"/>
    <cellStyle name="Obliczenia 2 15 45" xfId="22373"/>
    <cellStyle name="Obliczenia 2 15 45 2" xfId="22374"/>
    <cellStyle name="Obliczenia 2 15 45 3" xfId="22375"/>
    <cellStyle name="Obliczenia 2 15 46" xfId="22376"/>
    <cellStyle name="Obliczenia 2 15 46 2" xfId="22377"/>
    <cellStyle name="Obliczenia 2 15 46 3" xfId="22378"/>
    <cellStyle name="Obliczenia 2 15 47" xfId="22379"/>
    <cellStyle name="Obliczenia 2 15 47 2" xfId="22380"/>
    <cellStyle name="Obliczenia 2 15 47 3" xfId="22381"/>
    <cellStyle name="Obliczenia 2 15 48" xfId="22382"/>
    <cellStyle name="Obliczenia 2 15 48 2" xfId="22383"/>
    <cellStyle name="Obliczenia 2 15 48 3" xfId="22384"/>
    <cellStyle name="Obliczenia 2 15 49" xfId="22385"/>
    <cellStyle name="Obliczenia 2 15 49 2" xfId="22386"/>
    <cellStyle name="Obliczenia 2 15 49 3" xfId="22387"/>
    <cellStyle name="Obliczenia 2 15 5" xfId="22388"/>
    <cellStyle name="Obliczenia 2 15 5 2" xfId="22389"/>
    <cellStyle name="Obliczenia 2 15 5 3" xfId="22390"/>
    <cellStyle name="Obliczenia 2 15 5 4" xfId="22391"/>
    <cellStyle name="Obliczenia 2 15 50" xfId="22392"/>
    <cellStyle name="Obliczenia 2 15 50 2" xfId="22393"/>
    <cellStyle name="Obliczenia 2 15 50 3" xfId="22394"/>
    <cellStyle name="Obliczenia 2 15 51" xfId="22395"/>
    <cellStyle name="Obliczenia 2 15 51 2" xfId="22396"/>
    <cellStyle name="Obliczenia 2 15 51 3" xfId="22397"/>
    <cellStyle name="Obliczenia 2 15 52" xfId="22398"/>
    <cellStyle name="Obliczenia 2 15 52 2" xfId="22399"/>
    <cellStyle name="Obliczenia 2 15 52 3" xfId="22400"/>
    <cellStyle name="Obliczenia 2 15 53" xfId="22401"/>
    <cellStyle name="Obliczenia 2 15 53 2" xfId="22402"/>
    <cellStyle name="Obliczenia 2 15 53 3" xfId="22403"/>
    <cellStyle name="Obliczenia 2 15 54" xfId="22404"/>
    <cellStyle name="Obliczenia 2 15 54 2" xfId="22405"/>
    <cellStyle name="Obliczenia 2 15 54 3" xfId="22406"/>
    <cellStyle name="Obliczenia 2 15 55" xfId="22407"/>
    <cellStyle name="Obliczenia 2 15 55 2" xfId="22408"/>
    <cellStyle name="Obliczenia 2 15 55 3" xfId="22409"/>
    <cellStyle name="Obliczenia 2 15 56" xfId="22410"/>
    <cellStyle name="Obliczenia 2 15 56 2" xfId="22411"/>
    <cellStyle name="Obliczenia 2 15 56 3" xfId="22412"/>
    <cellStyle name="Obliczenia 2 15 57" xfId="22413"/>
    <cellStyle name="Obliczenia 2 15 58" xfId="22414"/>
    <cellStyle name="Obliczenia 2 15 6" xfId="22415"/>
    <cellStyle name="Obliczenia 2 15 6 2" xfId="22416"/>
    <cellStyle name="Obliczenia 2 15 6 3" xfId="22417"/>
    <cellStyle name="Obliczenia 2 15 6 4" xfId="22418"/>
    <cellStyle name="Obliczenia 2 15 7" xfId="22419"/>
    <cellStyle name="Obliczenia 2 15 7 2" xfId="22420"/>
    <cellStyle name="Obliczenia 2 15 7 3" xfId="22421"/>
    <cellStyle name="Obliczenia 2 15 7 4" xfId="22422"/>
    <cellStyle name="Obliczenia 2 15 8" xfId="22423"/>
    <cellStyle name="Obliczenia 2 15 8 2" xfId="22424"/>
    <cellStyle name="Obliczenia 2 15 8 3" xfId="22425"/>
    <cellStyle name="Obliczenia 2 15 8 4" xfId="22426"/>
    <cellStyle name="Obliczenia 2 15 9" xfId="22427"/>
    <cellStyle name="Obliczenia 2 15 9 2" xfId="22428"/>
    <cellStyle name="Obliczenia 2 15 9 3" xfId="22429"/>
    <cellStyle name="Obliczenia 2 15 9 4" xfId="22430"/>
    <cellStyle name="Obliczenia 2 16" xfId="22431"/>
    <cellStyle name="Obliczenia 2 16 10" xfId="22432"/>
    <cellStyle name="Obliczenia 2 16 10 2" xfId="22433"/>
    <cellStyle name="Obliczenia 2 16 10 3" xfId="22434"/>
    <cellStyle name="Obliczenia 2 16 10 4" xfId="22435"/>
    <cellStyle name="Obliczenia 2 16 11" xfId="22436"/>
    <cellStyle name="Obliczenia 2 16 11 2" xfId="22437"/>
    <cellStyle name="Obliczenia 2 16 11 3" xfId="22438"/>
    <cellStyle name="Obliczenia 2 16 11 4" xfId="22439"/>
    <cellStyle name="Obliczenia 2 16 12" xfId="22440"/>
    <cellStyle name="Obliczenia 2 16 12 2" xfId="22441"/>
    <cellStyle name="Obliczenia 2 16 12 3" xfId="22442"/>
    <cellStyle name="Obliczenia 2 16 12 4" xfId="22443"/>
    <cellStyle name="Obliczenia 2 16 13" xfId="22444"/>
    <cellStyle name="Obliczenia 2 16 13 2" xfId="22445"/>
    <cellStyle name="Obliczenia 2 16 13 3" xfId="22446"/>
    <cellStyle name="Obliczenia 2 16 13 4" xfId="22447"/>
    <cellStyle name="Obliczenia 2 16 14" xfId="22448"/>
    <cellStyle name="Obliczenia 2 16 14 2" xfId="22449"/>
    <cellStyle name="Obliczenia 2 16 14 3" xfId="22450"/>
    <cellStyle name="Obliczenia 2 16 14 4" xfId="22451"/>
    <cellStyle name="Obliczenia 2 16 15" xfId="22452"/>
    <cellStyle name="Obliczenia 2 16 15 2" xfId="22453"/>
    <cellStyle name="Obliczenia 2 16 15 3" xfId="22454"/>
    <cellStyle name="Obliczenia 2 16 15 4" xfId="22455"/>
    <cellStyle name="Obliczenia 2 16 16" xfId="22456"/>
    <cellStyle name="Obliczenia 2 16 16 2" xfId="22457"/>
    <cellStyle name="Obliczenia 2 16 16 3" xfId="22458"/>
    <cellStyle name="Obliczenia 2 16 16 4" xfId="22459"/>
    <cellStyle name="Obliczenia 2 16 17" xfId="22460"/>
    <cellStyle name="Obliczenia 2 16 17 2" xfId="22461"/>
    <cellStyle name="Obliczenia 2 16 17 3" xfId="22462"/>
    <cellStyle name="Obliczenia 2 16 17 4" xfId="22463"/>
    <cellStyle name="Obliczenia 2 16 18" xfId="22464"/>
    <cellStyle name="Obliczenia 2 16 18 2" xfId="22465"/>
    <cellStyle name="Obliczenia 2 16 18 3" xfId="22466"/>
    <cellStyle name="Obliczenia 2 16 18 4" xfId="22467"/>
    <cellStyle name="Obliczenia 2 16 19" xfId="22468"/>
    <cellStyle name="Obliczenia 2 16 19 2" xfId="22469"/>
    <cellStyle name="Obliczenia 2 16 19 3" xfId="22470"/>
    <cellStyle name="Obliczenia 2 16 19 4" xfId="22471"/>
    <cellStyle name="Obliczenia 2 16 2" xfId="22472"/>
    <cellStyle name="Obliczenia 2 16 2 2" xfId="22473"/>
    <cellStyle name="Obliczenia 2 16 2 3" xfId="22474"/>
    <cellStyle name="Obliczenia 2 16 2 4" xfId="22475"/>
    <cellStyle name="Obliczenia 2 16 20" xfId="22476"/>
    <cellStyle name="Obliczenia 2 16 20 2" xfId="22477"/>
    <cellStyle name="Obliczenia 2 16 20 3" xfId="22478"/>
    <cellStyle name="Obliczenia 2 16 20 4" xfId="22479"/>
    <cellStyle name="Obliczenia 2 16 21" xfId="22480"/>
    <cellStyle name="Obliczenia 2 16 21 2" xfId="22481"/>
    <cellStyle name="Obliczenia 2 16 21 3" xfId="22482"/>
    <cellStyle name="Obliczenia 2 16 22" xfId="22483"/>
    <cellStyle name="Obliczenia 2 16 22 2" xfId="22484"/>
    <cellStyle name="Obliczenia 2 16 22 3" xfId="22485"/>
    <cellStyle name="Obliczenia 2 16 23" xfId="22486"/>
    <cellStyle name="Obliczenia 2 16 23 2" xfId="22487"/>
    <cellStyle name="Obliczenia 2 16 23 3" xfId="22488"/>
    <cellStyle name="Obliczenia 2 16 24" xfId="22489"/>
    <cellStyle name="Obliczenia 2 16 24 2" xfId="22490"/>
    <cellStyle name="Obliczenia 2 16 24 3" xfId="22491"/>
    <cellStyle name="Obliczenia 2 16 25" xfId="22492"/>
    <cellStyle name="Obliczenia 2 16 25 2" xfId="22493"/>
    <cellStyle name="Obliczenia 2 16 25 3" xfId="22494"/>
    <cellStyle name="Obliczenia 2 16 26" xfId="22495"/>
    <cellStyle name="Obliczenia 2 16 26 2" xfId="22496"/>
    <cellStyle name="Obliczenia 2 16 26 3" xfId="22497"/>
    <cellStyle name="Obliczenia 2 16 27" xfId="22498"/>
    <cellStyle name="Obliczenia 2 16 27 2" xfId="22499"/>
    <cellStyle name="Obliczenia 2 16 27 3" xfId="22500"/>
    <cellStyle name="Obliczenia 2 16 28" xfId="22501"/>
    <cellStyle name="Obliczenia 2 16 28 2" xfId="22502"/>
    <cellStyle name="Obliczenia 2 16 28 3" xfId="22503"/>
    <cellStyle name="Obliczenia 2 16 29" xfId="22504"/>
    <cellStyle name="Obliczenia 2 16 29 2" xfId="22505"/>
    <cellStyle name="Obliczenia 2 16 29 3" xfId="22506"/>
    <cellStyle name="Obliczenia 2 16 3" xfId="22507"/>
    <cellStyle name="Obliczenia 2 16 3 2" xfId="22508"/>
    <cellStyle name="Obliczenia 2 16 3 3" xfId="22509"/>
    <cellStyle name="Obliczenia 2 16 3 4" xfId="22510"/>
    <cellStyle name="Obliczenia 2 16 30" xfId="22511"/>
    <cellStyle name="Obliczenia 2 16 30 2" xfId="22512"/>
    <cellStyle name="Obliczenia 2 16 30 3" xfId="22513"/>
    <cellStyle name="Obliczenia 2 16 31" xfId="22514"/>
    <cellStyle name="Obliczenia 2 16 31 2" xfId="22515"/>
    <cellStyle name="Obliczenia 2 16 31 3" xfId="22516"/>
    <cellStyle name="Obliczenia 2 16 32" xfId="22517"/>
    <cellStyle name="Obliczenia 2 16 32 2" xfId="22518"/>
    <cellStyle name="Obliczenia 2 16 32 3" xfId="22519"/>
    <cellStyle name="Obliczenia 2 16 33" xfId="22520"/>
    <cellStyle name="Obliczenia 2 16 33 2" xfId="22521"/>
    <cellStyle name="Obliczenia 2 16 33 3" xfId="22522"/>
    <cellStyle name="Obliczenia 2 16 34" xfId="22523"/>
    <cellStyle name="Obliczenia 2 16 34 2" xfId="22524"/>
    <cellStyle name="Obliczenia 2 16 34 3" xfId="22525"/>
    <cellStyle name="Obliczenia 2 16 35" xfId="22526"/>
    <cellStyle name="Obliczenia 2 16 35 2" xfId="22527"/>
    <cellStyle name="Obliczenia 2 16 35 3" xfId="22528"/>
    <cellStyle name="Obliczenia 2 16 36" xfId="22529"/>
    <cellStyle name="Obliczenia 2 16 36 2" xfId="22530"/>
    <cellStyle name="Obliczenia 2 16 36 3" xfId="22531"/>
    <cellStyle name="Obliczenia 2 16 37" xfId="22532"/>
    <cellStyle name="Obliczenia 2 16 37 2" xfId="22533"/>
    <cellStyle name="Obliczenia 2 16 37 3" xfId="22534"/>
    <cellStyle name="Obliczenia 2 16 38" xfId="22535"/>
    <cellStyle name="Obliczenia 2 16 38 2" xfId="22536"/>
    <cellStyle name="Obliczenia 2 16 38 3" xfId="22537"/>
    <cellStyle name="Obliczenia 2 16 39" xfId="22538"/>
    <cellStyle name="Obliczenia 2 16 39 2" xfId="22539"/>
    <cellStyle name="Obliczenia 2 16 39 3" xfId="22540"/>
    <cellStyle name="Obliczenia 2 16 4" xfId="22541"/>
    <cellStyle name="Obliczenia 2 16 4 2" xfId="22542"/>
    <cellStyle name="Obliczenia 2 16 4 3" xfId="22543"/>
    <cellStyle name="Obliczenia 2 16 4 4" xfId="22544"/>
    <cellStyle name="Obliczenia 2 16 40" xfId="22545"/>
    <cellStyle name="Obliczenia 2 16 40 2" xfId="22546"/>
    <cellStyle name="Obliczenia 2 16 40 3" xfId="22547"/>
    <cellStyle name="Obliczenia 2 16 41" xfId="22548"/>
    <cellStyle name="Obliczenia 2 16 41 2" xfId="22549"/>
    <cellStyle name="Obliczenia 2 16 41 3" xfId="22550"/>
    <cellStyle name="Obliczenia 2 16 42" xfId="22551"/>
    <cellStyle name="Obliczenia 2 16 42 2" xfId="22552"/>
    <cellStyle name="Obliczenia 2 16 42 3" xfId="22553"/>
    <cellStyle name="Obliczenia 2 16 43" xfId="22554"/>
    <cellStyle name="Obliczenia 2 16 43 2" xfId="22555"/>
    <cellStyle name="Obliczenia 2 16 43 3" xfId="22556"/>
    <cellStyle name="Obliczenia 2 16 44" xfId="22557"/>
    <cellStyle name="Obliczenia 2 16 44 2" xfId="22558"/>
    <cellStyle name="Obliczenia 2 16 44 3" xfId="22559"/>
    <cellStyle name="Obliczenia 2 16 45" xfId="22560"/>
    <cellStyle name="Obliczenia 2 16 45 2" xfId="22561"/>
    <cellStyle name="Obliczenia 2 16 45 3" xfId="22562"/>
    <cellStyle name="Obliczenia 2 16 46" xfId="22563"/>
    <cellStyle name="Obliczenia 2 16 46 2" xfId="22564"/>
    <cellStyle name="Obliczenia 2 16 46 3" xfId="22565"/>
    <cellStyle name="Obliczenia 2 16 47" xfId="22566"/>
    <cellStyle name="Obliczenia 2 16 47 2" xfId="22567"/>
    <cellStyle name="Obliczenia 2 16 47 3" xfId="22568"/>
    <cellStyle name="Obliczenia 2 16 48" xfId="22569"/>
    <cellStyle name="Obliczenia 2 16 48 2" xfId="22570"/>
    <cellStyle name="Obliczenia 2 16 48 3" xfId="22571"/>
    <cellStyle name="Obliczenia 2 16 49" xfId="22572"/>
    <cellStyle name="Obliczenia 2 16 49 2" xfId="22573"/>
    <cellStyle name="Obliczenia 2 16 49 3" xfId="22574"/>
    <cellStyle name="Obliczenia 2 16 5" xfId="22575"/>
    <cellStyle name="Obliczenia 2 16 5 2" xfId="22576"/>
    <cellStyle name="Obliczenia 2 16 5 3" xfId="22577"/>
    <cellStyle name="Obliczenia 2 16 5 4" xfId="22578"/>
    <cellStyle name="Obliczenia 2 16 50" xfId="22579"/>
    <cellStyle name="Obliczenia 2 16 50 2" xfId="22580"/>
    <cellStyle name="Obliczenia 2 16 50 3" xfId="22581"/>
    <cellStyle name="Obliczenia 2 16 51" xfId="22582"/>
    <cellStyle name="Obliczenia 2 16 51 2" xfId="22583"/>
    <cellStyle name="Obliczenia 2 16 51 3" xfId="22584"/>
    <cellStyle name="Obliczenia 2 16 52" xfId="22585"/>
    <cellStyle name="Obliczenia 2 16 52 2" xfId="22586"/>
    <cellStyle name="Obliczenia 2 16 52 3" xfId="22587"/>
    <cellStyle name="Obliczenia 2 16 53" xfId="22588"/>
    <cellStyle name="Obliczenia 2 16 53 2" xfId="22589"/>
    <cellStyle name="Obliczenia 2 16 53 3" xfId="22590"/>
    <cellStyle name="Obliczenia 2 16 54" xfId="22591"/>
    <cellStyle name="Obliczenia 2 16 54 2" xfId="22592"/>
    <cellStyle name="Obliczenia 2 16 54 3" xfId="22593"/>
    <cellStyle name="Obliczenia 2 16 55" xfId="22594"/>
    <cellStyle name="Obliczenia 2 16 55 2" xfId="22595"/>
    <cellStyle name="Obliczenia 2 16 55 3" xfId="22596"/>
    <cellStyle name="Obliczenia 2 16 56" xfId="22597"/>
    <cellStyle name="Obliczenia 2 16 56 2" xfId="22598"/>
    <cellStyle name="Obliczenia 2 16 56 3" xfId="22599"/>
    <cellStyle name="Obliczenia 2 16 57" xfId="22600"/>
    <cellStyle name="Obliczenia 2 16 58" xfId="22601"/>
    <cellStyle name="Obliczenia 2 16 6" xfId="22602"/>
    <cellStyle name="Obliczenia 2 16 6 2" xfId="22603"/>
    <cellStyle name="Obliczenia 2 16 6 3" xfId="22604"/>
    <cellStyle name="Obliczenia 2 16 6 4" xfId="22605"/>
    <cellStyle name="Obliczenia 2 16 7" xfId="22606"/>
    <cellStyle name="Obliczenia 2 16 7 2" xfId="22607"/>
    <cellStyle name="Obliczenia 2 16 7 3" xfId="22608"/>
    <cellStyle name="Obliczenia 2 16 7 4" xfId="22609"/>
    <cellStyle name="Obliczenia 2 16 8" xfId="22610"/>
    <cellStyle name="Obliczenia 2 16 8 2" xfId="22611"/>
    <cellStyle name="Obliczenia 2 16 8 3" xfId="22612"/>
    <cellStyle name="Obliczenia 2 16 8 4" xfId="22613"/>
    <cellStyle name="Obliczenia 2 16 9" xfId="22614"/>
    <cellStyle name="Obliczenia 2 16 9 2" xfId="22615"/>
    <cellStyle name="Obliczenia 2 16 9 3" xfId="22616"/>
    <cellStyle name="Obliczenia 2 16 9 4" xfId="22617"/>
    <cellStyle name="Obliczenia 2 17" xfId="22618"/>
    <cellStyle name="Obliczenia 2 17 10" xfId="22619"/>
    <cellStyle name="Obliczenia 2 17 10 2" xfId="22620"/>
    <cellStyle name="Obliczenia 2 17 10 3" xfId="22621"/>
    <cellStyle name="Obliczenia 2 17 10 4" xfId="22622"/>
    <cellStyle name="Obliczenia 2 17 11" xfId="22623"/>
    <cellStyle name="Obliczenia 2 17 11 2" xfId="22624"/>
    <cellStyle name="Obliczenia 2 17 11 3" xfId="22625"/>
    <cellStyle name="Obliczenia 2 17 11 4" xfId="22626"/>
    <cellStyle name="Obliczenia 2 17 12" xfId="22627"/>
    <cellStyle name="Obliczenia 2 17 12 2" xfId="22628"/>
    <cellStyle name="Obliczenia 2 17 12 3" xfId="22629"/>
    <cellStyle name="Obliczenia 2 17 12 4" xfId="22630"/>
    <cellStyle name="Obliczenia 2 17 13" xfId="22631"/>
    <cellStyle name="Obliczenia 2 17 13 2" xfId="22632"/>
    <cellStyle name="Obliczenia 2 17 13 3" xfId="22633"/>
    <cellStyle name="Obliczenia 2 17 13 4" xfId="22634"/>
    <cellStyle name="Obliczenia 2 17 14" xfId="22635"/>
    <cellStyle name="Obliczenia 2 17 14 2" xfId="22636"/>
    <cellStyle name="Obliczenia 2 17 14 3" xfId="22637"/>
    <cellStyle name="Obliczenia 2 17 14 4" xfId="22638"/>
    <cellStyle name="Obliczenia 2 17 15" xfId="22639"/>
    <cellStyle name="Obliczenia 2 17 15 2" xfId="22640"/>
    <cellStyle name="Obliczenia 2 17 15 3" xfId="22641"/>
    <cellStyle name="Obliczenia 2 17 15 4" xfId="22642"/>
    <cellStyle name="Obliczenia 2 17 16" xfId="22643"/>
    <cellStyle name="Obliczenia 2 17 16 2" xfId="22644"/>
    <cellStyle name="Obliczenia 2 17 16 3" xfId="22645"/>
    <cellStyle name="Obliczenia 2 17 16 4" xfId="22646"/>
    <cellStyle name="Obliczenia 2 17 17" xfId="22647"/>
    <cellStyle name="Obliczenia 2 17 17 2" xfId="22648"/>
    <cellStyle name="Obliczenia 2 17 17 3" xfId="22649"/>
    <cellStyle name="Obliczenia 2 17 17 4" xfId="22650"/>
    <cellStyle name="Obliczenia 2 17 18" xfId="22651"/>
    <cellStyle name="Obliczenia 2 17 18 2" xfId="22652"/>
    <cellStyle name="Obliczenia 2 17 18 3" xfId="22653"/>
    <cellStyle name="Obliczenia 2 17 18 4" xfId="22654"/>
    <cellStyle name="Obliczenia 2 17 19" xfId="22655"/>
    <cellStyle name="Obliczenia 2 17 19 2" xfId="22656"/>
    <cellStyle name="Obliczenia 2 17 19 3" xfId="22657"/>
    <cellStyle name="Obliczenia 2 17 19 4" xfId="22658"/>
    <cellStyle name="Obliczenia 2 17 2" xfId="22659"/>
    <cellStyle name="Obliczenia 2 17 2 2" xfId="22660"/>
    <cellStyle name="Obliczenia 2 17 2 3" xfId="22661"/>
    <cellStyle name="Obliczenia 2 17 2 4" xfId="22662"/>
    <cellStyle name="Obliczenia 2 17 20" xfId="22663"/>
    <cellStyle name="Obliczenia 2 17 20 2" xfId="22664"/>
    <cellStyle name="Obliczenia 2 17 20 3" xfId="22665"/>
    <cellStyle name="Obliczenia 2 17 20 4" xfId="22666"/>
    <cellStyle name="Obliczenia 2 17 21" xfId="22667"/>
    <cellStyle name="Obliczenia 2 17 21 2" xfId="22668"/>
    <cellStyle name="Obliczenia 2 17 21 3" xfId="22669"/>
    <cellStyle name="Obliczenia 2 17 22" xfId="22670"/>
    <cellStyle name="Obliczenia 2 17 22 2" xfId="22671"/>
    <cellStyle name="Obliczenia 2 17 22 3" xfId="22672"/>
    <cellStyle name="Obliczenia 2 17 23" xfId="22673"/>
    <cellStyle name="Obliczenia 2 17 23 2" xfId="22674"/>
    <cellStyle name="Obliczenia 2 17 23 3" xfId="22675"/>
    <cellStyle name="Obliczenia 2 17 24" xfId="22676"/>
    <cellStyle name="Obliczenia 2 17 24 2" xfId="22677"/>
    <cellStyle name="Obliczenia 2 17 24 3" xfId="22678"/>
    <cellStyle name="Obliczenia 2 17 25" xfId="22679"/>
    <cellStyle name="Obliczenia 2 17 25 2" xfId="22680"/>
    <cellStyle name="Obliczenia 2 17 25 3" xfId="22681"/>
    <cellStyle name="Obliczenia 2 17 26" xfId="22682"/>
    <cellStyle name="Obliczenia 2 17 26 2" xfId="22683"/>
    <cellStyle name="Obliczenia 2 17 26 3" xfId="22684"/>
    <cellStyle name="Obliczenia 2 17 27" xfId="22685"/>
    <cellStyle name="Obliczenia 2 17 27 2" xfId="22686"/>
    <cellStyle name="Obliczenia 2 17 27 3" xfId="22687"/>
    <cellStyle name="Obliczenia 2 17 28" xfId="22688"/>
    <cellStyle name="Obliczenia 2 17 28 2" xfId="22689"/>
    <cellStyle name="Obliczenia 2 17 28 3" xfId="22690"/>
    <cellStyle name="Obliczenia 2 17 29" xfId="22691"/>
    <cellStyle name="Obliczenia 2 17 29 2" xfId="22692"/>
    <cellStyle name="Obliczenia 2 17 29 3" xfId="22693"/>
    <cellStyle name="Obliczenia 2 17 3" xfId="22694"/>
    <cellStyle name="Obliczenia 2 17 3 2" xfId="22695"/>
    <cellStyle name="Obliczenia 2 17 3 3" xfId="22696"/>
    <cellStyle name="Obliczenia 2 17 3 4" xfId="22697"/>
    <cellStyle name="Obliczenia 2 17 30" xfId="22698"/>
    <cellStyle name="Obliczenia 2 17 30 2" xfId="22699"/>
    <cellStyle name="Obliczenia 2 17 30 3" xfId="22700"/>
    <cellStyle name="Obliczenia 2 17 31" xfId="22701"/>
    <cellStyle name="Obliczenia 2 17 31 2" xfId="22702"/>
    <cellStyle name="Obliczenia 2 17 31 3" xfId="22703"/>
    <cellStyle name="Obliczenia 2 17 32" xfId="22704"/>
    <cellStyle name="Obliczenia 2 17 32 2" xfId="22705"/>
    <cellStyle name="Obliczenia 2 17 32 3" xfId="22706"/>
    <cellStyle name="Obliczenia 2 17 33" xfId="22707"/>
    <cellStyle name="Obliczenia 2 17 33 2" xfId="22708"/>
    <cellStyle name="Obliczenia 2 17 33 3" xfId="22709"/>
    <cellStyle name="Obliczenia 2 17 34" xfId="22710"/>
    <cellStyle name="Obliczenia 2 17 34 2" xfId="22711"/>
    <cellStyle name="Obliczenia 2 17 34 3" xfId="22712"/>
    <cellStyle name="Obliczenia 2 17 35" xfId="22713"/>
    <cellStyle name="Obliczenia 2 17 35 2" xfId="22714"/>
    <cellStyle name="Obliczenia 2 17 35 3" xfId="22715"/>
    <cellStyle name="Obliczenia 2 17 36" xfId="22716"/>
    <cellStyle name="Obliczenia 2 17 36 2" xfId="22717"/>
    <cellStyle name="Obliczenia 2 17 36 3" xfId="22718"/>
    <cellStyle name="Obliczenia 2 17 37" xfId="22719"/>
    <cellStyle name="Obliczenia 2 17 37 2" xfId="22720"/>
    <cellStyle name="Obliczenia 2 17 37 3" xfId="22721"/>
    <cellStyle name="Obliczenia 2 17 38" xfId="22722"/>
    <cellStyle name="Obliczenia 2 17 38 2" xfId="22723"/>
    <cellStyle name="Obliczenia 2 17 38 3" xfId="22724"/>
    <cellStyle name="Obliczenia 2 17 39" xfId="22725"/>
    <cellStyle name="Obliczenia 2 17 39 2" xfId="22726"/>
    <cellStyle name="Obliczenia 2 17 39 3" xfId="22727"/>
    <cellStyle name="Obliczenia 2 17 4" xfId="22728"/>
    <cellStyle name="Obliczenia 2 17 4 2" xfId="22729"/>
    <cellStyle name="Obliczenia 2 17 4 3" xfId="22730"/>
    <cellStyle name="Obliczenia 2 17 4 4" xfId="22731"/>
    <cellStyle name="Obliczenia 2 17 40" xfId="22732"/>
    <cellStyle name="Obliczenia 2 17 40 2" xfId="22733"/>
    <cellStyle name="Obliczenia 2 17 40 3" xfId="22734"/>
    <cellStyle name="Obliczenia 2 17 41" xfId="22735"/>
    <cellStyle name="Obliczenia 2 17 41 2" xfId="22736"/>
    <cellStyle name="Obliczenia 2 17 41 3" xfId="22737"/>
    <cellStyle name="Obliczenia 2 17 42" xfId="22738"/>
    <cellStyle name="Obliczenia 2 17 42 2" xfId="22739"/>
    <cellStyle name="Obliczenia 2 17 42 3" xfId="22740"/>
    <cellStyle name="Obliczenia 2 17 43" xfId="22741"/>
    <cellStyle name="Obliczenia 2 17 43 2" xfId="22742"/>
    <cellStyle name="Obliczenia 2 17 43 3" xfId="22743"/>
    <cellStyle name="Obliczenia 2 17 44" xfId="22744"/>
    <cellStyle name="Obliczenia 2 17 44 2" xfId="22745"/>
    <cellStyle name="Obliczenia 2 17 44 3" xfId="22746"/>
    <cellStyle name="Obliczenia 2 17 45" xfId="22747"/>
    <cellStyle name="Obliczenia 2 17 45 2" xfId="22748"/>
    <cellStyle name="Obliczenia 2 17 45 3" xfId="22749"/>
    <cellStyle name="Obliczenia 2 17 46" xfId="22750"/>
    <cellStyle name="Obliczenia 2 17 46 2" xfId="22751"/>
    <cellStyle name="Obliczenia 2 17 46 3" xfId="22752"/>
    <cellStyle name="Obliczenia 2 17 47" xfId="22753"/>
    <cellStyle name="Obliczenia 2 17 47 2" xfId="22754"/>
    <cellStyle name="Obliczenia 2 17 47 3" xfId="22755"/>
    <cellStyle name="Obliczenia 2 17 48" xfId="22756"/>
    <cellStyle name="Obliczenia 2 17 48 2" xfId="22757"/>
    <cellStyle name="Obliczenia 2 17 48 3" xfId="22758"/>
    <cellStyle name="Obliczenia 2 17 49" xfId="22759"/>
    <cellStyle name="Obliczenia 2 17 49 2" xfId="22760"/>
    <cellStyle name="Obliczenia 2 17 49 3" xfId="22761"/>
    <cellStyle name="Obliczenia 2 17 5" xfId="22762"/>
    <cellStyle name="Obliczenia 2 17 5 2" xfId="22763"/>
    <cellStyle name="Obliczenia 2 17 5 3" xfId="22764"/>
    <cellStyle name="Obliczenia 2 17 5 4" xfId="22765"/>
    <cellStyle name="Obliczenia 2 17 50" xfId="22766"/>
    <cellStyle name="Obliczenia 2 17 50 2" xfId="22767"/>
    <cellStyle name="Obliczenia 2 17 50 3" xfId="22768"/>
    <cellStyle name="Obliczenia 2 17 51" xfId="22769"/>
    <cellStyle name="Obliczenia 2 17 51 2" xfId="22770"/>
    <cellStyle name="Obliczenia 2 17 51 3" xfId="22771"/>
    <cellStyle name="Obliczenia 2 17 52" xfId="22772"/>
    <cellStyle name="Obliczenia 2 17 52 2" xfId="22773"/>
    <cellStyle name="Obliczenia 2 17 52 3" xfId="22774"/>
    <cellStyle name="Obliczenia 2 17 53" xfId="22775"/>
    <cellStyle name="Obliczenia 2 17 53 2" xfId="22776"/>
    <cellStyle name="Obliczenia 2 17 53 3" xfId="22777"/>
    <cellStyle name="Obliczenia 2 17 54" xfId="22778"/>
    <cellStyle name="Obliczenia 2 17 54 2" xfId="22779"/>
    <cellStyle name="Obliczenia 2 17 54 3" xfId="22780"/>
    <cellStyle name="Obliczenia 2 17 55" xfId="22781"/>
    <cellStyle name="Obliczenia 2 17 55 2" xfId="22782"/>
    <cellStyle name="Obliczenia 2 17 55 3" xfId="22783"/>
    <cellStyle name="Obliczenia 2 17 56" xfId="22784"/>
    <cellStyle name="Obliczenia 2 17 56 2" xfId="22785"/>
    <cellStyle name="Obliczenia 2 17 56 3" xfId="22786"/>
    <cellStyle name="Obliczenia 2 17 57" xfId="22787"/>
    <cellStyle name="Obliczenia 2 17 58" xfId="22788"/>
    <cellStyle name="Obliczenia 2 17 6" xfId="22789"/>
    <cellStyle name="Obliczenia 2 17 6 2" xfId="22790"/>
    <cellStyle name="Obliczenia 2 17 6 3" xfId="22791"/>
    <cellStyle name="Obliczenia 2 17 6 4" xfId="22792"/>
    <cellStyle name="Obliczenia 2 17 7" xfId="22793"/>
    <cellStyle name="Obliczenia 2 17 7 2" xfId="22794"/>
    <cellStyle name="Obliczenia 2 17 7 3" xfId="22795"/>
    <cellStyle name="Obliczenia 2 17 7 4" xfId="22796"/>
    <cellStyle name="Obliczenia 2 17 8" xfId="22797"/>
    <cellStyle name="Obliczenia 2 17 8 2" xfId="22798"/>
    <cellStyle name="Obliczenia 2 17 8 3" xfId="22799"/>
    <cellStyle name="Obliczenia 2 17 8 4" xfId="22800"/>
    <cellStyle name="Obliczenia 2 17 9" xfId="22801"/>
    <cellStyle name="Obliczenia 2 17 9 2" xfId="22802"/>
    <cellStyle name="Obliczenia 2 17 9 3" xfId="22803"/>
    <cellStyle name="Obliczenia 2 17 9 4" xfId="22804"/>
    <cellStyle name="Obliczenia 2 18" xfId="22805"/>
    <cellStyle name="Obliczenia 2 18 10" xfId="22806"/>
    <cellStyle name="Obliczenia 2 18 10 2" xfId="22807"/>
    <cellStyle name="Obliczenia 2 18 10 3" xfId="22808"/>
    <cellStyle name="Obliczenia 2 18 10 4" xfId="22809"/>
    <cellStyle name="Obliczenia 2 18 11" xfId="22810"/>
    <cellStyle name="Obliczenia 2 18 11 2" xfId="22811"/>
    <cellStyle name="Obliczenia 2 18 11 3" xfId="22812"/>
    <cellStyle name="Obliczenia 2 18 11 4" xfId="22813"/>
    <cellStyle name="Obliczenia 2 18 12" xfId="22814"/>
    <cellStyle name="Obliczenia 2 18 12 2" xfId="22815"/>
    <cellStyle name="Obliczenia 2 18 12 3" xfId="22816"/>
    <cellStyle name="Obliczenia 2 18 12 4" xfId="22817"/>
    <cellStyle name="Obliczenia 2 18 13" xfId="22818"/>
    <cellStyle name="Obliczenia 2 18 13 2" xfId="22819"/>
    <cellStyle name="Obliczenia 2 18 13 3" xfId="22820"/>
    <cellStyle name="Obliczenia 2 18 13 4" xfId="22821"/>
    <cellStyle name="Obliczenia 2 18 14" xfId="22822"/>
    <cellStyle name="Obliczenia 2 18 14 2" xfId="22823"/>
    <cellStyle name="Obliczenia 2 18 14 3" xfId="22824"/>
    <cellStyle name="Obliczenia 2 18 14 4" xfId="22825"/>
    <cellStyle name="Obliczenia 2 18 15" xfId="22826"/>
    <cellStyle name="Obliczenia 2 18 15 2" xfId="22827"/>
    <cellStyle name="Obliczenia 2 18 15 3" xfId="22828"/>
    <cellStyle name="Obliczenia 2 18 15 4" xfId="22829"/>
    <cellStyle name="Obliczenia 2 18 16" xfId="22830"/>
    <cellStyle name="Obliczenia 2 18 16 2" xfId="22831"/>
    <cellStyle name="Obliczenia 2 18 16 3" xfId="22832"/>
    <cellStyle name="Obliczenia 2 18 16 4" xfId="22833"/>
    <cellStyle name="Obliczenia 2 18 17" xfId="22834"/>
    <cellStyle name="Obliczenia 2 18 17 2" xfId="22835"/>
    <cellStyle name="Obliczenia 2 18 17 3" xfId="22836"/>
    <cellStyle name="Obliczenia 2 18 17 4" xfId="22837"/>
    <cellStyle name="Obliczenia 2 18 18" xfId="22838"/>
    <cellStyle name="Obliczenia 2 18 18 2" xfId="22839"/>
    <cellStyle name="Obliczenia 2 18 18 3" xfId="22840"/>
    <cellStyle name="Obliczenia 2 18 18 4" xfId="22841"/>
    <cellStyle name="Obliczenia 2 18 19" xfId="22842"/>
    <cellStyle name="Obliczenia 2 18 19 2" xfId="22843"/>
    <cellStyle name="Obliczenia 2 18 19 3" xfId="22844"/>
    <cellStyle name="Obliczenia 2 18 19 4" xfId="22845"/>
    <cellStyle name="Obliczenia 2 18 2" xfId="22846"/>
    <cellStyle name="Obliczenia 2 18 2 2" xfId="22847"/>
    <cellStyle name="Obliczenia 2 18 2 3" xfId="22848"/>
    <cellStyle name="Obliczenia 2 18 2 4" xfId="22849"/>
    <cellStyle name="Obliczenia 2 18 20" xfId="22850"/>
    <cellStyle name="Obliczenia 2 18 20 2" xfId="22851"/>
    <cellStyle name="Obliczenia 2 18 20 3" xfId="22852"/>
    <cellStyle name="Obliczenia 2 18 20 4" xfId="22853"/>
    <cellStyle name="Obliczenia 2 18 21" xfId="22854"/>
    <cellStyle name="Obliczenia 2 18 21 2" xfId="22855"/>
    <cellStyle name="Obliczenia 2 18 21 3" xfId="22856"/>
    <cellStyle name="Obliczenia 2 18 22" xfId="22857"/>
    <cellStyle name="Obliczenia 2 18 22 2" xfId="22858"/>
    <cellStyle name="Obliczenia 2 18 22 3" xfId="22859"/>
    <cellStyle name="Obliczenia 2 18 23" xfId="22860"/>
    <cellStyle name="Obliczenia 2 18 23 2" xfId="22861"/>
    <cellStyle name="Obliczenia 2 18 23 3" xfId="22862"/>
    <cellStyle name="Obliczenia 2 18 24" xfId="22863"/>
    <cellStyle name="Obliczenia 2 18 24 2" xfId="22864"/>
    <cellStyle name="Obliczenia 2 18 24 3" xfId="22865"/>
    <cellStyle name="Obliczenia 2 18 25" xfId="22866"/>
    <cellStyle name="Obliczenia 2 18 25 2" xfId="22867"/>
    <cellStyle name="Obliczenia 2 18 25 3" xfId="22868"/>
    <cellStyle name="Obliczenia 2 18 26" xfId="22869"/>
    <cellStyle name="Obliczenia 2 18 26 2" xfId="22870"/>
    <cellStyle name="Obliczenia 2 18 26 3" xfId="22871"/>
    <cellStyle name="Obliczenia 2 18 27" xfId="22872"/>
    <cellStyle name="Obliczenia 2 18 27 2" xfId="22873"/>
    <cellStyle name="Obliczenia 2 18 27 3" xfId="22874"/>
    <cellStyle name="Obliczenia 2 18 28" xfId="22875"/>
    <cellStyle name="Obliczenia 2 18 28 2" xfId="22876"/>
    <cellStyle name="Obliczenia 2 18 28 3" xfId="22877"/>
    <cellStyle name="Obliczenia 2 18 29" xfId="22878"/>
    <cellStyle name="Obliczenia 2 18 29 2" xfId="22879"/>
    <cellStyle name="Obliczenia 2 18 29 3" xfId="22880"/>
    <cellStyle name="Obliczenia 2 18 3" xfId="22881"/>
    <cellStyle name="Obliczenia 2 18 3 2" xfId="22882"/>
    <cellStyle name="Obliczenia 2 18 3 3" xfId="22883"/>
    <cellStyle name="Obliczenia 2 18 3 4" xfId="22884"/>
    <cellStyle name="Obliczenia 2 18 30" xfId="22885"/>
    <cellStyle name="Obliczenia 2 18 30 2" xfId="22886"/>
    <cellStyle name="Obliczenia 2 18 30 3" xfId="22887"/>
    <cellStyle name="Obliczenia 2 18 31" xfId="22888"/>
    <cellStyle name="Obliczenia 2 18 31 2" xfId="22889"/>
    <cellStyle name="Obliczenia 2 18 31 3" xfId="22890"/>
    <cellStyle name="Obliczenia 2 18 32" xfId="22891"/>
    <cellStyle name="Obliczenia 2 18 32 2" xfId="22892"/>
    <cellStyle name="Obliczenia 2 18 32 3" xfId="22893"/>
    <cellStyle name="Obliczenia 2 18 33" xfId="22894"/>
    <cellStyle name="Obliczenia 2 18 33 2" xfId="22895"/>
    <cellStyle name="Obliczenia 2 18 33 3" xfId="22896"/>
    <cellStyle name="Obliczenia 2 18 34" xfId="22897"/>
    <cellStyle name="Obliczenia 2 18 34 2" xfId="22898"/>
    <cellStyle name="Obliczenia 2 18 34 3" xfId="22899"/>
    <cellStyle name="Obliczenia 2 18 35" xfId="22900"/>
    <cellStyle name="Obliczenia 2 18 35 2" xfId="22901"/>
    <cellStyle name="Obliczenia 2 18 35 3" xfId="22902"/>
    <cellStyle name="Obliczenia 2 18 36" xfId="22903"/>
    <cellStyle name="Obliczenia 2 18 36 2" xfId="22904"/>
    <cellStyle name="Obliczenia 2 18 36 3" xfId="22905"/>
    <cellStyle name="Obliczenia 2 18 37" xfId="22906"/>
    <cellStyle name="Obliczenia 2 18 37 2" xfId="22907"/>
    <cellStyle name="Obliczenia 2 18 37 3" xfId="22908"/>
    <cellStyle name="Obliczenia 2 18 38" xfId="22909"/>
    <cellStyle name="Obliczenia 2 18 38 2" xfId="22910"/>
    <cellStyle name="Obliczenia 2 18 38 3" xfId="22911"/>
    <cellStyle name="Obliczenia 2 18 39" xfId="22912"/>
    <cellStyle name="Obliczenia 2 18 39 2" xfId="22913"/>
    <cellStyle name="Obliczenia 2 18 39 3" xfId="22914"/>
    <cellStyle name="Obliczenia 2 18 4" xfId="22915"/>
    <cellStyle name="Obliczenia 2 18 4 2" xfId="22916"/>
    <cellStyle name="Obliczenia 2 18 4 3" xfId="22917"/>
    <cellStyle name="Obliczenia 2 18 4 4" xfId="22918"/>
    <cellStyle name="Obliczenia 2 18 40" xfId="22919"/>
    <cellStyle name="Obliczenia 2 18 40 2" xfId="22920"/>
    <cellStyle name="Obliczenia 2 18 40 3" xfId="22921"/>
    <cellStyle name="Obliczenia 2 18 41" xfId="22922"/>
    <cellStyle name="Obliczenia 2 18 41 2" xfId="22923"/>
    <cellStyle name="Obliczenia 2 18 41 3" xfId="22924"/>
    <cellStyle name="Obliczenia 2 18 42" xfId="22925"/>
    <cellStyle name="Obliczenia 2 18 42 2" xfId="22926"/>
    <cellStyle name="Obliczenia 2 18 42 3" xfId="22927"/>
    <cellStyle name="Obliczenia 2 18 43" xfId="22928"/>
    <cellStyle name="Obliczenia 2 18 43 2" xfId="22929"/>
    <cellStyle name="Obliczenia 2 18 43 3" xfId="22930"/>
    <cellStyle name="Obliczenia 2 18 44" xfId="22931"/>
    <cellStyle name="Obliczenia 2 18 44 2" xfId="22932"/>
    <cellStyle name="Obliczenia 2 18 44 3" xfId="22933"/>
    <cellStyle name="Obliczenia 2 18 45" xfId="22934"/>
    <cellStyle name="Obliczenia 2 18 45 2" xfId="22935"/>
    <cellStyle name="Obliczenia 2 18 45 3" xfId="22936"/>
    <cellStyle name="Obliczenia 2 18 46" xfId="22937"/>
    <cellStyle name="Obliczenia 2 18 46 2" xfId="22938"/>
    <cellStyle name="Obliczenia 2 18 46 3" xfId="22939"/>
    <cellStyle name="Obliczenia 2 18 47" xfId="22940"/>
    <cellStyle name="Obliczenia 2 18 47 2" xfId="22941"/>
    <cellStyle name="Obliczenia 2 18 47 3" xfId="22942"/>
    <cellStyle name="Obliczenia 2 18 48" xfId="22943"/>
    <cellStyle name="Obliczenia 2 18 48 2" xfId="22944"/>
    <cellStyle name="Obliczenia 2 18 48 3" xfId="22945"/>
    <cellStyle name="Obliczenia 2 18 49" xfId="22946"/>
    <cellStyle name="Obliczenia 2 18 49 2" xfId="22947"/>
    <cellStyle name="Obliczenia 2 18 49 3" xfId="22948"/>
    <cellStyle name="Obliczenia 2 18 5" xfId="22949"/>
    <cellStyle name="Obliczenia 2 18 5 2" xfId="22950"/>
    <cellStyle name="Obliczenia 2 18 5 3" xfId="22951"/>
    <cellStyle name="Obliczenia 2 18 5 4" xfId="22952"/>
    <cellStyle name="Obliczenia 2 18 50" xfId="22953"/>
    <cellStyle name="Obliczenia 2 18 50 2" xfId="22954"/>
    <cellStyle name="Obliczenia 2 18 50 3" xfId="22955"/>
    <cellStyle name="Obliczenia 2 18 51" xfId="22956"/>
    <cellStyle name="Obliczenia 2 18 51 2" xfId="22957"/>
    <cellStyle name="Obliczenia 2 18 51 3" xfId="22958"/>
    <cellStyle name="Obliczenia 2 18 52" xfId="22959"/>
    <cellStyle name="Obliczenia 2 18 52 2" xfId="22960"/>
    <cellStyle name="Obliczenia 2 18 52 3" xfId="22961"/>
    <cellStyle name="Obliczenia 2 18 53" xfId="22962"/>
    <cellStyle name="Obliczenia 2 18 53 2" xfId="22963"/>
    <cellStyle name="Obliczenia 2 18 53 3" xfId="22964"/>
    <cellStyle name="Obliczenia 2 18 54" xfId="22965"/>
    <cellStyle name="Obliczenia 2 18 54 2" xfId="22966"/>
    <cellStyle name="Obliczenia 2 18 54 3" xfId="22967"/>
    <cellStyle name="Obliczenia 2 18 55" xfId="22968"/>
    <cellStyle name="Obliczenia 2 18 55 2" xfId="22969"/>
    <cellStyle name="Obliczenia 2 18 55 3" xfId="22970"/>
    <cellStyle name="Obliczenia 2 18 56" xfId="22971"/>
    <cellStyle name="Obliczenia 2 18 56 2" xfId="22972"/>
    <cellStyle name="Obliczenia 2 18 56 3" xfId="22973"/>
    <cellStyle name="Obliczenia 2 18 57" xfId="22974"/>
    <cellStyle name="Obliczenia 2 18 58" xfId="22975"/>
    <cellStyle name="Obliczenia 2 18 6" xfId="22976"/>
    <cellStyle name="Obliczenia 2 18 6 2" xfId="22977"/>
    <cellStyle name="Obliczenia 2 18 6 3" xfId="22978"/>
    <cellStyle name="Obliczenia 2 18 6 4" xfId="22979"/>
    <cellStyle name="Obliczenia 2 18 7" xfId="22980"/>
    <cellStyle name="Obliczenia 2 18 7 2" xfId="22981"/>
    <cellStyle name="Obliczenia 2 18 7 3" xfId="22982"/>
    <cellStyle name="Obliczenia 2 18 7 4" xfId="22983"/>
    <cellStyle name="Obliczenia 2 18 8" xfId="22984"/>
    <cellStyle name="Obliczenia 2 18 8 2" xfId="22985"/>
    <cellStyle name="Obliczenia 2 18 8 3" xfId="22986"/>
    <cellStyle name="Obliczenia 2 18 8 4" xfId="22987"/>
    <cellStyle name="Obliczenia 2 18 9" xfId="22988"/>
    <cellStyle name="Obliczenia 2 18 9 2" xfId="22989"/>
    <cellStyle name="Obliczenia 2 18 9 3" xfId="22990"/>
    <cellStyle name="Obliczenia 2 18 9 4" xfId="22991"/>
    <cellStyle name="Obliczenia 2 19" xfId="22992"/>
    <cellStyle name="Obliczenia 2 19 10" xfId="22993"/>
    <cellStyle name="Obliczenia 2 19 10 2" xfId="22994"/>
    <cellStyle name="Obliczenia 2 19 10 3" xfId="22995"/>
    <cellStyle name="Obliczenia 2 19 10 4" xfId="22996"/>
    <cellStyle name="Obliczenia 2 19 11" xfId="22997"/>
    <cellStyle name="Obliczenia 2 19 11 2" xfId="22998"/>
    <cellStyle name="Obliczenia 2 19 11 3" xfId="22999"/>
    <cellStyle name="Obliczenia 2 19 11 4" xfId="23000"/>
    <cellStyle name="Obliczenia 2 19 12" xfId="23001"/>
    <cellStyle name="Obliczenia 2 19 12 2" xfId="23002"/>
    <cellStyle name="Obliczenia 2 19 12 3" xfId="23003"/>
    <cellStyle name="Obliczenia 2 19 12 4" xfId="23004"/>
    <cellStyle name="Obliczenia 2 19 13" xfId="23005"/>
    <cellStyle name="Obliczenia 2 19 13 2" xfId="23006"/>
    <cellStyle name="Obliczenia 2 19 13 3" xfId="23007"/>
    <cellStyle name="Obliczenia 2 19 13 4" xfId="23008"/>
    <cellStyle name="Obliczenia 2 19 14" xfId="23009"/>
    <cellStyle name="Obliczenia 2 19 14 2" xfId="23010"/>
    <cellStyle name="Obliczenia 2 19 14 3" xfId="23011"/>
    <cellStyle name="Obliczenia 2 19 14 4" xfId="23012"/>
    <cellStyle name="Obliczenia 2 19 15" xfId="23013"/>
    <cellStyle name="Obliczenia 2 19 15 2" xfId="23014"/>
    <cellStyle name="Obliczenia 2 19 15 3" xfId="23015"/>
    <cellStyle name="Obliczenia 2 19 15 4" xfId="23016"/>
    <cellStyle name="Obliczenia 2 19 16" xfId="23017"/>
    <cellStyle name="Obliczenia 2 19 16 2" xfId="23018"/>
    <cellStyle name="Obliczenia 2 19 16 3" xfId="23019"/>
    <cellStyle name="Obliczenia 2 19 16 4" xfId="23020"/>
    <cellStyle name="Obliczenia 2 19 17" xfId="23021"/>
    <cellStyle name="Obliczenia 2 19 17 2" xfId="23022"/>
    <cellStyle name="Obliczenia 2 19 17 3" xfId="23023"/>
    <cellStyle name="Obliczenia 2 19 17 4" xfId="23024"/>
    <cellStyle name="Obliczenia 2 19 18" xfId="23025"/>
    <cellStyle name="Obliczenia 2 19 18 2" xfId="23026"/>
    <cellStyle name="Obliczenia 2 19 18 3" xfId="23027"/>
    <cellStyle name="Obliczenia 2 19 18 4" xfId="23028"/>
    <cellStyle name="Obliczenia 2 19 19" xfId="23029"/>
    <cellStyle name="Obliczenia 2 19 19 2" xfId="23030"/>
    <cellStyle name="Obliczenia 2 19 19 3" xfId="23031"/>
    <cellStyle name="Obliczenia 2 19 19 4" xfId="23032"/>
    <cellStyle name="Obliczenia 2 19 2" xfId="23033"/>
    <cellStyle name="Obliczenia 2 19 2 2" xfId="23034"/>
    <cellStyle name="Obliczenia 2 19 2 3" xfId="23035"/>
    <cellStyle name="Obliczenia 2 19 2 4" xfId="23036"/>
    <cellStyle name="Obliczenia 2 19 20" xfId="23037"/>
    <cellStyle name="Obliczenia 2 19 20 2" xfId="23038"/>
    <cellStyle name="Obliczenia 2 19 20 3" xfId="23039"/>
    <cellStyle name="Obliczenia 2 19 20 4" xfId="23040"/>
    <cellStyle name="Obliczenia 2 19 21" xfId="23041"/>
    <cellStyle name="Obliczenia 2 19 21 2" xfId="23042"/>
    <cellStyle name="Obliczenia 2 19 21 3" xfId="23043"/>
    <cellStyle name="Obliczenia 2 19 22" xfId="23044"/>
    <cellStyle name="Obliczenia 2 19 22 2" xfId="23045"/>
    <cellStyle name="Obliczenia 2 19 22 3" xfId="23046"/>
    <cellStyle name="Obliczenia 2 19 23" xfId="23047"/>
    <cellStyle name="Obliczenia 2 19 23 2" xfId="23048"/>
    <cellStyle name="Obliczenia 2 19 23 3" xfId="23049"/>
    <cellStyle name="Obliczenia 2 19 24" xfId="23050"/>
    <cellStyle name="Obliczenia 2 19 24 2" xfId="23051"/>
    <cellStyle name="Obliczenia 2 19 24 3" xfId="23052"/>
    <cellStyle name="Obliczenia 2 19 25" xfId="23053"/>
    <cellStyle name="Obliczenia 2 19 25 2" xfId="23054"/>
    <cellStyle name="Obliczenia 2 19 25 3" xfId="23055"/>
    <cellStyle name="Obliczenia 2 19 26" xfId="23056"/>
    <cellStyle name="Obliczenia 2 19 26 2" xfId="23057"/>
    <cellStyle name="Obliczenia 2 19 26 3" xfId="23058"/>
    <cellStyle name="Obliczenia 2 19 27" xfId="23059"/>
    <cellStyle name="Obliczenia 2 19 27 2" xfId="23060"/>
    <cellStyle name="Obliczenia 2 19 27 3" xfId="23061"/>
    <cellStyle name="Obliczenia 2 19 28" xfId="23062"/>
    <cellStyle name="Obliczenia 2 19 28 2" xfId="23063"/>
    <cellStyle name="Obliczenia 2 19 28 3" xfId="23064"/>
    <cellStyle name="Obliczenia 2 19 29" xfId="23065"/>
    <cellStyle name="Obliczenia 2 19 29 2" xfId="23066"/>
    <cellStyle name="Obliczenia 2 19 29 3" xfId="23067"/>
    <cellStyle name="Obliczenia 2 19 3" xfId="23068"/>
    <cellStyle name="Obliczenia 2 19 3 2" xfId="23069"/>
    <cellStyle name="Obliczenia 2 19 3 3" xfId="23070"/>
    <cellStyle name="Obliczenia 2 19 3 4" xfId="23071"/>
    <cellStyle name="Obliczenia 2 19 30" xfId="23072"/>
    <cellStyle name="Obliczenia 2 19 30 2" xfId="23073"/>
    <cellStyle name="Obliczenia 2 19 30 3" xfId="23074"/>
    <cellStyle name="Obliczenia 2 19 31" xfId="23075"/>
    <cellStyle name="Obliczenia 2 19 31 2" xfId="23076"/>
    <cellStyle name="Obliczenia 2 19 31 3" xfId="23077"/>
    <cellStyle name="Obliczenia 2 19 32" xfId="23078"/>
    <cellStyle name="Obliczenia 2 19 32 2" xfId="23079"/>
    <cellStyle name="Obliczenia 2 19 32 3" xfId="23080"/>
    <cellStyle name="Obliczenia 2 19 33" xfId="23081"/>
    <cellStyle name="Obliczenia 2 19 33 2" xfId="23082"/>
    <cellStyle name="Obliczenia 2 19 33 3" xfId="23083"/>
    <cellStyle name="Obliczenia 2 19 34" xfId="23084"/>
    <cellStyle name="Obliczenia 2 19 34 2" xfId="23085"/>
    <cellStyle name="Obliczenia 2 19 34 3" xfId="23086"/>
    <cellStyle name="Obliczenia 2 19 35" xfId="23087"/>
    <cellStyle name="Obliczenia 2 19 35 2" xfId="23088"/>
    <cellStyle name="Obliczenia 2 19 35 3" xfId="23089"/>
    <cellStyle name="Obliczenia 2 19 36" xfId="23090"/>
    <cellStyle name="Obliczenia 2 19 36 2" xfId="23091"/>
    <cellStyle name="Obliczenia 2 19 36 3" xfId="23092"/>
    <cellStyle name="Obliczenia 2 19 37" xfId="23093"/>
    <cellStyle name="Obliczenia 2 19 37 2" xfId="23094"/>
    <cellStyle name="Obliczenia 2 19 37 3" xfId="23095"/>
    <cellStyle name="Obliczenia 2 19 38" xfId="23096"/>
    <cellStyle name="Obliczenia 2 19 38 2" xfId="23097"/>
    <cellStyle name="Obliczenia 2 19 38 3" xfId="23098"/>
    <cellStyle name="Obliczenia 2 19 39" xfId="23099"/>
    <cellStyle name="Obliczenia 2 19 39 2" xfId="23100"/>
    <cellStyle name="Obliczenia 2 19 39 3" xfId="23101"/>
    <cellStyle name="Obliczenia 2 19 4" xfId="23102"/>
    <cellStyle name="Obliczenia 2 19 4 2" xfId="23103"/>
    <cellStyle name="Obliczenia 2 19 4 3" xfId="23104"/>
    <cellStyle name="Obliczenia 2 19 4 4" xfId="23105"/>
    <cellStyle name="Obliczenia 2 19 40" xfId="23106"/>
    <cellStyle name="Obliczenia 2 19 40 2" xfId="23107"/>
    <cellStyle name="Obliczenia 2 19 40 3" xfId="23108"/>
    <cellStyle name="Obliczenia 2 19 41" xfId="23109"/>
    <cellStyle name="Obliczenia 2 19 41 2" xfId="23110"/>
    <cellStyle name="Obliczenia 2 19 41 3" xfId="23111"/>
    <cellStyle name="Obliczenia 2 19 42" xfId="23112"/>
    <cellStyle name="Obliczenia 2 19 42 2" xfId="23113"/>
    <cellStyle name="Obliczenia 2 19 42 3" xfId="23114"/>
    <cellStyle name="Obliczenia 2 19 43" xfId="23115"/>
    <cellStyle name="Obliczenia 2 19 43 2" xfId="23116"/>
    <cellStyle name="Obliczenia 2 19 43 3" xfId="23117"/>
    <cellStyle name="Obliczenia 2 19 44" xfId="23118"/>
    <cellStyle name="Obliczenia 2 19 44 2" xfId="23119"/>
    <cellStyle name="Obliczenia 2 19 44 3" xfId="23120"/>
    <cellStyle name="Obliczenia 2 19 45" xfId="23121"/>
    <cellStyle name="Obliczenia 2 19 45 2" xfId="23122"/>
    <cellStyle name="Obliczenia 2 19 45 3" xfId="23123"/>
    <cellStyle name="Obliczenia 2 19 46" xfId="23124"/>
    <cellStyle name="Obliczenia 2 19 46 2" xfId="23125"/>
    <cellStyle name="Obliczenia 2 19 46 3" xfId="23126"/>
    <cellStyle name="Obliczenia 2 19 47" xfId="23127"/>
    <cellStyle name="Obliczenia 2 19 47 2" xfId="23128"/>
    <cellStyle name="Obliczenia 2 19 47 3" xfId="23129"/>
    <cellStyle name="Obliczenia 2 19 48" xfId="23130"/>
    <cellStyle name="Obliczenia 2 19 48 2" xfId="23131"/>
    <cellStyle name="Obliczenia 2 19 48 3" xfId="23132"/>
    <cellStyle name="Obliczenia 2 19 49" xfId="23133"/>
    <cellStyle name="Obliczenia 2 19 49 2" xfId="23134"/>
    <cellStyle name="Obliczenia 2 19 49 3" xfId="23135"/>
    <cellStyle name="Obliczenia 2 19 5" xfId="23136"/>
    <cellStyle name="Obliczenia 2 19 5 2" xfId="23137"/>
    <cellStyle name="Obliczenia 2 19 5 3" xfId="23138"/>
    <cellStyle name="Obliczenia 2 19 5 4" xfId="23139"/>
    <cellStyle name="Obliczenia 2 19 50" xfId="23140"/>
    <cellStyle name="Obliczenia 2 19 50 2" xfId="23141"/>
    <cellStyle name="Obliczenia 2 19 50 3" xfId="23142"/>
    <cellStyle name="Obliczenia 2 19 51" xfId="23143"/>
    <cellStyle name="Obliczenia 2 19 51 2" xfId="23144"/>
    <cellStyle name="Obliczenia 2 19 51 3" xfId="23145"/>
    <cellStyle name="Obliczenia 2 19 52" xfId="23146"/>
    <cellStyle name="Obliczenia 2 19 52 2" xfId="23147"/>
    <cellStyle name="Obliczenia 2 19 52 3" xfId="23148"/>
    <cellStyle name="Obliczenia 2 19 53" xfId="23149"/>
    <cellStyle name="Obliczenia 2 19 53 2" xfId="23150"/>
    <cellStyle name="Obliczenia 2 19 53 3" xfId="23151"/>
    <cellStyle name="Obliczenia 2 19 54" xfId="23152"/>
    <cellStyle name="Obliczenia 2 19 54 2" xfId="23153"/>
    <cellStyle name="Obliczenia 2 19 54 3" xfId="23154"/>
    <cellStyle name="Obliczenia 2 19 55" xfId="23155"/>
    <cellStyle name="Obliczenia 2 19 55 2" xfId="23156"/>
    <cellStyle name="Obliczenia 2 19 55 3" xfId="23157"/>
    <cellStyle name="Obliczenia 2 19 56" xfId="23158"/>
    <cellStyle name="Obliczenia 2 19 56 2" xfId="23159"/>
    <cellStyle name="Obliczenia 2 19 56 3" xfId="23160"/>
    <cellStyle name="Obliczenia 2 19 57" xfId="23161"/>
    <cellStyle name="Obliczenia 2 19 58" xfId="23162"/>
    <cellStyle name="Obliczenia 2 19 6" xfId="23163"/>
    <cellStyle name="Obliczenia 2 19 6 2" xfId="23164"/>
    <cellStyle name="Obliczenia 2 19 6 3" xfId="23165"/>
    <cellStyle name="Obliczenia 2 19 6 4" xfId="23166"/>
    <cellStyle name="Obliczenia 2 19 7" xfId="23167"/>
    <cellStyle name="Obliczenia 2 19 7 2" xfId="23168"/>
    <cellStyle name="Obliczenia 2 19 7 3" xfId="23169"/>
    <cellStyle name="Obliczenia 2 19 7 4" xfId="23170"/>
    <cellStyle name="Obliczenia 2 19 8" xfId="23171"/>
    <cellStyle name="Obliczenia 2 19 8 2" xfId="23172"/>
    <cellStyle name="Obliczenia 2 19 8 3" xfId="23173"/>
    <cellStyle name="Obliczenia 2 19 8 4" xfId="23174"/>
    <cellStyle name="Obliczenia 2 19 9" xfId="23175"/>
    <cellStyle name="Obliczenia 2 19 9 2" xfId="23176"/>
    <cellStyle name="Obliczenia 2 19 9 3" xfId="23177"/>
    <cellStyle name="Obliczenia 2 19 9 4" xfId="23178"/>
    <cellStyle name="Obliczenia 2 2" xfId="23179"/>
    <cellStyle name="Obliczenia 2 2 10" xfId="23180"/>
    <cellStyle name="Obliczenia 2 2 10 2" xfId="23181"/>
    <cellStyle name="Obliczenia 2 2 10 3" xfId="23182"/>
    <cellStyle name="Obliczenia 2 2 10 4" xfId="23183"/>
    <cellStyle name="Obliczenia 2 2 11" xfId="23184"/>
    <cellStyle name="Obliczenia 2 2 11 2" xfId="23185"/>
    <cellStyle name="Obliczenia 2 2 11 3" xfId="23186"/>
    <cellStyle name="Obliczenia 2 2 11 4" xfId="23187"/>
    <cellStyle name="Obliczenia 2 2 12" xfId="23188"/>
    <cellStyle name="Obliczenia 2 2 12 2" xfId="23189"/>
    <cellStyle name="Obliczenia 2 2 12 3" xfId="23190"/>
    <cellStyle name="Obliczenia 2 2 12 4" xfId="23191"/>
    <cellStyle name="Obliczenia 2 2 13" xfId="23192"/>
    <cellStyle name="Obliczenia 2 2 13 2" xfId="23193"/>
    <cellStyle name="Obliczenia 2 2 13 3" xfId="23194"/>
    <cellStyle name="Obliczenia 2 2 13 4" xfId="23195"/>
    <cellStyle name="Obliczenia 2 2 14" xfId="23196"/>
    <cellStyle name="Obliczenia 2 2 14 2" xfId="23197"/>
    <cellStyle name="Obliczenia 2 2 14 3" xfId="23198"/>
    <cellStyle name="Obliczenia 2 2 14 4" xfId="23199"/>
    <cellStyle name="Obliczenia 2 2 15" xfId="23200"/>
    <cellStyle name="Obliczenia 2 2 15 2" xfId="23201"/>
    <cellStyle name="Obliczenia 2 2 15 3" xfId="23202"/>
    <cellStyle name="Obliczenia 2 2 15 4" xfId="23203"/>
    <cellStyle name="Obliczenia 2 2 16" xfId="23204"/>
    <cellStyle name="Obliczenia 2 2 16 2" xfId="23205"/>
    <cellStyle name="Obliczenia 2 2 16 3" xfId="23206"/>
    <cellStyle name="Obliczenia 2 2 16 4" xfId="23207"/>
    <cellStyle name="Obliczenia 2 2 17" xfId="23208"/>
    <cellStyle name="Obliczenia 2 2 17 2" xfId="23209"/>
    <cellStyle name="Obliczenia 2 2 17 3" xfId="23210"/>
    <cellStyle name="Obliczenia 2 2 17 4" xfId="23211"/>
    <cellStyle name="Obliczenia 2 2 18" xfId="23212"/>
    <cellStyle name="Obliczenia 2 2 18 2" xfId="23213"/>
    <cellStyle name="Obliczenia 2 2 18 3" xfId="23214"/>
    <cellStyle name="Obliczenia 2 2 18 4" xfId="23215"/>
    <cellStyle name="Obliczenia 2 2 19" xfId="23216"/>
    <cellStyle name="Obliczenia 2 2 19 2" xfId="23217"/>
    <cellStyle name="Obliczenia 2 2 19 3" xfId="23218"/>
    <cellStyle name="Obliczenia 2 2 19 4" xfId="23219"/>
    <cellStyle name="Obliczenia 2 2 2" xfId="23220"/>
    <cellStyle name="Obliczenia 2 2 2 2" xfId="23221"/>
    <cellStyle name="Obliczenia 2 2 2 3" xfId="23222"/>
    <cellStyle name="Obliczenia 2 2 2 4" xfId="23223"/>
    <cellStyle name="Obliczenia 2 2 20" xfId="23224"/>
    <cellStyle name="Obliczenia 2 2 20 2" xfId="23225"/>
    <cellStyle name="Obliczenia 2 2 20 3" xfId="23226"/>
    <cellStyle name="Obliczenia 2 2 20 4" xfId="23227"/>
    <cellStyle name="Obliczenia 2 2 21" xfId="23228"/>
    <cellStyle name="Obliczenia 2 2 21 2" xfId="23229"/>
    <cellStyle name="Obliczenia 2 2 21 3" xfId="23230"/>
    <cellStyle name="Obliczenia 2 2 22" xfId="23231"/>
    <cellStyle name="Obliczenia 2 2 22 2" xfId="23232"/>
    <cellStyle name="Obliczenia 2 2 22 3" xfId="23233"/>
    <cellStyle name="Obliczenia 2 2 23" xfId="23234"/>
    <cellStyle name="Obliczenia 2 2 23 2" xfId="23235"/>
    <cellStyle name="Obliczenia 2 2 23 3" xfId="23236"/>
    <cellStyle name="Obliczenia 2 2 24" xfId="23237"/>
    <cellStyle name="Obliczenia 2 2 24 2" xfId="23238"/>
    <cellStyle name="Obliczenia 2 2 24 3" xfId="23239"/>
    <cellStyle name="Obliczenia 2 2 25" xfId="23240"/>
    <cellStyle name="Obliczenia 2 2 25 2" xfId="23241"/>
    <cellStyle name="Obliczenia 2 2 25 3" xfId="23242"/>
    <cellStyle name="Obliczenia 2 2 26" xfId="23243"/>
    <cellStyle name="Obliczenia 2 2 26 2" xfId="23244"/>
    <cellStyle name="Obliczenia 2 2 26 3" xfId="23245"/>
    <cellStyle name="Obliczenia 2 2 27" xfId="23246"/>
    <cellStyle name="Obliczenia 2 2 27 2" xfId="23247"/>
    <cellStyle name="Obliczenia 2 2 27 3" xfId="23248"/>
    <cellStyle name="Obliczenia 2 2 28" xfId="23249"/>
    <cellStyle name="Obliczenia 2 2 28 2" xfId="23250"/>
    <cellStyle name="Obliczenia 2 2 28 3" xfId="23251"/>
    <cellStyle name="Obliczenia 2 2 29" xfId="23252"/>
    <cellStyle name="Obliczenia 2 2 29 2" xfId="23253"/>
    <cellStyle name="Obliczenia 2 2 29 3" xfId="23254"/>
    <cellStyle name="Obliczenia 2 2 3" xfId="23255"/>
    <cellStyle name="Obliczenia 2 2 3 2" xfId="23256"/>
    <cellStyle name="Obliczenia 2 2 3 3" xfId="23257"/>
    <cellStyle name="Obliczenia 2 2 3 4" xfId="23258"/>
    <cellStyle name="Obliczenia 2 2 30" xfId="23259"/>
    <cellStyle name="Obliczenia 2 2 30 2" xfId="23260"/>
    <cellStyle name="Obliczenia 2 2 30 3" xfId="23261"/>
    <cellStyle name="Obliczenia 2 2 31" xfId="23262"/>
    <cellStyle name="Obliczenia 2 2 31 2" xfId="23263"/>
    <cellStyle name="Obliczenia 2 2 31 3" xfId="23264"/>
    <cellStyle name="Obliczenia 2 2 32" xfId="23265"/>
    <cellStyle name="Obliczenia 2 2 32 2" xfId="23266"/>
    <cellStyle name="Obliczenia 2 2 32 3" xfId="23267"/>
    <cellStyle name="Obliczenia 2 2 33" xfId="23268"/>
    <cellStyle name="Obliczenia 2 2 33 2" xfId="23269"/>
    <cellStyle name="Obliczenia 2 2 33 3" xfId="23270"/>
    <cellStyle name="Obliczenia 2 2 34" xfId="23271"/>
    <cellStyle name="Obliczenia 2 2 34 2" xfId="23272"/>
    <cellStyle name="Obliczenia 2 2 34 3" xfId="23273"/>
    <cellStyle name="Obliczenia 2 2 35" xfId="23274"/>
    <cellStyle name="Obliczenia 2 2 35 2" xfId="23275"/>
    <cellStyle name="Obliczenia 2 2 35 3" xfId="23276"/>
    <cellStyle name="Obliczenia 2 2 36" xfId="23277"/>
    <cellStyle name="Obliczenia 2 2 36 2" xfId="23278"/>
    <cellStyle name="Obliczenia 2 2 36 3" xfId="23279"/>
    <cellStyle name="Obliczenia 2 2 37" xfId="23280"/>
    <cellStyle name="Obliczenia 2 2 37 2" xfId="23281"/>
    <cellStyle name="Obliczenia 2 2 37 3" xfId="23282"/>
    <cellStyle name="Obliczenia 2 2 38" xfId="23283"/>
    <cellStyle name="Obliczenia 2 2 38 2" xfId="23284"/>
    <cellStyle name="Obliczenia 2 2 38 3" xfId="23285"/>
    <cellStyle name="Obliczenia 2 2 39" xfId="23286"/>
    <cellStyle name="Obliczenia 2 2 39 2" xfId="23287"/>
    <cellStyle name="Obliczenia 2 2 39 3" xfId="23288"/>
    <cellStyle name="Obliczenia 2 2 4" xfId="23289"/>
    <cellStyle name="Obliczenia 2 2 4 2" xfId="23290"/>
    <cellStyle name="Obliczenia 2 2 4 3" xfId="23291"/>
    <cellStyle name="Obliczenia 2 2 4 4" xfId="23292"/>
    <cellStyle name="Obliczenia 2 2 40" xfId="23293"/>
    <cellStyle name="Obliczenia 2 2 40 2" xfId="23294"/>
    <cellStyle name="Obliczenia 2 2 40 3" xfId="23295"/>
    <cellStyle name="Obliczenia 2 2 41" xfId="23296"/>
    <cellStyle name="Obliczenia 2 2 41 2" xfId="23297"/>
    <cellStyle name="Obliczenia 2 2 41 3" xfId="23298"/>
    <cellStyle name="Obliczenia 2 2 42" xfId="23299"/>
    <cellStyle name="Obliczenia 2 2 42 2" xfId="23300"/>
    <cellStyle name="Obliczenia 2 2 42 3" xfId="23301"/>
    <cellStyle name="Obliczenia 2 2 43" xfId="23302"/>
    <cellStyle name="Obliczenia 2 2 43 2" xfId="23303"/>
    <cellStyle name="Obliczenia 2 2 43 3" xfId="23304"/>
    <cellStyle name="Obliczenia 2 2 44" xfId="23305"/>
    <cellStyle name="Obliczenia 2 2 44 2" xfId="23306"/>
    <cellStyle name="Obliczenia 2 2 44 3" xfId="23307"/>
    <cellStyle name="Obliczenia 2 2 45" xfId="23308"/>
    <cellStyle name="Obliczenia 2 2 45 2" xfId="23309"/>
    <cellStyle name="Obliczenia 2 2 45 3" xfId="23310"/>
    <cellStyle name="Obliczenia 2 2 46" xfId="23311"/>
    <cellStyle name="Obliczenia 2 2 46 2" xfId="23312"/>
    <cellStyle name="Obliczenia 2 2 46 3" xfId="23313"/>
    <cellStyle name="Obliczenia 2 2 47" xfId="23314"/>
    <cellStyle name="Obliczenia 2 2 47 2" xfId="23315"/>
    <cellStyle name="Obliczenia 2 2 47 3" xfId="23316"/>
    <cellStyle name="Obliczenia 2 2 48" xfId="23317"/>
    <cellStyle name="Obliczenia 2 2 48 2" xfId="23318"/>
    <cellStyle name="Obliczenia 2 2 48 3" xfId="23319"/>
    <cellStyle name="Obliczenia 2 2 49" xfId="23320"/>
    <cellStyle name="Obliczenia 2 2 49 2" xfId="23321"/>
    <cellStyle name="Obliczenia 2 2 49 3" xfId="23322"/>
    <cellStyle name="Obliczenia 2 2 5" xfId="23323"/>
    <cellStyle name="Obliczenia 2 2 5 2" xfId="23324"/>
    <cellStyle name="Obliczenia 2 2 5 3" xfId="23325"/>
    <cellStyle name="Obliczenia 2 2 5 4" xfId="23326"/>
    <cellStyle name="Obliczenia 2 2 50" xfId="23327"/>
    <cellStyle name="Obliczenia 2 2 50 2" xfId="23328"/>
    <cellStyle name="Obliczenia 2 2 50 3" xfId="23329"/>
    <cellStyle name="Obliczenia 2 2 51" xfId="23330"/>
    <cellStyle name="Obliczenia 2 2 51 2" xfId="23331"/>
    <cellStyle name="Obliczenia 2 2 51 3" xfId="23332"/>
    <cellStyle name="Obliczenia 2 2 52" xfId="23333"/>
    <cellStyle name="Obliczenia 2 2 52 2" xfId="23334"/>
    <cellStyle name="Obliczenia 2 2 52 3" xfId="23335"/>
    <cellStyle name="Obliczenia 2 2 53" xfId="23336"/>
    <cellStyle name="Obliczenia 2 2 53 2" xfId="23337"/>
    <cellStyle name="Obliczenia 2 2 53 3" xfId="23338"/>
    <cellStyle name="Obliczenia 2 2 54" xfId="23339"/>
    <cellStyle name="Obliczenia 2 2 54 2" xfId="23340"/>
    <cellStyle name="Obliczenia 2 2 54 3" xfId="23341"/>
    <cellStyle name="Obliczenia 2 2 55" xfId="23342"/>
    <cellStyle name="Obliczenia 2 2 55 2" xfId="23343"/>
    <cellStyle name="Obliczenia 2 2 55 3" xfId="23344"/>
    <cellStyle name="Obliczenia 2 2 56" xfId="23345"/>
    <cellStyle name="Obliczenia 2 2 56 2" xfId="23346"/>
    <cellStyle name="Obliczenia 2 2 56 3" xfId="23347"/>
    <cellStyle name="Obliczenia 2 2 57" xfId="23348"/>
    <cellStyle name="Obliczenia 2 2 58" xfId="23349"/>
    <cellStyle name="Obliczenia 2 2 59" xfId="23350"/>
    <cellStyle name="Obliczenia 2 2 6" xfId="23351"/>
    <cellStyle name="Obliczenia 2 2 6 2" xfId="23352"/>
    <cellStyle name="Obliczenia 2 2 6 3" xfId="23353"/>
    <cellStyle name="Obliczenia 2 2 6 4" xfId="23354"/>
    <cellStyle name="Obliczenia 2 2 7" xfId="23355"/>
    <cellStyle name="Obliczenia 2 2 7 2" xfId="23356"/>
    <cellStyle name="Obliczenia 2 2 7 3" xfId="23357"/>
    <cellStyle name="Obliczenia 2 2 7 4" xfId="23358"/>
    <cellStyle name="Obliczenia 2 2 8" xfId="23359"/>
    <cellStyle name="Obliczenia 2 2 8 2" xfId="23360"/>
    <cellStyle name="Obliczenia 2 2 8 3" xfId="23361"/>
    <cellStyle name="Obliczenia 2 2 8 4" xfId="23362"/>
    <cellStyle name="Obliczenia 2 2 9" xfId="23363"/>
    <cellStyle name="Obliczenia 2 2 9 2" xfId="23364"/>
    <cellStyle name="Obliczenia 2 2 9 3" xfId="23365"/>
    <cellStyle name="Obliczenia 2 2 9 4" xfId="23366"/>
    <cellStyle name="Obliczenia 2 20" xfId="23367"/>
    <cellStyle name="Obliczenia 2 20 10" xfId="23368"/>
    <cellStyle name="Obliczenia 2 20 10 2" xfId="23369"/>
    <cellStyle name="Obliczenia 2 20 10 3" xfId="23370"/>
    <cellStyle name="Obliczenia 2 20 10 4" xfId="23371"/>
    <cellStyle name="Obliczenia 2 20 11" xfId="23372"/>
    <cellStyle name="Obliczenia 2 20 11 2" xfId="23373"/>
    <cellStyle name="Obliczenia 2 20 11 3" xfId="23374"/>
    <cellStyle name="Obliczenia 2 20 11 4" xfId="23375"/>
    <cellStyle name="Obliczenia 2 20 12" xfId="23376"/>
    <cellStyle name="Obliczenia 2 20 12 2" xfId="23377"/>
    <cellStyle name="Obliczenia 2 20 12 3" xfId="23378"/>
    <cellStyle name="Obliczenia 2 20 12 4" xfId="23379"/>
    <cellStyle name="Obliczenia 2 20 13" xfId="23380"/>
    <cellStyle name="Obliczenia 2 20 13 2" xfId="23381"/>
    <cellStyle name="Obliczenia 2 20 13 3" xfId="23382"/>
    <cellStyle name="Obliczenia 2 20 13 4" xfId="23383"/>
    <cellStyle name="Obliczenia 2 20 14" xfId="23384"/>
    <cellStyle name="Obliczenia 2 20 14 2" xfId="23385"/>
    <cellStyle name="Obliczenia 2 20 14 3" xfId="23386"/>
    <cellStyle name="Obliczenia 2 20 14 4" xfId="23387"/>
    <cellStyle name="Obliczenia 2 20 15" xfId="23388"/>
    <cellStyle name="Obliczenia 2 20 15 2" xfId="23389"/>
    <cellStyle name="Obliczenia 2 20 15 3" xfId="23390"/>
    <cellStyle name="Obliczenia 2 20 15 4" xfId="23391"/>
    <cellStyle name="Obliczenia 2 20 16" xfId="23392"/>
    <cellStyle name="Obliczenia 2 20 16 2" xfId="23393"/>
    <cellStyle name="Obliczenia 2 20 16 3" xfId="23394"/>
    <cellStyle name="Obliczenia 2 20 16 4" xfId="23395"/>
    <cellStyle name="Obliczenia 2 20 17" xfId="23396"/>
    <cellStyle name="Obliczenia 2 20 17 2" xfId="23397"/>
    <cellStyle name="Obliczenia 2 20 17 3" xfId="23398"/>
    <cellStyle name="Obliczenia 2 20 17 4" xfId="23399"/>
    <cellStyle name="Obliczenia 2 20 18" xfId="23400"/>
    <cellStyle name="Obliczenia 2 20 18 2" xfId="23401"/>
    <cellStyle name="Obliczenia 2 20 18 3" xfId="23402"/>
    <cellStyle name="Obliczenia 2 20 18 4" xfId="23403"/>
    <cellStyle name="Obliczenia 2 20 19" xfId="23404"/>
    <cellStyle name="Obliczenia 2 20 19 2" xfId="23405"/>
    <cellStyle name="Obliczenia 2 20 19 3" xfId="23406"/>
    <cellStyle name="Obliczenia 2 20 19 4" xfId="23407"/>
    <cellStyle name="Obliczenia 2 20 2" xfId="23408"/>
    <cellStyle name="Obliczenia 2 20 2 2" xfId="23409"/>
    <cellStyle name="Obliczenia 2 20 2 3" xfId="23410"/>
    <cellStyle name="Obliczenia 2 20 2 4" xfId="23411"/>
    <cellStyle name="Obliczenia 2 20 20" xfId="23412"/>
    <cellStyle name="Obliczenia 2 20 20 2" xfId="23413"/>
    <cellStyle name="Obliczenia 2 20 20 3" xfId="23414"/>
    <cellStyle name="Obliczenia 2 20 20 4" xfId="23415"/>
    <cellStyle name="Obliczenia 2 20 21" xfId="23416"/>
    <cellStyle name="Obliczenia 2 20 21 2" xfId="23417"/>
    <cellStyle name="Obliczenia 2 20 21 3" xfId="23418"/>
    <cellStyle name="Obliczenia 2 20 22" xfId="23419"/>
    <cellStyle name="Obliczenia 2 20 22 2" xfId="23420"/>
    <cellStyle name="Obliczenia 2 20 22 3" xfId="23421"/>
    <cellStyle name="Obliczenia 2 20 23" xfId="23422"/>
    <cellStyle name="Obliczenia 2 20 23 2" xfId="23423"/>
    <cellStyle name="Obliczenia 2 20 23 3" xfId="23424"/>
    <cellStyle name="Obliczenia 2 20 24" xfId="23425"/>
    <cellStyle name="Obliczenia 2 20 24 2" xfId="23426"/>
    <cellStyle name="Obliczenia 2 20 24 3" xfId="23427"/>
    <cellStyle name="Obliczenia 2 20 25" xfId="23428"/>
    <cellStyle name="Obliczenia 2 20 25 2" xfId="23429"/>
    <cellStyle name="Obliczenia 2 20 25 3" xfId="23430"/>
    <cellStyle name="Obliczenia 2 20 26" xfId="23431"/>
    <cellStyle name="Obliczenia 2 20 26 2" xfId="23432"/>
    <cellStyle name="Obliczenia 2 20 26 3" xfId="23433"/>
    <cellStyle name="Obliczenia 2 20 27" xfId="23434"/>
    <cellStyle name="Obliczenia 2 20 27 2" xfId="23435"/>
    <cellStyle name="Obliczenia 2 20 27 3" xfId="23436"/>
    <cellStyle name="Obliczenia 2 20 28" xfId="23437"/>
    <cellStyle name="Obliczenia 2 20 28 2" xfId="23438"/>
    <cellStyle name="Obliczenia 2 20 28 3" xfId="23439"/>
    <cellStyle name="Obliczenia 2 20 29" xfId="23440"/>
    <cellStyle name="Obliczenia 2 20 29 2" xfId="23441"/>
    <cellStyle name="Obliczenia 2 20 29 3" xfId="23442"/>
    <cellStyle name="Obliczenia 2 20 3" xfId="23443"/>
    <cellStyle name="Obliczenia 2 20 3 2" xfId="23444"/>
    <cellStyle name="Obliczenia 2 20 3 3" xfId="23445"/>
    <cellStyle name="Obliczenia 2 20 3 4" xfId="23446"/>
    <cellStyle name="Obliczenia 2 20 30" xfId="23447"/>
    <cellStyle name="Obliczenia 2 20 30 2" xfId="23448"/>
    <cellStyle name="Obliczenia 2 20 30 3" xfId="23449"/>
    <cellStyle name="Obliczenia 2 20 31" xfId="23450"/>
    <cellStyle name="Obliczenia 2 20 31 2" xfId="23451"/>
    <cellStyle name="Obliczenia 2 20 31 3" xfId="23452"/>
    <cellStyle name="Obliczenia 2 20 32" xfId="23453"/>
    <cellStyle name="Obliczenia 2 20 32 2" xfId="23454"/>
    <cellStyle name="Obliczenia 2 20 32 3" xfId="23455"/>
    <cellStyle name="Obliczenia 2 20 33" xfId="23456"/>
    <cellStyle name="Obliczenia 2 20 33 2" xfId="23457"/>
    <cellStyle name="Obliczenia 2 20 33 3" xfId="23458"/>
    <cellStyle name="Obliczenia 2 20 34" xfId="23459"/>
    <cellStyle name="Obliczenia 2 20 34 2" xfId="23460"/>
    <cellStyle name="Obliczenia 2 20 34 3" xfId="23461"/>
    <cellStyle name="Obliczenia 2 20 35" xfId="23462"/>
    <cellStyle name="Obliczenia 2 20 35 2" xfId="23463"/>
    <cellStyle name="Obliczenia 2 20 35 3" xfId="23464"/>
    <cellStyle name="Obliczenia 2 20 36" xfId="23465"/>
    <cellStyle name="Obliczenia 2 20 36 2" xfId="23466"/>
    <cellStyle name="Obliczenia 2 20 36 3" xfId="23467"/>
    <cellStyle name="Obliczenia 2 20 37" xfId="23468"/>
    <cellStyle name="Obliczenia 2 20 37 2" xfId="23469"/>
    <cellStyle name="Obliczenia 2 20 37 3" xfId="23470"/>
    <cellStyle name="Obliczenia 2 20 38" xfId="23471"/>
    <cellStyle name="Obliczenia 2 20 38 2" xfId="23472"/>
    <cellStyle name="Obliczenia 2 20 38 3" xfId="23473"/>
    <cellStyle name="Obliczenia 2 20 39" xfId="23474"/>
    <cellStyle name="Obliczenia 2 20 39 2" xfId="23475"/>
    <cellStyle name="Obliczenia 2 20 39 3" xfId="23476"/>
    <cellStyle name="Obliczenia 2 20 4" xfId="23477"/>
    <cellStyle name="Obliczenia 2 20 4 2" xfId="23478"/>
    <cellStyle name="Obliczenia 2 20 4 3" xfId="23479"/>
    <cellStyle name="Obliczenia 2 20 4 4" xfId="23480"/>
    <cellStyle name="Obliczenia 2 20 40" xfId="23481"/>
    <cellStyle name="Obliczenia 2 20 40 2" xfId="23482"/>
    <cellStyle name="Obliczenia 2 20 40 3" xfId="23483"/>
    <cellStyle name="Obliczenia 2 20 41" xfId="23484"/>
    <cellStyle name="Obliczenia 2 20 41 2" xfId="23485"/>
    <cellStyle name="Obliczenia 2 20 41 3" xfId="23486"/>
    <cellStyle name="Obliczenia 2 20 42" xfId="23487"/>
    <cellStyle name="Obliczenia 2 20 42 2" xfId="23488"/>
    <cellStyle name="Obliczenia 2 20 42 3" xfId="23489"/>
    <cellStyle name="Obliczenia 2 20 43" xfId="23490"/>
    <cellStyle name="Obliczenia 2 20 43 2" xfId="23491"/>
    <cellStyle name="Obliczenia 2 20 43 3" xfId="23492"/>
    <cellStyle name="Obliczenia 2 20 44" xfId="23493"/>
    <cellStyle name="Obliczenia 2 20 44 2" xfId="23494"/>
    <cellStyle name="Obliczenia 2 20 44 3" xfId="23495"/>
    <cellStyle name="Obliczenia 2 20 45" xfId="23496"/>
    <cellStyle name="Obliczenia 2 20 45 2" xfId="23497"/>
    <cellStyle name="Obliczenia 2 20 45 3" xfId="23498"/>
    <cellStyle name="Obliczenia 2 20 46" xfId="23499"/>
    <cellStyle name="Obliczenia 2 20 46 2" xfId="23500"/>
    <cellStyle name="Obliczenia 2 20 46 3" xfId="23501"/>
    <cellStyle name="Obliczenia 2 20 47" xfId="23502"/>
    <cellStyle name="Obliczenia 2 20 47 2" xfId="23503"/>
    <cellStyle name="Obliczenia 2 20 47 3" xfId="23504"/>
    <cellStyle name="Obliczenia 2 20 48" xfId="23505"/>
    <cellStyle name="Obliczenia 2 20 48 2" xfId="23506"/>
    <cellStyle name="Obliczenia 2 20 48 3" xfId="23507"/>
    <cellStyle name="Obliczenia 2 20 49" xfId="23508"/>
    <cellStyle name="Obliczenia 2 20 49 2" xfId="23509"/>
    <cellStyle name="Obliczenia 2 20 49 3" xfId="23510"/>
    <cellStyle name="Obliczenia 2 20 5" xfId="23511"/>
    <cellStyle name="Obliczenia 2 20 5 2" xfId="23512"/>
    <cellStyle name="Obliczenia 2 20 5 3" xfId="23513"/>
    <cellStyle name="Obliczenia 2 20 5 4" xfId="23514"/>
    <cellStyle name="Obliczenia 2 20 50" xfId="23515"/>
    <cellStyle name="Obliczenia 2 20 50 2" xfId="23516"/>
    <cellStyle name="Obliczenia 2 20 50 3" xfId="23517"/>
    <cellStyle name="Obliczenia 2 20 51" xfId="23518"/>
    <cellStyle name="Obliczenia 2 20 51 2" xfId="23519"/>
    <cellStyle name="Obliczenia 2 20 51 3" xfId="23520"/>
    <cellStyle name="Obliczenia 2 20 52" xfId="23521"/>
    <cellStyle name="Obliczenia 2 20 52 2" xfId="23522"/>
    <cellStyle name="Obliczenia 2 20 52 3" xfId="23523"/>
    <cellStyle name="Obliczenia 2 20 53" xfId="23524"/>
    <cellStyle name="Obliczenia 2 20 53 2" xfId="23525"/>
    <cellStyle name="Obliczenia 2 20 53 3" xfId="23526"/>
    <cellStyle name="Obliczenia 2 20 54" xfId="23527"/>
    <cellStyle name="Obliczenia 2 20 54 2" xfId="23528"/>
    <cellStyle name="Obliczenia 2 20 54 3" xfId="23529"/>
    <cellStyle name="Obliczenia 2 20 55" xfId="23530"/>
    <cellStyle name="Obliczenia 2 20 55 2" xfId="23531"/>
    <cellStyle name="Obliczenia 2 20 55 3" xfId="23532"/>
    <cellStyle name="Obliczenia 2 20 56" xfId="23533"/>
    <cellStyle name="Obliczenia 2 20 56 2" xfId="23534"/>
    <cellStyle name="Obliczenia 2 20 56 3" xfId="23535"/>
    <cellStyle name="Obliczenia 2 20 57" xfId="23536"/>
    <cellStyle name="Obliczenia 2 20 58" xfId="23537"/>
    <cellStyle name="Obliczenia 2 20 6" xfId="23538"/>
    <cellStyle name="Obliczenia 2 20 6 2" xfId="23539"/>
    <cellStyle name="Obliczenia 2 20 6 3" xfId="23540"/>
    <cellStyle name="Obliczenia 2 20 6 4" xfId="23541"/>
    <cellStyle name="Obliczenia 2 20 7" xfId="23542"/>
    <cellStyle name="Obliczenia 2 20 7 2" xfId="23543"/>
    <cellStyle name="Obliczenia 2 20 7 3" xfId="23544"/>
    <cellStyle name="Obliczenia 2 20 7 4" xfId="23545"/>
    <cellStyle name="Obliczenia 2 20 8" xfId="23546"/>
    <cellStyle name="Obliczenia 2 20 8 2" xfId="23547"/>
    <cellStyle name="Obliczenia 2 20 8 3" xfId="23548"/>
    <cellStyle name="Obliczenia 2 20 8 4" xfId="23549"/>
    <cellStyle name="Obliczenia 2 20 9" xfId="23550"/>
    <cellStyle name="Obliczenia 2 20 9 2" xfId="23551"/>
    <cellStyle name="Obliczenia 2 20 9 3" xfId="23552"/>
    <cellStyle name="Obliczenia 2 20 9 4" xfId="23553"/>
    <cellStyle name="Obliczenia 2 21" xfId="23554"/>
    <cellStyle name="Obliczenia 2 21 10" xfId="23555"/>
    <cellStyle name="Obliczenia 2 21 10 2" xfId="23556"/>
    <cellStyle name="Obliczenia 2 21 10 3" xfId="23557"/>
    <cellStyle name="Obliczenia 2 21 10 4" xfId="23558"/>
    <cellStyle name="Obliczenia 2 21 11" xfId="23559"/>
    <cellStyle name="Obliczenia 2 21 11 2" xfId="23560"/>
    <cellStyle name="Obliczenia 2 21 11 3" xfId="23561"/>
    <cellStyle name="Obliczenia 2 21 11 4" xfId="23562"/>
    <cellStyle name="Obliczenia 2 21 12" xfId="23563"/>
    <cellStyle name="Obliczenia 2 21 12 2" xfId="23564"/>
    <cellStyle name="Obliczenia 2 21 12 3" xfId="23565"/>
    <cellStyle name="Obliczenia 2 21 12 4" xfId="23566"/>
    <cellStyle name="Obliczenia 2 21 13" xfId="23567"/>
    <cellStyle name="Obliczenia 2 21 13 2" xfId="23568"/>
    <cellStyle name="Obliczenia 2 21 13 3" xfId="23569"/>
    <cellStyle name="Obliczenia 2 21 13 4" xfId="23570"/>
    <cellStyle name="Obliczenia 2 21 14" xfId="23571"/>
    <cellStyle name="Obliczenia 2 21 14 2" xfId="23572"/>
    <cellStyle name="Obliczenia 2 21 14 3" xfId="23573"/>
    <cellStyle name="Obliczenia 2 21 14 4" xfId="23574"/>
    <cellStyle name="Obliczenia 2 21 15" xfId="23575"/>
    <cellStyle name="Obliczenia 2 21 15 2" xfId="23576"/>
    <cellStyle name="Obliczenia 2 21 15 3" xfId="23577"/>
    <cellStyle name="Obliczenia 2 21 15 4" xfId="23578"/>
    <cellStyle name="Obliczenia 2 21 16" xfId="23579"/>
    <cellStyle name="Obliczenia 2 21 16 2" xfId="23580"/>
    <cellStyle name="Obliczenia 2 21 16 3" xfId="23581"/>
    <cellStyle name="Obliczenia 2 21 16 4" xfId="23582"/>
    <cellStyle name="Obliczenia 2 21 17" xfId="23583"/>
    <cellStyle name="Obliczenia 2 21 17 2" xfId="23584"/>
    <cellStyle name="Obliczenia 2 21 17 3" xfId="23585"/>
    <cellStyle name="Obliczenia 2 21 17 4" xfId="23586"/>
    <cellStyle name="Obliczenia 2 21 18" xfId="23587"/>
    <cellStyle name="Obliczenia 2 21 18 2" xfId="23588"/>
    <cellStyle name="Obliczenia 2 21 18 3" xfId="23589"/>
    <cellStyle name="Obliczenia 2 21 18 4" xfId="23590"/>
    <cellStyle name="Obliczenia 2 21 19" xfId="23591"/>
    <cellStyle name="Obliczenia 2 21 19 2" xfId="23592"/>
    <cellStyle name="Obliczenia 2 21 19 3" xfId="23593"/>
    <cellStyle name="Obliczenia 2 21 19 4" xfId="23594"/>
    <cellStyle name="Obliczenia 2 21 2" xfId="23595"/>
    <cellStyle name="Obliczenia 2 21 2 2" xfId="23596"/>
    <cellStyle name="Obliczenia 2 21 2 3" xfId="23597"/>
    <cellStyle name="Obliczenia 2 21 2 4" xfId="23598"/>
    <cellStyle name="Obliczenia 2 21 20" xfId="23599"/>
    <cellStyle name="Obliczenia 2 21 20 2" xfId="23600"/>
    <cellStyle name="Obliczenia 2 21 20 3" xfId="23601"/>
    <cellStyle name="Obliczenia 2 21 20 4" xfId="23602"/>
    <cellStyle name="Obliczenia 2 21 21" xfId="23603"/>
    <cellStyle name="Obliczenia 2 21 21 2" xfId="23604"/>
    <cellStyle name="Obliczenia 2 21 21 3" xfId="23605"/>
    <cellStyle name="Obliczenia 2 21 22" xfId="23606"/>
    <cellStyle name="Obliczenia 2 21 22 2" xfId="23607"/>
    <cellStyle name="Obliczenia 2 21 22 3" xfId="23608"/>
    <cellStyle name="Obliczenia 2 21 23" xfId="23609"/>
    <cellStyle name="Obliczenia 2 21 23 2" xfId="23610"/>
    <cellStyle name="Obliczenia 2 21 23 3" xfId="23611"/>
    <cellStyle name="Obliczenia 2 21 24" xfId="23612"/>
    <cellStyle name="Obliczenia 2 21 24 2" xfId="23613"/>
    <cellStyle name="Obliczenia 2 21 24 3" xfId="23614"/>
    <cellStyle name="Obliczenia 2 21 25" xfId="23615"/>
    <cellStyle name="Obliczenia 2 21 25 2" xfId="23616"/>
    <cellStyle name="Obliczenia 2 21 25 3" xfId="23617"/>
    <cellStyle name="Obliczenia 2 21 26" xfId="23618"/>
    <cellStyle name="Obliczenia 2 21 26 2" xfId="23619"/>
    <cellStyle name="Obliczenia 2 21 26 3" xfId="23620"/>
    <cellStyle name="Obliczenia 2 21 27" xfId="23621"/>
    <cellStyle name="Obliczenia 2 21 27 2" xfId="23622"/>
    <cellStyle name="Obliczenia 2 21 27 3" xfId="23623"/>
    <cellStyle name="Obliczenia 2 21 28" xfId="23624"/>
    <cellStyle name="Obliczenia 2 21 28 2" xfId="23625"/>
    <cellStyle name="Obliczenia 2 21 28 3" xfId="23626"/>
    <cellStyle name="Obliczenia 2 21 29" xfId="23627"/>
    <cellStyle name="Obliczenia 2 21 29 2" xfId="23628"/>
    <cellStyle name="Obliczenia 2 21 29 3" xfId="23629"/>
    <cellStyle name="Obliczenia 2 21 3" xfId="23630"/>
    <cellStyle name="Obliczenia 2 21 3 2" xfId="23631"/>
    <cellStyle name="Obliczenia 2 21 3 3" xfId="23632"/>
    <cellStyle name="Obliczenia 2 21 3 4" xfId="23633"/>
    <cellStyle name="Obliczenia 2 21 30" xfId="23634"/>
    <cellStyle name="Obliczenia 2 21 30 2" xfId="23635"/>
    <cellStyle name="Obliczenia 2 21 30 3" xfId="23636"/>
    <cellStyle name="Obliczenia 2 21 31" xfId="23637"/>
    <cellStyle name="Obliczenia 2 21 31 2" xfId="23638"/>
    <cellStyle name="Obliczenia 2 21 31 3" xfId="23639"/>
    <cellStyle name="Obliczenia 2 21 32" xfId="23640"/>
    <cellStyle name="Obliczenia 2 21 32 2" xfId="23641"/>
    <cellStyle name="Obliczenia 2 21 32 3" xfId="23642"/>
    <cellStyle name="Obliczenia 2 21 33" xfId="23643"/>
    <cellStyle name="Obliczenia 2 21 33 2" xfId="23644"/>
    <cellStyle name="Obliczenia 2 21 33 3" xfId="23645"/>
    <cellStyle name="Obliczenia 2 21 34" xfId="23646"/>
    <cellStyle name="Obliczenia 2 21 34 2" xfId="23647"/>
    <cellStyle name="Obliczenia 2 21 34 3" xfId="23648"/>
    <cellStyle name="Obliczenia 2 21 35" xfId="23649"/>
    <cellStyle name="Obliczenia 2 21 35 2" xfId="23650"/>
    <cellStyle name="Obliczenia 2 21 35 3" xfId="23651"/>
    <cellStyle name="Obliczenia 2 21 36" xfId="23652"/>
    <cellStyle name="Obliczenia 2 21 36 2" xfId="23653"/>
    <cellStyle name="Obliczenia 2 21 36 3" xfId="23654"/>
    <cellStyle name="Obliczenia 2 21 37" xfId="23655"/>
    <cellStyle name="Obliczenia 2 21 37 2" xfId="23656"/>
    <cellStyle name="Obliczenia 2 21 37 3" xfId="23657"/>
    <cellStyle name="Obliczenia 2 21 38" xfId="23658"/>
    <cellStyle name="Obliczenia 2 21 38 2" xfId="23659"/>
    <cellStyle name="Obliczenia 2 21 38 3" xfId="23660"/>
    <cellStyle name="Obliczenia 2 21 39" xfId="23661"/>
    <cellStyle name="Obliczenia 2 21 39 2" xfId="23662"/>
    <cellStyle name="Obliczenia 2 21 39 3" xfId="23663"/>
    <cellStyle name="Obliczenia 2 21 4" xfId="23664"/>
    <cellStyle name="Obliczenia 2 21 4 2" xfId="23665"/>
    <cellStyle name="Obliczenia 2 21 4 3" xfId="23666"/>
    <cellStyle name="Obliczenia 2 21 4 4" xfId="23667"/>
    <cellStyle name="Obliczenia 2 21 40" xfId="23668"/>
    <cellStyle name="Obliczenia 2 21 40 2" xfId="23669"/>
    <cellStyle name="Obliczenia 2 21 40 3" xfId="23670"/>
    <cellStyle name="Obliczenia 2 21 41" xfId="23671"/>
    <cellStyle name="Obliczenia 2 21 41 2" xfId="23672"/>
    <cellStyle name="Obliczenia 2 21 41 3" xfId="23673"/>
    <cellStyle name="Obliczenia 2 21 42" xfId="23674"/>
    <cellStyle name="Obliczenia 2 21 42 2" xfId="23675"/>
    <cellStyle name="Obliczenia 2 21 42 3" xfId="23676"/>
    <cellStyle name="Obliczenia 2 21 43" xfId="23677"/>
    <cellStyle name="Obliczenia 2 21 43 2" xfId="23678"/>
    <cellStyle name="Obliczenia 2 21 43 3" xfId="23679"/>
    <cellStyle name="Obliczenia 2 21 44" xfId="23680"/>
    <cellStyle name="Obliczenia 2 21 44 2" xfId="23681"/>
    <cellStyle name="Obliczenia 2 21 44 3" xfId="23682"/>
    <cellStyle name="Obliczenia 2 21 45" xfId="23683"/>
    <cellStyle name="Obliczenia 2 21 45 2" xfId="23684"/>
    <cellStyle name="Obliczenia 2 21 45 3" xfId="23685"/>
    <cellStyle name="Obliczenia 2 21 46" xfId="23686"/>
    <cellStyle name="Obliczenia 2 21 46 2" xfId="23687"/>
    <cellStyle name="Obliczenia 2 21 46 3" xfId="23688"/>
    <cellStyle name="Obliczenia 2 21 47" xfId="23689"/>
    <cellStyle name="Obliczenia 2 21 47 2" xfId="23690"/>
    <cellStyle name="Obliczenia 2 21 47 3" xfId="23691"/>
    <cellStyle name="Obliczenia 2 21 48" xfId="23692"/>
    <cellStyle name="Obliczenia 2 21 48 2" xfId="23693"/>
    <cellStyle name="Obliczenia 2 21 48 3" xfId="23694"/>
    <cellStyle name="Obliczenia 2 21 49" xfId="23695"/>
    <cellStyle name="Obliczenia 2 21 49 2" xfId="23696"/>
    <cellStyle name="Obliczenia 2 21 49 3" xfId="23697"/>
    <cellStyle name="Obliczenia 2 21 5" xfId="23698"/>
    <cellStyle name="Obliczenia 2 21 5 2" xfId="23699"/>
    <cellStyle name="Obliczenia 2 21 5 3" xfId="23700"/>
    <cellStyle name="Obliczenia 2 21 5 4" xfId="23701"/>
    <cellStyle name="Obliczenia 2 21 50" xfId="23702"/>
    <cellStyle name="Obliczenia 2 21 50 2" xfId="23703"/>
    <cellStyle name="Obliczenia 2 21 50 3" xfId="23704"/>
    <cellStyle name="Obliczenia 2 21 51" xfId="23705"/>
    <cellStyle name="Obliczenia 2 21 51 2" xfId="23706"/>
    <cellStyle name="Obliczenia 2 21 51 3" xfId="23707"/>
    <cellStyle name="Obliczenia 2 21 52" xfId="23708"/>
    <cellStyle name="Obliczenia 2 21 52 2" xfId="23709"/>
    <cellStyle name="Obliczenia 2 21 52 3" xfId="23710"/>
    <cellStyle name="Obliczenia 2 21 53" xfId="23711"/>
    <cellStyle name="Obliczenia 2 21 53 2" xfId="23712"/>
    <cellStyle name="Obliczenia 2 21 53 3" xfId="23713"/>
    <cellStyle name="Obliczenia 2 21 54" xfId="23714"/>
    <cellStyle name="Obliczenia 2 21 54 2" xfId="23715"/>
    <cellStyle name="Obliczenia 2 21 54 3" xfId="23716"/>
    <cellStyle name="Obliczenia 2 21 55" xfId="23717"/>
    <cellStyle name="Obliczenia 2 21 55 2" xfId="23718"/>
    <cellStyle name="Obliczenia 2 21 55 3" xfId="23719"/>
    <cellStyle name="Obliczenia 2 21 56" xfId="23720"/>
    <cellStyle name="Obliczenia 2 21 56 2" xfId="23721"/>
    <cellStyle name="Obliczenia 2 21 56 3" xfId="23722"/>
    <cellStyle name="Obliczenia 2 21 57" xfId="23723"/>
    <cellStyle name="Obliczenia 2 21 58" xfId="23724"/>
    <cellStyle name="Obliczenia 2 21 6" xfId="23725"/>
    <cellStyle name="Obliczenia 2 21 6 2" xfId="23726"/>
    <cellStyle name="Obliczenia 2 21 6 3" xfId="23727"/>
    <cellStyle name="Obliczenia 2 21 6 4" xfId="23728"/>
    <cellStyle name="Obliczenia 2 21 7" xfId="23729"/>
    <cellStyle name="Obliczenia 2 21 7 2" xfId="23730"/>
    <cellStyle name="Obliczenia 2 21 7 3" xfId="23731"/>
    <cellStyle name="Obliczenia 2 21 7 4" xfId="23732"/>
    <cellStyle name="Obliczenia 2 21 8" xfId="23733"/>
    <cellStyle name="Obliczenia 2 21 8 2" xfId="23734"/>
    <cellStyle name="Obliczenia 2 21 8 3" xfId="23735"/>
    <cellStyle name="Obliczenia 2 21 8 4" xfId="23736"/>
    <cellStyle name="Obliczenia 2 21 9" xfId="23737"/>
    <cellStyle name="Obliczenia 2 21 9 2" xfId="23738"/>
    <cellStyle name="Obliczenia 2 21 9 3" xfId="23739"/>
    <cellStyle name="Obliczenia 2 21 9 4" xfId="23740"/>
    <cellStyle name="Obliczenia 2 22" xfId="23741"/>
    <cellStyle name="Obliczenia 2 22 10" xfId="23742"/>
    <cellStyle name="Obliczenia 2 22 10 2" xfId="23743"/>
    <cellStyle name="Obliczenia 2 22 10 3" xfId="23744"/>
    <cellStyle name="Obliczenia 2 22 10 4" xfId="23745"/>
    <cellStyle name="Obliczenia 2 22 11" xfId="23746"/>
    <cellStyle name="Obliczenia 2 22 11 2" xfId="23747"/>
    <cellStyle name="Obliczenia 2 22 11 3" xfId="23748"/>
    <cellStyle name="Obliczenia 2 22 11 4" xfId="23749"/>
    <cellStyle name="Obliczenia 2 22 12" xfId="23750"/>
    <cellStyle name="Obliczenia 2 22 12 2" xfId="23751"/>
    <cellStyle name="Obliczenia 2 22 12 3" xfId="23752"/>
    <cellStyle name="Obliczenia 2 22 12 4" xfId="23753"/>
    <cellStyle name="Obliczenia 2 22 13" xfId="23754"/>
    <cellStyle name="Obliczenia 2 22 13 2" xfId="23755"/>
    <cellStyle name="Obliczenia 2 22 13 3" xfId="23756"/>
    <cellStyle name="Obliczenia 2 22 13 4" xfId="23757"/>
    <cellStyle name="Obliczenia 2 22 14" xfId="23758"/>
    <cellStyle name="Obliczenia 2 22 14 2" xfId="23759"/>
    <cellStyle name="Obliczenia 2 22 14 3" xfId="23760"/>
    <cellStyle name="Obliczenia 2 22 14 4" xfId="23761"/>
    <cellStyle name="Obliczenia 2 22 15" xfId="23762"/>
    <cellStyle name="Obliczenia 2 22 15 2" xfId="23763"/>
    <cellStyle name="Obliczenia 2 22 15 3" xfId="23764"/>
    <cellStyle name="Obliczenia 2 22 15 4" xfId="23765"/>
    <cellStyle name="Obliczenia 2 22 16" xfId="23766"/>
    <cellStyle name="Obliczenia 2 22 16 2" xfId="23767"/>
    <cellStyle name="Obliczenia 2 22 16 3" xfId="23768"/>
    <cellStyle name="Obliczenia 2 22 16 4" xfId="23769"/>
    <cellStyle name="Obliczenia 2 22 17" xfId="23770"/>
    <cellStyle name="Obliczenia 2 22 17 2" xfId="23771"/>
    <cellStyle name="Obliczenia 2 22 17 3" xfId="23772"/>
    <cellStyle name="Obliczenia 2 22 17 4" xfId="23773"/>
    <cellStyle name="Obliczenia 2 22 18" xfId="23774"/>
    <cellStyle name="Obliczenia 2 22 18 2" xfId="23775"/>
    <cellStyle name="Obliczenia 2 22 18 3" xfId="23776"/>
    <cellStyle name="Obliczenia 2 22 18 4" xfId="23777"/>
    <cellStyle name="Obliczenia 2 22 19" xfId="23778"/>
    <cellStyle name="Obliczenia 2 22 19 2" xfId="23779"/>
    <cellStyle name="Obliczenia 2 22 19 3" xfId="23780"/>
    <cellStyle name="Obliczenia 2 22 19 4" xfId="23781"/>
    <cellStyle name="Obliczenia 2 22 2" xfId="23782"/>
    <cellStyle name="Obliczenia 2 22 2 2" xfId="23783"/>
    <cellStyle name="Obliczenia 2 22 2 3" xfId="23784"/>
    <cellStyle name="Obliczenia 2 22 2 4" xfId="23785"/>
    <cellStyle name="Obliczenia 2 22 20" xfId="23786"/>
    <cellStyle name="Obliczenia 2 22 20 2" xfId="23787"/>
    <cellStyle name="Obliczenia 2 22 20 3" xfId="23788"/>
    <cellStyle name="Obliczenia 2 22 20 4" xfId="23789"/>
    <cellStyle name="Obliczenia 2 22 21" xfId="23790"/>
    <cellStyle name="Obliczenia 2 22 21 2" xfId="23791"/>
    <cellStyle name="Obliczenia 2 22 21 3" xfId="23792"/>
    <cellStyle name="Obliczenia 2 22 22" xfId="23793"/>
    <cellStyle name="Obliczenia 2 22 22 2" xfId="23794"/>
    <cellStyle name="Obliczenia 2 22 22 3" xfId="23795"/>
    <cellStyle name="Obliczenia 2 22 23" xfId="23796"/>
    <cellStyle name="Obliczenia 2 22 23 2" xfId="23797"/>
    <cellStyle name="Obliczenia 2 22 23 3" xfId="23798"/>
    <cellStyle name="Obliczenia 2 22 24" xfId="23799"/>
    <cellStyle name="Obliczenia 2 22 24 2" xfId="23800"/>
    <cellStyle name="Obliczenia 2 22 24 3" xfId="23801"/>
    <cellStyle name="Obliczenia 2 22 25" xfId="23802"/>
    <cellStyle name="Obliczenia 2 22 25 2" xfId="23803"/>
    <cellStyle name="Obliczenia 2 22 25 3" xfId="23804"/>
    <cellStyle name="Obliczenia 2 22 26" xfId="23805"/>
    <cellStyle name="Obliczenia 2 22 26 2" xfId="23806"/>
    <cellStyle name="Obliczenia 2 22 26 3" xfId="23807"/>
    <cellStyle name="Obliczenia 2 22 27" xfId="23808"/>
    <cellStyle name="Obliczenia 2 22 27 2" xfId="23809"/>
    <cellStyle name="Obliczenia 2 22 27 3" xfId="23810"/>
    <cellStyle name="Obliczenia 2 22 28" xfId="23811"/>
    <cellStyle name="Obliczenia 2 22 28 2" xfId="23812"/>
    <cellStyle name="Obliczenia 2 22 28 3" xfId="23813"/>
    <cellStyle name="Obliczenia 2 22 29" xfId="23814"/>
    <cellStyle name="Obliczenia 2 22 29 2" xfId="23815"/>
    <cellStyle name="Obliczenia 2 22 29 3" xfId="23816"/>
    <cellStyle name="Obliczenia 2 22 3" xfId="23817"/>
    <cellStyle name="Obliczenia 2 22 3 2" xfId="23818"/>
    <cellStyle name="Obliczenia 2 22 3 3" xfId="23819"/>
    <cellStyle name="Obliczenia 2 22 3 4" xfId="23820"/>
    <cellStyle name="Obliczenia 2 22 30" xfId="23821"/>
    <cellStyle name="Obliczenia 2 22 30 2" xfId="23822"/>
    <cellStyle name="Obliczenia 2 22 30 3" xfId="23823"/>
    <cellStyle name="Obliczenia 2 22 31" xfId="23824"/>
    <cellStyle name="Obliczenia 2 22 31 2" xfId="23825"/>
    <cellStyle name="Obliczenia 2 22 31 3" xfId="23826"/>
    <cellStyle name="Obliczenia 2 22 32" xfId="23827"/>
    <cellStyle name="Obliczenia 2 22 32 2" xfId="23828"/>
    <cellStyle name="Obliczenia 2 22 32 3" xfId="23829"/>
    <cellStyle name="Obliczenia 2 22 33" xfId="23830"/>
    <cellStyle name="Obliczenia 2 22 33 2" xfId="23831"/>
    <cellStyle name="Obliczenia 2 22 33 3" xfId="23832"/>
    <cellStyle name="Obliczenia 2 22 34" xfId="23833"/>
    <cellStyle name="Obliczenia 2 22 34 2" xfId="23834"/>
    <cellStyle name="Obliczenia 2 22 34 3" xfId="23835"/>
    <cellStyle name="Obliczenia 2 22 35" xfId="23836"/>
    <cellStyle name="Obliczenia 2 22 35 2" xfId="23837"/>
    <cellStyle name="Obliczenia 2 22 35 3" xfId="23838"/>
    <cellStyle name="Obliczenia 2 22 36" xfId="23839"/>
    <cellStyle name="Obliczenia 2 22 36 2" xfId="23840"/>
    <cellStyle name="Obliczenia 2 22 36 3" xfId="23841"/>
    <cellStyle name="Obliczenia 2 22 37" xfId="23842"/>
    <cellStyle name="Obliczenia 2 22 37 2" xfId="23843"/>
    <cellStyle name="Obliczenia 2 22 37 3" xfId="23844"/>
    <cellStyle name="Obliczenia 2 22 38" xfId="23845"/>
    <cellStyle name="Obliczenia 2 22 38 2" xfId="23846"/>
    <cellStyle name="Obliczenia 2 22 38 3" xfId="23847"/>
    <cellStyle name="Obliczenia 2 22 39" xfId="23848"/>
    <cellStyle name="Obliczenia 2 22 39 2" xfId="23849"/>
    <cellStyle name="Obliczenia 2 22 39 3" xfId="23850"/>
    <cellStyle name="Obliczenia 2 22 4" xfId="23851"/>
    <cellStyle name="Obliczenia 2 22 4 2" xfId="23852"/>
    <cellStyle name="Obliczenia 2 22 4 3" xfId="23853"/>
    <cellStyle name="Obliczenia 2 22 4 4" xfId="23854"/>
    <cellStyle name="Obliczenia 2 22 40" xfId="23855"/>
    <cellStyle name="Obliczenia 2 22 40 2" xfId="23856"/>
    <cellStyle name="Obliczenia 2 22 40 3" xfId="23857"/>
    <cellStyle name="Obliczenia 2 22 41" xfId="23858"/>
    <cellStyle name="Obliczenia 2 22 41 2" xfId="23859"/>
    <cellStyle name="Obliczenia 2 22 41 3" xfId="23860"/>
    <cellStyle name="Obliczenia 2 22 42" xfId="23861"/>
    <cellStyle name="Obliczenia 2 22 42 2" xfId="23862"/>
    <cellStyle name="Obliczenia 2 22 42 3" xfId="23863"/>
    <cellStyle name="Obliczenia 2 22 43" xfId="23864"/>
    <cellStyle name="Obliczenia 2 22 43 2" xfId="23865"/>
    <cellStyle name="Obliczenia 2 22 43 3" xfId="23866"/>
    <cellStyle name="Obliczenia 2 22 44" xfId="23867"/>
    <cellStyle name="Obliczenia 2 22 44 2" xfId="23868"/>
    <cellStyle name="Obliczenia 2 22 44 3" xfId="23869"/>
    <cellStyle name="Obliczenia 2 22 45" xfId="23870"/>
    <cellStyle name="Obliczenia 2 22 45 2" xfId="23871"/>
    <cellStyle name="Obliczenia 2 22 45 3" xfId="23872"/>
    <cellStyle name="Obliczenia 2 22 46" xfId="23873"/>
    <cellStyle name="Obliczenia 2 22 46 2" xfId="23874"/>
    <cellStyle name="Obliczenia 2 22 46 3" xfId="23875"/>
    <cellStyle name="Obliczenia 2 22 47" xfId="23876"/>
    <cellStyle name="Obliczenia 2 22 47 2" xfId="23877"/>
    <cellStyle name="Obliczenia 2 22 47 3" xfId="23878"/>
    <cellStyle name="Obliczenia 2 22 48" xfId="23879"/>
    <cellStyle name="Obliczenia 2 22 48 2" xfId="23880"/>
    <cellStyle name="Obliczenia 2 22 48 3" xfId="23881"/>
    <cellStyle name="Obliczenia 2 22 49" xfId="23882"/>
    <cellStyle name="Obliczenia 2 22 49 2" xfId="23883"/>
    <cellStyle name="Obliczenia 2 22 49 3" xfId="23884"/>
    <cellStyle name="Obliczenia 2 22 5" xfId="23885"/>
    <cellStyle name="Obliczenia 2 22 5 2" xfId="23886"/>
    <cellStyle name="Obliczenia 2 22 5 3" xfId="23887"/>
    <cellStyle name="Obliczenia 2 22 5 4" xfId="23888"/>
    <cellStyle name="Obliczenia 2 22 50" xfId="23889"/>
    <cellStyle name="Obliczenia 2 22 50 2" xfId="23890"/>
    <cellStyle name="Obliczenia 2 22 50 3" xfId="23891"/>
    <cellStyle name="Obliczenia 2 22 51" xfId="23892"/>
    <cellStyle name="Obliczenia 2 22 51 2" xfId="23893"/>
    <cellStyle name="Obliczenia 2 22 51 3" xfId="23894"/>
    <cellStyle name="Obliczenia 2 22 52" xfId="23895"/>
    <cellStyle name="Obliczenia 2 22 52 2" xfId="23896"/>
    <cellStyle name="Obliczenia 2 22 52 3" xfId="23897"/>
    <cellStyle name="Obliczenia 2 22 53" xfId="23898"/>
    <cellStyle name="Obliczenia 2 22 53 2" xfId="23899"/>
    <cellStyle name="Obliczenia 2 22 53 3" xfId="23900"/>
    <cellStyle name="Obliczenia 2 22 54" xfId="23901"/>
    <cellStyle name="Obliczenia 2 22 54 2" xfId="23902"/>
    <cellStyle name="Obliczenia 2 22 54 3" xfId="23903"/>
    <cellStyle name="Obliczenia 2 22 55" xfId="23904"/>
    <cellStyle name="Obliczenia 2 22 55 2" xfId="23905"/>
    <cellStyle name="Obliczenia 2 22 55 3" xfId="23906"/>
    <cellStyle name="Obliczenia 2 22 56" xfId="23907"/>
    <cellStyle name="Obliczenia 2 22 56 2" xfId="23908"/>
    <cellStyle name="Obliczenia 2 22 56 3" xfId="23909"/>
    <cellStyle name="Obliczenia 2 22 57" xfId="23910"/>
    <cellStyle name="Obliczenia 2 22 58" xfId="23911"/>
    <cellStyle name="Obliczenia 2 22 6" xfId="23912"/>
    <cellStyle name="Obliczenia 2 22 6 2" xfId="23913"/>
    <cellStyle name="Obliczenia 2 22 6 3" xfId="23914"/>
    <cellStyle name="Obliczenia 2 22 6 4" xfId="23915"/>
    <cellStyle name="Obliczenia 2 22 7" xfId="23916"/>
    <cellStyle name="Obliczenia 2 22 7 2" xfId="23917"/>
    <cellStyle name="Obliczenia 2 22 7 3" xfId="23918"/>
    <cellStyle name="Obliczenia 2 22 7 4" xfId="23919"/>
    <cellStyle name="Obliczenia 2 22 8" xfId="23920"/>
    <cellStyle name="Obliczenia 2 22 8 2" xfId="23921"/>
    <cellStyle name="Obliczenia 2 22 8 3" xfId="23922"/>
    <cellStyle name="Obliczenia 2 22 8 4" xfId="23923"/>
    <cellStyle name="Obliczenia 2 22 9" xfId="23924"/>
    <cellStyle name="Obliczenia 2 22 9 2" xfId="23925"/>
    <cellStyle name="Obliczenia 2 22 9 3" xfId="23926"/>
    <cellStyle name="Obliczenia 2 22 9 4" xfId="23927"/>
    <cellStyle name="Obliczenia 2 23" xfId="23928"/>
    <cellStyle name="Obliczenia 2 23 10" xfId="23929"/>
    <cellStyle name="Obliczenia 2 23 10 2" xfId="23930"/>
    <cellStyle name="Obliczenia 2 23 10 3" xfId="23931"/>
    <cellStyle name="Obliczenia 2 23 10 4" xfId="23932"/>
    <cellStyle name="Obliczenia 2 23 11" xfId="23933"/>
    <cellStyle name="Obliczenia 2 23 11 2" xfId="23934"/>
    <cellStyle name="Obliczenia 2 23 11 3" xfId="23935"/>
    <cellStyle name="Obliczenia 2 23 11 4" xfId="23936"/>
    <cellStyle name="Obliczenia 2 23 12" xfId="23937"/>
    <cellStyle name="Obliczenia 2 23 12 2" xfId="23938"/>
    <cellStyle name="Obliczenia 2 23 12 3" xfId="23939"/>
    <cellStyle name="Obliczenia 2 23 12 4" xfId="23940"/>
    <cellStyle name="Obliczenia 2 23 13" xfId="23941"/>
    <cellStyle name="Obliczenia 2 23 13 2" xfId="23942"/>
    <cellStyle name="Obliczenia 2 23 13 3" xfId="23943"/>
    <cellStyle name="Obliczenia 2 23 13 4" xfId="23944"/>
    <cellStyle name="Obliczenia 2 23 14" xfId="23945"/>
    <cellStyle name="Obliczenia 2 23 14 2" xfId="23946"/>
    <cellStyle name="Obliczenia 2 23 14 3" xfId="23947"/>
    <cellStyle name="Obliczenia 2 23 14 4" xfId="23948"/>
    <cellStyle name="Obliczenia 2 23 15" xfId="23949"/>
    <cellStyle name="Obliczenia 2 23 15 2" xfId="23950"/>
    <cellStyle name="Obliczenia 2 23 15 3" xfId="23951"/>
    <cellStyle name="Obliczenia 2 23 15 4" xfId="23952"/>
    <cellStyle name="Obliczenia 2 23 16" xfId="23953"/>
    <cellStyle name="Obliczenia 2 23 16 2" xfId="23954"/>
    <cellStyle name="Obliczenia 2 23 16 3" xfId="23955"/>
    <cellStyle name="Obliczenia 2 23 16 4" xfId="23956"/>
    <cellStyle name="Obliczenia 2 23 17" xfId="23957"/>
    <cellStyle name="Obliczenia 2 23 17 2" xfId="23958"/>
    <cellStyle name="Obliczenia 2 23 17 3" xfId="23959"/>
    <cellStyle name="Obliczenia 2 23 17 4" xfId="23960"/>
    <cellStyle name="Obliczenia 2 23 18" xfId="23961"/>
    <cellStyle name="Obliczenia 2 23 18 2" xfId="23962"/>
    <cellStyle name="Obliczenia 2 23 18 3" xfId="23963"/>
    <cellStyle name="Obliczenia 2 23 18 4" xfId="23964"/>
    <cellStyle name="Obliczenia 2 23 19" xfId="23965"/>
    <cellStyle name="Obliczenia 2 23 19 2" xfId="23966"/>
    <cellStyle name="Obliczenia 2 23 19 3" xfId="23967"/>
    <cellStyle name="Obliczenia 2 23 19 4" xfId="23968"/>
    <cellStyle name="Obliczenia 2 23 2" xfId="23969"/>
    <cellStyle name="Obliczenia 2 23 2 2" xfId="23970"/>
    <cellStyle name="Obliczenia 2 23 2 3" xfId="23971"/>
    <cellStyle name="Obliczenia 2 23 2 4" xfId="23972"/>
    <cellStyle name="Obliczenia 2 23 20" xfId="23973"/>
    <cellStyle name="Obliczenia 2 23 20 2" xfId="23974"/>
    <cellStyle name="Obliczenia 2 23 20 3" xfId="23975"/>
    <cellStyle name="Obliczenia 2 23 20 4" xfId="23976"/>
    <cellStyle name="Obliczenia 2 23 21" xfId="23977"/>
    <cellStyle name="Obliczenia 2 23 21 2" xfId="23978"/>
    <cellStyle name="Obliczenia 2 23 21 3" xfId="23979"/>
    <cellStyle name="Obliczenia 2 23 22" xfId="23980"/>
    <cellStyle name="Obliczenia 2 23 22 2" xfId="23981"/>
    <cellStyle name="Obliczenia 2 23 22 3" xfId="23982"/>
    <cellStyle name="Obliczenia 2 23 23" xfId="23983"/>
    <cellStyle name="Obliczenia 2 23 23 2" xfId="23984"/>
    <cellStyle name="Obliczenia 2 23 23 3" xfId="23985"/>
    <cellStyle name="Obliczenia 2 23 24" xfId="23986"/>
    <cellStyle name="Obliczenia 2 23 24 2" xfId="23987"/>
    <cellStyle name="Obliczenia 2 23 24 3" xfId="23988"/>
    <cellStyle name="Obliczenia 2 23 25" xfId="23989"/>
    <cellStyle name="Obliczenia 2 23 25 2" xfId="23990"/>
    <cellStyle name="Obliczenia 2 23 25 3" xfId="23991"/>
    <cellStyle name="Obliczenia 2 23 26" xfId="23992"/>
    <cellStyle name="Obliczenia 2 23 26 2" xfId="23993"/>
    <cellStyle name="Obliczenia 2 23 26 3" xfId="23994"/>
    <cellStyle name="Obliczenia 2 23 27" xfId="23995"/>
    <cellStyle name="Obliczenia 2 23 27 2" xfId="23996"/>
    <cellStyle name="Obliczenia 2 23 27 3" xfId="23997"/>
    <cellStyle name="Obliczenia 2 23 28" xfId="23998"/>
    <cellStyle name="Obliczenia 2 23 28 2" xfId="23999"/>
    <cellStyle name="Obliczenia 2 23 28 3" xfId="24000"/>
    <cellStyle name="Obliczenia 2 23 29" xfId="24001"/>
    <cellStyle name="Obliczenia 2 23 29 2" xfId="24002"/>
    <cellStyle name="Obliczenia 2 23 29 3" xfId="24003"/>
    <cellStyle name="Obliczenia 2 23 3" xfId="24004"/>
    <cellStyle name="Obliczenia 2 23 3 2" xfId="24005"/>
    <cellStyle name="Obliczenia 2 23 3 3" xfId="24006"/>
    <cellStyle name="Obliczenia 2 23 3 4" xfId="24007"/>
    <cellStyle name="Obliczenia 2 23 30" xfId="24008"/>
    <cellStyle name="Obliczenia 2 23 30 2" xfId="24009"/>
    <cellStyle name="Obliczenia 2 23 30 3" xfId="24010"/>
    <cellStyle name="Obliczenia 2 23 31" xfId="24011"/>
    <cellStyle name="Obliczenia 2 23 31 2" xfId="24012"/>
    <cellStyle name="Obliczenia 2 23 31 3" xfId="24013"/>
    <cellStyle name="Obliczenia 2 23 32" xfId="24014"/>
    <cellStyle name="Obliczenia 2 23 32 2" xfId="24015"/>
    <cellStyle name="Obliczenia 2 23 32 3" xfId="24016"/>
    <cellStyle name="Obliczenia 2 23 33" xfId="24017"/>
    <cellStyle name="Obliczenia 2 23 33 2" xfId="24018"/>
    <cellStyle name="Obliczenia 2 23 33 3" xfId="24019"/>
    <cellStyle name="Obliczenia 2 23 34" xfId="24020"/>
    <cellStyle name="Obliczenia 2 23 34 2" xfId="24021"/>
    <cellStyle name="Obliczenia 2 23 34 3" xfId="24022"/>
    <cellStyle name="Obliczenia 2 23 35" xfId="24023"/>
    <cellStyle name="Obliczenia 2 23 35 2" xfId="24024"/>
    <cellStyle name="Obliczenia 2 23 35 3" xfId="24025"/>
    <cellStyle name="Obliczenia 2 23 36" xfId="24026"/>
    <cellStyle name="Obliczenia 2 23 36 2" xfId="24027"/>
    <cellStyle name="Obliczenia 2 23 36 3" xfId="24028"/>
    <cellStyle name="Obliczenia 2 23 37" xfId="24029"/>
    <cellStyle name="Obliczenia 2 23 37 2" xfId="24030"/>
    <cellStyle name="Obliczenia 2 23 37 3" xfId="24031"/>
    <cellStyle name="Obliczenia 2 23 38" xfId="24032"/>
    <cellStyle name="Obliczenia 2 23 38 2" xfId="24033"/>
    <cellStyle name="Obliczenia 2 23 38 3" xfId="24034"/>
    <cellStyle name="Obliczenia 2 23 39" xfId="24035"/>
    <cellStyle name="Obliczenia 2 23 39 2" xfId="24036"/>
    <cellStyle name="Obliczenia 2 23 39 3" xfId="24037"/>
    <cellStyle name="Obliczenia 2 23 4" xfId="24038"/>
    <cellStyle name="Obliczenia 2 23 4 2" xfId="24039"/>
    <cellStyle name="Obliczenia 2 23 4 3" xfId="24040"/>
    <cellStyle name="Obliczenia 2 23 4 4" xfId="24041"/>
    <cellStyle name="Obliczenia 2 23 40" xfId="24042"/>
    <cellStyle name="Obliczenia 2 23 40 2" xfId="24043"/>
    <cellStyle name="Obliczenia 2 23 40 3" xfId="24044"/>
    <cellStyle name="Obliczenia 2 23 41" xfId="24045"/>
    <cellStyle name="Obliczenia 2 23 41 2" xfId="24046"/>
    <cellStyle name="Obliczenia 2 23 41 3" xfId="24047"/>
    <cellStyle name="Obliczenia 2 23 42" xfId="24048"/>
    <cellStyle name="Obliczenia 2 23 42 2" xfId="24049"/>
    <cellStyle name="Obliczenia 2 23 42 3" xfId="24050"/>
    <cellStyle name="Obliczenia 2 23 43" xfId="24051"/>
    <cellStyle name="Obliczenia 2 23 43 2" xfId="24052"/>
    <cellStyle name="Obliczenia 2 23 43 3" xfId="24053"/>
    <cellStyle name="Obliczenia 2 23 44" xfId="24054"/>
    <cellStyle name="Obliczenia 2 23 44 2" xfId="24055"/>
    <cellStyle name="Obliczenia 2 23 44 3" xfId="24056"/>
    <cellStyle name="Obliczenia 2 23 45" xfId="24057"/>
    <cellStyle name="Obliczenia 2 23 45 2" xfId="24058"/>
    <cellStyle name="Obliczenia 2 23 45 3" xfId="24059"/>
    <cellStyle name="Obliczenia 2 23 46" xfId="24060"/>
    <cellStyle name="Obliczenia 2 23 46 2" xfId="24061"/>
    <cellStyle name="Obliczenia 2 23 46 3" xfId="24062"/>
    <cellStyle name="Obliczenia 2 23 47" xfId="24063"/>
    <cellStyle name="Obliczenia 2 23 47 2" xfId="24064"/>
    <cellStyle name="Obliczenia 2 23 47 3" xfId="24065"/>
    <cellStyle name="Obliczenia 2 23 48" xfId="24066"/>
    <cellStyle name="Obliczenia 2 23 48 2" xfId="24067"/>
    <cellStyle name="Obliczenia 2 23 48 3" xfId="24068"/>
    <cellStyle name="Obliczenia 2 23 49" xfId="24069"/>
    <cellStyle name="Obliczenia 2 23 49 2" xfId="24070"/>
    <cellStyle name="Obliczenia 2 23 49 3" xfId="24071"/>
    <cellStyle name="Obliczenia 2 23 5" xfId="24072"/>
    <cellStyle name="Obliczenia 2 23 5 2" xfId="24073"/>
    <cellStyle name="Obliczenia 2 23 5 3" xfId="24074"/>
    <cellStyle name="Obliczenia 2 23 5 4" xfId="24075"/>
    <cellStyle name="Obliczenia 2 23 50" xfId="24076"/>
    <cellStyle name="Obliczenia 2 23 50 2" xfId="24077"/>
    <cellStyle name="Obliczenia 2 23 50 3" xfId="24078"/>
    <cellStyle name="Obliczenia 2 23 51" xfId="24079"/>
    <cellStyle name="Obliczenia 2 23 51 2" xfId="24080"/>
    <cellStyle name="Obliczenia 2 23 51 3" xfId="24081"/>
    <cellStyle name="Obliczenia 2 23 52" xfId="24082"/>
    <cellStyle name="Obliczenia 2 23 52 2" xfId="24083"/>
    <cellStyle name="Obliczenia 2 23 52 3" xfId="24084"/>
    <cellStyle name="Obliczenia 2 23 53" xfId="24085"/>
    <cellStyle name="Obliczenia 2 23 53 2" xfId="24086"/>
    <cellStyle name="Obliczenia 2 23 53 3" xfId="24087"/>
    <cellStyle name="Obliczenia 2 23 54" xfId="24088"/>
    <cellStyle name="Obliczenia 2 23 54 2" xfId="24089"/>
    <cellStyle name="Obliczenia 2 23 54 3" xfId="24090"/>
    <cellStyle name="Obliczenia 2 23 55" xfId="24091"/>
    <cellStyle name="Obliczenia 2 23 55 2" xfId="24092"/>
    <cellStyle name="Obliczenia 2 23 55 3" xfId="24093"/>
    <cellStyle name="Obliczenia 2 23 56" xfId="24094"/>
    <cellStyle name="Obliczenia 2 23 56 2" xfId="24095"/>
    <cellStyle name="Obliczenia 2 23 56 3" xfId="24096"/>
    <cellStyle name="Obliczenia 2 23 57" xfId="24097"/>
    <cellStyle name="Obliczenia 2 23 58" xfId="24098"/>
    <cellStyle name="Obliczenia 2 23 6" xfId="24099"/>
    <cellStyle name="Obliczenia 2 23 6 2" xfId="24100"/>
    <cellStyle name="Obliczenia 2 23 6 3" xfId="24101"/>
    <cellStyle name="Obliczenia 2 23 6 4" xfId="24102"/>
    <cellStyle name="Obliczenia 2 23 7" xfId="24103"/>
    <cellStyle name="Obliczenia 2 23 7 2" xfId="24104"/>
    <cellStyle name="Obliczenia 2 23 7 3" xfId="24105"/>
    <cellStyle name="Obliczenia 2 23 7 4" xfId="24106"/>
    <cellStyle name="Obliczenia 2 23 8" xfId="24107"/>
    <cellStyle name="Obliczenia 2 23 8 2" xfId="24108"/>
    <cellStyle name="Obliczenia 2 23 8 3" xfId="24109"/>
    <cellStyle name="Obliczenia 2 23 8 4" xfId="24110"/>
    <cellStyle name="Obliczenia 2 23 9" xfId="24111"/>
    <cellStyle name="Obliczenia 2 23 9 2" xfId="24112"/>
    <cellStyle name="Obliczenia 2 23 9 3" xfId="24113"/>
    <cellStyle name="Obliczenia 2 23 9 4" xfId="24114"/>
    <cellStyle name="Obliczenia 2 24" xfId="24115"/>
    <cellStyle name="Obliczenia 2 24 10" xfId="24116"/>
    <cellStyle name="Obliczenia 2 24 10 2" xfId="24117"/>
    <cellStyle name="Obliczenia 2 24 10 3" xfId="24118"/>
    <cellStyle name="Obliczenia 2 24 10 4" xfId="24119"/>
    <cellStyle name="Obliczenia 2 24 11" xfId="24120"/>
    <cellStyle name="Obliczenia 2 24 11 2" xfId="24121"/>
    <cellStyle name="Obliczenia 2 24 11 3" xfId="24122"/>
    <cellStyle name="Obliczenia 2 24 11 4" xfId="24123"/>
    <cellStyle name="Obliczenia 2 24 12" xfId="24124"/>
    <cellStyle name="Obliczenia 2 24 12 2" xfId="24125"/>
    <cellStyle name="Obliczenia 2 24 12 3" xfId="24126"/>
    <cellStyle name="Obliczenia 2 24 12 4" xfId="24127"/>
    <cellStyle name="Obliczenia 2 24 13" xfId="24128"/>
    <cellStyle name="Obliczenia 2 24 13 2" xfId="24129"/>
    <cellStyle name="Obliczenia 2 24 13 3" xfId="24130"/>
    <cellStyle name="Obliczenia 2 24 13 4" xfId="24131"/>
    <cellStyle name="Obliczenia 2 24 14" xfId="24132"/>
    <cellStyle name="Obliczenia 2 24 14 2" xfId="24133"/>
    <cellStyle name="Obliczenia 2 24 14 3" xfId="24134"/>
    <cellStyle name="Obliczenia 2 24 14 4" xfId="24135"/>
    <cellStyle name="Obliczenia 2 24 15" xfId="24136"/>
    <cellStyle name="Obliczenia 2 24 15 2" xfId="24137"/>
    <cellStyle name="Obliczenia 2 24 15 3" xfId="24138"/>
    <cellStyle name="Obliczenia 2 24 15 4" xfId="24139"/>
    <cellStyle name="Obliczenia 2 24 16" xfId="24140"/>
    <cellStyle name="Obliczenia 2 24 16 2" xfId="24141"/>
    <cellStyle name="Obliczenia 2 24 16 3" xfId="24142"/>
    <cellStyle name="Obliczenia 2 24 16 4" xfId="24143"/>
    <cellStyle name="Obliczenia 2 24 17" xfId="24144"/>
    <cellStyle name="Obliczenia 2 24 17 2" xfId="24145"/>
    <cellStyle name="Obliczenia 2 24 17 3" xfId="24146"/>
    <cellStyle name="Obliczenia 2 24 17 4" xfId="24147"/>
    <cellStyle name="Obliczenia 2 24 18" xfId="24148"/>
    <cellStyle name="Obliczenia 2 24 18 2" xfId="24149"/>
    <cellStyle name="Obliczenia 2 24 18 3" xfId="24150"/>
    <cellStyle name="Obliczenia 2 24 18 4" xfId="24151"/>
    <cellStyle name="Obliczenia 2 24 19" xfId="24152"/>
    <cellStyle name="Obliczenia 2 24 19 2" xfId="24153"/>
    <cellStyle name="Obliczenia 2 24 19 3" xfId="24154"/>
    <cellStyle name="Obliczenia 2 24 19 4" xfId="24155"/>
    <cellStyle name="Obliczenia 2 24 2" xfId="24156"/>
    <cellStyle name="Obliczenia 2 24 2 2" xfId="24157"/>
    <cellStyle name="Obliczenia 2 24 2 3" xfId="24158"/>
    <cellStyle name="Obliczenia 2 24 2 4" xfId="24159"/>
    <cellStyle name="Obliczenia 2 24 20" xfId="24160"/>
    <cellStyle name="Obliczenia 2 24 20 2" xfId="24161"/>
    <cellStyle name="Obliczenia 2 24 20 3" xfId="24162"/>
    <cellStyle name="Obliczenia 2 24 20 4" xfId="24163"/>
    <cellStyle name="Obliczenia 2 24 21" xfId="24164"/>
    <cellStyle name="Obliczenia 2 24 21 2" xfId="24165"/>
    <cellStyle name="Obliczenia 2 24 21 3" xfId="24166"/>
    <cellStyle name="Obliczenia 2 24 22" xfId="24167"/>
    <cellStyle name="Obliczenia 2 24 22 2" xfId="24168"/>
    <cellStyle name="Obliczenia 2 24 22 3" xfId="24169"/>
    <cellStyle name="Obliczenia 2 24 23" xfId="24170"/>
    <cellStyle name="Obliczenia 2 24 23 2" xfId="24171"/>
    <cellStyle name="Obliczenia 2 24 23 3" xfId="24172"/>
    <cellStyle name="Obliczenia 2 24 24" xfId="24173"/>
    <cellStyle name="Obliczenia 2 24 24 2" xfId="24174"/>
    <cellStyle name="Obliczenia 2 24 24 3" xfId="24175"/>
    <cellStyle name="Obliczenia 2 24 25" xfId="24176"/>
    <cellStyle name="Obliczenia 2 24 25 2" xfId="24177"/>
    <cellStyle name="Obliczenia 2 24 25 3" xfId="24178"/>
    <cellStyle name="Obliczenia 2 24 26" xfId="24179"/>
    <cellStyle name="Obliczenia 2 24 26 2" xfId="24180"/>
    <cellStyle name="Obliczenia 2 24 26 3" xfId="24181"/>
    <cellStyle name="Obliczenia 2 24 27" xfId="24182"/>
    <cellStyle name="Obliczenia 2 24 27 2" xfId="24183"/>
    <cellStyle name="Obliczenia 2 24 27 3" xfId="24184"/>
    <cellStyle name="Obliczenia 2 24 28" xfId="24185"/>
    <cellStyle name="Obliczenia 2 24 28 2" xfId="24186"/>
    <cellStyle name="Obliczenia 2 24 28 3" xfId="24187"/>
    <cellStyle name="Obliczenia 2 24 29" xfId="24188"/>
    <cellStyle name="Obliczenia 2 24 29 2" xfId="24189"/>
    <cellStyle name="Obliczenia 2 24 29 3" xfId="24190"/>
    <cellStyle name="Obliczenia 2 24 3" xfId="24191"/>
    <cellStyle name="Obliczenia 2 24 3 2" xfId="24192"/>
    <cellStyle name="Obliczenia 2 24 3 3" xfId="24193"/>
    <cellStyle name="Obliczenia 2 24 3 4" xfId="24194"/>
    <cellStyle name="Obliczenia 2 24 30" xfId="24195"/>
    <cellStyle name="Obliczenia 2 24 30 2" xfId="24196"/>
    <cellStyle name="Obliczenia 2 24 30 3" xfId="24197"/>
    <cellStyle name="Obliczenia 2 24 31" xfId="24198"/>
    <cellStyle name="Obliczenia 2 24 31 2" xfId="24199"/>
    <cellStyle name="Obliczenia 2 24 31 3" xfId="24200"/>
    <cellStyle name="Obliczenia 2 24 32" xfId="24201"/>
    <cellStyle name="Obliczenia 2 24 32 2" xfId="24202"/>
    <cellStyle name="Obliczenia 2 24 32 3" xfId="24203"/>
    <cellStyle name="Obliczenia 2 24 33" xfId="24204"/>
    <cellStyle name="Obliczenia 2 24 33 2" xfId="24205"/>
    <cellStyle name="Obliczenia 2 24 33 3" xfId="24206"/>
    <cellStyle name="Obliczenia 2 24 34" xfId="24207"/>
    <cellStyle name="Obliczenia 2 24 34 2" xfId="24208"/>
    <cellStyle name="Obliczenia 2 24 34 3" xfId="24209"/>
    <cellStyle name="Obliczenia 2 24 35" xfId="24210"/>
    <cellStyle name="Obliczenia 2 24 35 2" xfId="24211"/>
    <cellStyle name="Obliczenia 2 24 35 3" xfId="24212"/>
    <cellStyle name="Obliczenia 2 24 36" xfId="24213"/>
    <cellStyle name="Obliczenia 2 24 36 2" xfId="24214"/>
    <cellStyle name="Obliczenia 2 24 36 3" xfId="24215"/>
    <cellStyle name="Obliczenia 2 24 37" xfId="24216"/>
    <cellStyle name="Obliczenia 2 24 37 2" xfId="24217"/>
    <cellStyle name="Obliczenia 2 24 37 3" xfId="24218"/>
    <cellStyle name="Obliczenia 2 24 38" xfId="24219"/>
    <cellStyle name="Obliczenia 2 24 38 2" xfId="24220"/>
    <cellStyle name="Obliczenia 2 24 38 3" xfId="24221"/>
    <cellStyle name="Obliczenia 2 24 39" xfId="24222"/>
    <cellStyle name="Obliczenia 2 24 39 2" xfId="24223"/>
    <cellStyle name="Obliczenia 2 24 39 3" xfId="24224"/>
    <cellStyle name="Obliczenia 2 24 4" xfId="24225"/>
    <cellStyle name="Obliczenia 2 24 4 2" xfId="24226"/>
    <cellStyle name="Obliczenia 2 24 4 3" xfId="24227"/>
    <cellStyle name="Obliczenia 2 24 4 4" xfId="24228"/>
    <cellStyle name="Obliczenia 2 24 40" xfId="24229"/>
    <cellStyle name="Obliczenia 2 24 40 2" xfId="24230"/>
    <cellStyle name="Obliczenia 2 24 40 3" xfId="24231"/>
    <cellStyle name="Obliczenia 2 24 41" xfId="24232"/>
    <cellStyle name="Obliczenia 2 24 41 2" xfId="24233"/>
    <cellStyle name="Obliczenia 2 24 41 3" xfId="24234"/>
    <cellStyle name="Obliczenia 2 24 42" xfId="24235"/>
    <cellStyle name="Obliczenia 2 24 42 2" xfId="24236"/>
    <cellStyle name="Obliczenia 2 24 42 3" xfId="24237"/>
    <cellStyle name="Obliczenia 2 24 43" xfId="24238"/>
    <cellStyle name="Obliczenia 2 24 43 2" xfId="24239"/>
    <cellStyle name="Obliczenia 2 24 43 3" xfId="24240"/>
    <cellStyle name="Obliczenia 2 24 44" xfId="24241"/>
    <cellStyle name="Obliczenia 2 24 44 2" xfId="24242"/>
    <cellStyle name="Obliczenia 2 24 44 3" xfId="24243"/>
    <cellStyle name="Obliczenia 2 24 45" xfId="24244"/>
    <cellStyle name="Obliczenia 2 24 45 2" xfId="24245"/>
    <cellStyle name="Obliczenia 2 24 45 3" xfId="24246"/>
    <cellStyle name="Obliczenia 2 24 46" xfId="24247"/>
    <cellStyle name="Obliczenia 2 24 46 2" xfId="24248"/>
    <cellStyle name="Obliczenia 2 24 46 3" xfId="24249"/>
    <cellStyle name="Obliczenia 2 24 47" xfId="24250"/>
    <cellStyle name="Obliczenia 2 24 47 2" xfId="24251"/>
    <cellStyle name="Obliczenia 2 24 47 3" xfId="24252"/>
    <cellStyle name="Obliczenia 2 24 48" xfId="24253"/>
    <cellStyle name="Obliczenia 2 24 48 2" xfId="24254"/>
    <cellStyle name="Obliczenia 2 24 48 3" xfId="24255"/>
    <cellStyle name="Obliczenia 2 24 49" xfId="24256"/>
    <cellStyle name="Obliczenia 2 24 49 2" xfId="24257"/>
    <cellStyle name="Obliczenia 2 24 49 3" xfId="24258"/>
    <cellStyle name="Obliczenia 2 24 5" xfId="24259"/>
    <cellStyle name="Obliczenia 2 24 5 2" xfId="24260"/>
    <cellStyle name="Obliczenia 2 24 5 3" xfId="24261"/>
    <cellStyle name="Obliczenia 2 24 5 4" xfId="24262"/>
    <cellStyle name="Obliczenia 2 24 50" xfId="24263"/>
    <cellStyle name="Obliczenia 2 24 50 2" xfId="24264"/>
    <cellStyle name="Obliczenia 2 24 50 3" xfId="24265"/>
    <cellStyle name="Obliczenia 2 24 51" xfId="24266"/>
    <cellStyle name="Obliczenia 2 24 51 2" xfId="24267"/>
    <cellStyle name="Obliczenia 2 24 51 3" xfId="24268"/>
    <cellStyle name="Obliczenia 2 24 52" xfId="24269"/>
    <cellStyle name="Obliczenia 2 24 52 2" xfId="24270"/>
    <cellStyle name="Obliczenia 2 24 52 3" xfId="24271"/>
    <cellStyle name="Obliczenia 2 24 53" xfId="24272"/>
    <cellStyle name="Obliczenia 2 24 53 2" xfId="24273"/>
    <cellStyle name="Obliczenia 2 24 53 3" xfId="24274"/>
    <cellStyle name="Obliczenia 2 24 54" xfId="24275"/>
    <cellStyle name="Obliczenia 2 24 54 2" xfId="24276"/>
    <cellStyle name="Obliczenia 2 24 54 3" xfId="24277"/>
    <cellStyle name="Obliczenia 2 24 55" xfId="24278"/>
    <cellStyle name="Obliczenia 2 24 55 2" xfId="24279"/>
    <cellStyle name="Obliczenia 2 24 55 3" xfId="24280"/>
    <cellStyle name="Obliczenia 2 24 56" xfId="24281"/>
    <cellStyle name="Obliczenia 2 24 56 2" xfId="24282"/>
    <cellStyle name="Obliczenia 2 24 56 3" xfId="24283"/>
    <cellStyle name="Obliczenia 2 24 57" xfId="24284"/>
    <cellStyle name="Obliczenia 2 24 58" xfId="24285"/>
    <cellStyle name="Obliczenia 2 24 6" xfId="24286"/>
    <cellStyle name="Obliczenia 2 24 6 2" xfId="24287"/>
    <cellStyle name="Obliczenia 2 24 6 3" xfId="24288"/>
    <cellStyle name="Obliczenia 2 24 6 4" xfId="24289"/>
    <cellStyle name="Obliczenia 2 24 7" xfId="24290"/>
    <cellStyle name="Obliczenia 2 24 7 2" xfId="24291"/>
    <cellStyle name="Obliczenia 2 24 7 3" xfId="24292"/>
    <cellStyle name="Obliczenia 2 24 7 4" xfId="24293"/>
    <cellStyle name="Obliczenia 2 24 8" xfId="24294"/>
    <cellStyle name="Obliczenia 2 24 8 2" xfId="24295"/>
    <cellStyle name="Obliczenia 2 24 8 3" xfId="24296"/>
    <cellStyle name="Obliczenia 2 24 8 4" xfId="24297"/>
    <cellStyle name="Obliczenia 2 24 9" xfId="24298"/>
    <cellStyle name="Obliczenia 2 24 9 2" xfId="24299"/>
    <cellStyle name="Obliczenia 2 24 9 3" xfId="24300"/>
    <cellStyle name="Obliczenia 2 24 9 4" xfId="24301"/>
    <cellStyle name="Obliczenia 2 25" xfId="24302"/>
    <cellStyle name="Obliczenia 2 25 10" xfId="24303"/>
    <cellStyle name="Obliczenia 2 25 10 2" xfId="24304"/>
    <cellStyle name="Obliczenia 2 25 10 3" xfId="24305"/>
    <cellStyle name="Obliczenia 2 25 10 4" xfId="24306"/>
    <cellStyle name="Obliczenia 2 25 11" xfId="24307"/>
    <cellStyle name="Obliczenia 2 25 11 2" xfId="24308"/>
    <cellStyle name="Obliczenia 2 25 11 3" xfId="24309"/>
    <cellStyle name="Obliczenia 2 25 11 4" xfId="24310"/>
    <cellStyle name="Obliczenia 2 25 12" xfId="24311"/>
    <cellStyle name="Obliczenia 2 25 12 2" xfId="24312"/>
    <cellStyle name="Obliczenia 2 25 12 3" xfId="24313"/>
    <cellStyle name="Obliczenia 2 25 12 4" xfId="24314"/>
    <cellStyle name="Obliczenia 2 25 13" xfId="24315"/>
    <cellStyle name="Obliczenia 2 25 13 2" xfId="24316"/>
    <cellStyle name="Obliczenia 2 25 13 3" xfId="24317"/>
    <cellStyle name="Obliczenia 2 25 13 4" xfId="24318"/>
    <cellStyle name="Obliczenia 2 25 14" xfId="24319"/>
    <cellStyle name="Obliczenia 2 25 14 2" xfId="24320"/>
    <cellStyle name="Obliczenia 2 25 14 3" xfId="24321"/>
    <cellStyle name="Obliczenia 2 25 14 4" xfId="24322"/>
    <cellStyle name="Obliczenia 2 25 15" xfId="24323"/>
    <cellStyle name="Obliczenia 2 25 15 2" xfId="24324"/>
    <cellStyle name="Obliczenia 2 25 15 3" xfId="24325"/>
    <cellStyle name="Obliczenia 2 25 15 4" xfId="24326"/>
    <cellStyle name="Obliczenia 2 25 16" xfId="24327"/>
    <cellStyle name="Obliczenia 2 25 16 2" xfId="24328"/>
    <cellStyle name="Obliczenia 2 25 16 3" xfId="24329"/>
    <cellStyle name="Obliczenia 2 25 16 4" xfId="24330"/>
    <cellStyle name="Obliczenia 2 25 17" xfId="24331"/>
    <cellStyle name="Obliczenia 2 25 17 2" xfId="24332"/>
    <cellStyle name="Obliczenia 2 25 17 3" xfId="24333"/>
    <cellStyle name="Obliczenia 2 25 17 4" xfId="24334"/>
    <cellStyle name="Obliczenia 2 25 18" xfId="24335"/>
    <cellStyle name="Obliczenia 2 25 18 2" xfId="24336"/>
    <cellStyle name="Obliczenia 2 25 18 3" xfId="24337"/>
    <cellStyle name="Obliczenia 2 25 18 4" xfId="24338"/>
    <cellStyle name="Obliczenia 2 25 19" xfId="24339"/>
    <cellStyle name="Obliczenia 2 25 19 2" xfId="24340"/>
    <cellStyle name="Obliczenia 2 25 19 3" xfId="24341"/>
    <cellStyle name="Obliczenia 2 25 19 4" xfId="24342"/>
    <cellStyle name="Obliczenia 2 25 2" xfId="24343"/>
    <cellStyle name="Obliczenia 2 25 2 2" xfId="24344"/>
    <cellStyle name="Obliczenia 2 25 2 3" xfId="24345"/>
    <cellStyle name="Obliczenia 2 25 2 4" xfId="24346"/>
    <cellStyle name="Obliczenia 2 25 20" xfId="24347"/>
    <cellStyle name="Obliczenia 2 25 20 2" xfId="24348"/>
    <cellStyle name="Obliczenia 2 25 20 3" xfId="24349"/>
    <cellStyle name="Obliczenia 2 25 20 4" xfId="24350"/>
    <cellStyle name="Obliczenia 2 25 21" xfId="24351"/>
    <cellStyle name="Obliczenia 2 25 21 2" xfId="24352"/>
    <cellStyle name="Obliczenia 2 25 21 3" xfId="24353"/>
    <cellStyle name="Obliczenia 2 25 22" xfId="24354"/>
    <cellStyle name="Obliczenia 2 25 22 2" xfId="24355"/>
    <cellStyle name="Obliczenia 2 25 22 3" xfId="24356"/>
    <cellStyle name="Obliczenia 2 25 23" xfId="24357"/>
    <cellStyle name="Obliczenia 2 25 23 2" xfId="24358"/>
    <cellStyle name="Obliczenia 2 25 23 3" xfId="24359"/>
    <cellStyle name="Obliczenia 2 25 24" xfId="24360"/>
    <cellStyle name="Obliczenia 2 25 24 2" xfId="24361"/>
    <cellStyle name="Obliczenia 2 25 24 3" xfId="24362"/>
    <cellStyle name="Obliczenia 2 25 25" xfId="24363"/>
    <cellStyle name="Obliczenia 2 25 25 2" xfId="24364"/>
    <cellStyle name="Obliczenia 2 25 25 3" xfId="24365"/>
    <cellStyle name="Obliczenia 2 25 26" xfId="24366"/>
    <cellStyle name="Obliczenia 2 25 26 2" xfId="24367"/>
    <cellStyle name="Obliczenia 2 25 26 3" xfId="24368"/>
    <cellStyle name="Obliczenia 2 25 27" xfId="24369"/>
    <cellStyle name="Obliczenia 2 25 27 2" xfId="24370"/>
    <cellStyle name="Obliczenia 2 25 27 3" xfId="24371"/>
    <cellStyle name="Obliczenia 2 25 28" xfId="24372"/>
    <cellStyle name="Obliczenia 2 25 28 2" xfId="24373"/>
    <cellStyle name="Obliczenia 2 25 28 3" xfId="24374"/>
    <cellStyle name="Obliczenia 2 25 29" xfId="24375"/>
    <cellStyle name="Obliczenia 2 25 29 2" xfId="24376"/>
    <cellStyle name="Obliczenia 2 25 29 3" xfId="24377"/>
    <cellStyle name="Obliczenia 2 25 3" xfId="24378"/>
    <cellStyle name="Obliczenia 2 25 3 2" xfId="24379"/>
    <cellStyle name="Obliczenia 2 25 3 3" xfId="24380"/>
    <cellStyle name="Obliczenia 2 25 3 4" xfId="24381"/>
    <cellStyle name="Obliczenia 2 25 30" xfId="24382"/>
    <cellStyle name="Obliczenia 2 25 30 2" xfId="24383"/>
    <cellStyle name="Obliczenia 2 25 30 3" xfId="24384"/>
    <cellStyle name="Obliczenia 2 25 31" xfId="24385"/>
    <cellStyle name="Obliczenia 2 25 31 2" xfId="24386"/>
    <cellStyle name="Obliczenia 2 25 31 3" xfId="24387"/>
    <cellStyle name="Obliczenia 2 25 32" xfId="24388"/>
    <cellStyle name="Obliczenia 2 25 32 2" xfId="24389"/>
    <cellStyle name="Obliczenia 2 25 32 3" xfId="24390"/>
    <cellStyle name="Obliczenia 2 25 33" xfId="24391"/>
    <cellStyle name="Obliczenia 2 25 33 2" xfId="24392"/>
    <cellStyle name="Obliczenia 2 25 33 3" xfId="24393"/>
    <cellStyle name="Obliczenia 2 25 34" xfId="24394"/>
    <cellStyle name="Obliczenia 2 25 34 2" xfId="24395"/>
    <cellStyle name="Obliczenia 2 25 34 3" xfId="24396"/>
    <cellStyle name="Obliczenia 2 25 35" xfId="24397"/>
    <cellStyle name="Obliczenia 2 25 35 2" xfId="24398"/>
    <cellStyle name="Obliczenia 2 25 35 3" xfId="24399"/>
    <cellStyle name="Obliczenia 2 25 36" xfId="24400"/>
    <cellStyle name="Obliczenia 2 25 36 2" xfId="24401"/>
    <cellStyle name="Obliczenia 2 25 36 3" xfId="24402"/>
    <cellStyle name="Obliczenia 2 25 37" xfId="24403"/>
    <cellStyle name="Obliczenia 2 25 37 2" xfId="24404"/>
    <cellStyle name="Obliczenia 2 25 37 3" xfId="24405"/>
    <cellStyle name="Obliczenia 2 25 38" xfId="24406"/>
    <cellStyle name="Obliczenia 2 25 38 2" xfId="24407"/>
    <cellStyle name="Obliczenia 2 25 38 3" xfId="24408"/>
    <cellStyle name="Obliczenia 2 25 39" xfId="24409"/>
    <cellStyle name="Obliczenia 2 25 39 2" xfId="24410"/>
    <cellStyle name="Obliczenia 2 25 39 3" xfId="24411"/>
    <cellStyle name="Obliczenia 2 25 4" xfId="24412"/>
    <cellStyle name="Obliczenia 2 25 4 2" xfId="24413"/>
    <cellStyle name="Obliczenia 2 25 4 3" xfId="24414"/>
    <cellStyle name="Obliczenia 2 25 4 4" xfId="24415"/>
    <cellStyle name="Obliczenia 2 25 40" xfId="24416"/>
    <cellStyle name="Obliczenia 2 25 40 2" xfId="24417"/>
    <cellStyle name="Obliczenia 2 25 40 3" xfId="24418"/>
    <cellStyle name="Obliczenia 2 25 41" xfId="24419"/>
    <cellStyle name="Obliczenia 2 25 41 2" xfId="24420"/>
    <cellStyle name="Obliczenia 2 25 41 3" xfId="24421"/>
    <cellStyle name="Obliczenia 2 25 42" xfId="24422"/>
    <cellStyle name="Obliczenia 2 25 42 2" xfId="24423"/>
    <cellStyle name="Obliczenia 2 25 42 3" xfId="24424"/>
    <cellStyle name="Obliczenia 2 25 43" xfId="24425"/>
    <cellStyle name="Obliczenia 2 25 43 2" xfId="24426"/>
    <cellStyle name="Obliczenia 2 25 43 3" xfId="24427"/>
    <cellStyle name="Obliczenia 2 25 44" xfId="24428"/>
    <cellStyle name="Obliczenia 2 25 44 2" xfId="24429"/>
    <cellStyle name="Obliczenia 2 25 44 3" xfId="24430"/>
    <cellStyle name="Obliczenia 2 25 45" xfId="24431"/>
    <cellStyle name="Obliczenia 2 25 45 2" xfId="24432"/>
    <cellStyle name="Obliczenia 2 25 45 3" xfId="24433"/>
    <cellStyle name="Obliczenia 2 25 46" xfId="24434"/>
    <cellStyle name="Obliczenia 2 25 46 2" xfId="24435"/>
    <cellStyle name="Obliczenia 2 25 46 3" xfId="24436"/>
    <cellStyle name="Obliczenia 2 25 47" xfId="24437"/>
    <cellStyle name="Obliczenia 2 25 47 2" xfId="24438"/>
    <cellStyle name="Obliczenia 2 25 47 3" xfId="24439"/>
    <cellStyle name="Obliczenia 2 25 48" xfId="24440"/>
    <cellStyle name="Obliczenia 2 25 48 2" xfId="24441"/>
    <cellStyle name="Obliczenia 2 25 48 3" xfId="24442"/>
    <cellStyle name="Obliczenia 2 25 49" xfId="24443"/>
    <cellStyle name="Obliczenia 2 25 49 2" xfId="24444"/>
    <cellStyle name="Obliczenia 2 25 49 3" xfId="24445"/>
    <cellStyle name="Obliczenia 2 25 5" xfId="24446"/>
    <cellStyle name="Obliczenia 2 25 5 2" xfId="24447"/>
    <cellStyle name="Obliczenia 2 25 5 3" xfId="24448"/>
    <cellStyle name="Obliczenia 2 25 5 4" xfId="24449"/>
    <cellStyle name="Obliczenia 2 25 50" xfId="24450"/>
    <cellStyle name="Obliczenia 2 25 50 2" xfId="24451"/>
    <cellStyle name="Obliczenia 2 25 50 3" xfId="24452"/>
    <cellStyle name="Obliczenia 2 25 51" xfId="24453"/>
    <cellStyle name="Obliczenia 2 25 51 2" xfId="24454"/>
    <cellStyle name="Obliczenia 2 25 51 3" xfId="24455"/>
    <cellStyle name="Obliczenia 2 25 52" xfId="24456"/>
    <cellStyle name="Obliczenia 2 25 52 2" xfId="24457"/>
    <cellStyle name="Obliczenia 2 25 52 3" xfId="24458"/>
    <cellStyle name="Obliczenia 2 25 53" xfId="24459"/>
    <cellStyle name="Obliczenia 2 25 53 2" xfId="24460"/>
    <cellStyle name="Obliczenia 2 25 53 3" xfId="24461"/>
    <cellStyle name="Obliczenia 2 25 54" xfId="24462"/>
    <cellStyle name="Obliczenia 2 25 54 2" xfId="24463"/>
    <cellStyle name="Obliczenia 2 25 54 3" xfId="24464"/>
    <cellStyle name="Obliczenia 2 25 55" xfId="24465"/>
    <cellStyle name="Obliczenia 2 25 55 2" xfId="24466"/>
    <cellStyle name="Obliczenia 2 25 55 3" xfId="24467"/>
    <cellStyle name="Obliczenia 2 25 56" xfId="24468"/>
    <cellStyle name="Obliczenia 2 25 56 2" xfId="24469"/>
    <cellStyle name="Obliczenia 2 25 56 3" xfId="24470"/>
    <cellStyle name="Obliczenia 2 25 57" xfId="24471"/>
    <cellStyle name="Obliczenia 2 25 58" xfId="24472"/>
    <cellStyle name="Obliczenia 2 25 6" xfId="24473"/>
    <cellStyle name="Obliczenia 2 25 6 2" xfId="24474"/>
    <cellStyle name="Obliczenia 2 25 6 3" xfId="24475"/>
    <cellStyle name="Obliczenia 2 25 6 4" xfId="24476"/>
    <cellStyle name="Obliczenia 2 25 7" xfId="24477"/>
    <cellStyle name="Obliczenia 2 25 7 2" xfId="24478"/>
    <cellStyle name="Obliczenia 2 25 7 3" xfId="24479"/>
    <cellStyle name="Obliczenia 2 25 7 4" xfId="24480"/>
    <cellStyle name="Obliczenia 2 25 8" xfId="24481"/>
    <cellStyle name="Obliczenia 2 25 8 2" xfId="24482"/>
    <cellStyle name="Obliczenia 2 25 8 3" xfId="24483"/>
    <cellStyle name="Obliczenia 2 25 8 4" xfId="24484"/>
    <cellStyle name="Obliczenia 2 25 9" xfId="24485"/>
    <cellStyle name="Obliczenia 2 25 9 2" xfId="24486"/>
    <cellStyle name="Obliczenia 2 25 9 3" xfId="24487"/>
    <cellStyle name="Obliczenia 2 25 9 4" xfId="24488"/>
    <cellStyle name="Obliczenia 2 26" xfId="24489"/>
    <cellStyle name="Obliczenia 2 26 10" xfId="24490"/>
    <cellStyle name="Obliczenia 2 26 10 2" xfId="24491"/>
    <cellStyle name="Obliczenia 2 26 10 3" xfId="24492"/>
    <cellStyle name="Obliczenia 2 26 10 4" xfId="24493"/>
    <cellStyle name="Obliczenia 2 26 11" xfId="24494"/>
    <cellStyle name="Obliczenia 2 26 11 2" xfId="24495"/>
    <cellStyle name="Obliczenia 2 26 11 3" xfId="24496"/>
    <cellStyle name="Obliczenia 2 26 11 4" xfId="24497"/>
    <cellStyle name="Obliczenia 2 26 12" xfId="24498"/>
    <cellStyle name="Obliczenia 2 26 12 2" xfId="24499"/>
    <cellStyle name="Obliczenia 2 26 12 3" xfId="24500"/>
    <cellStyle name="Obliczenia 2 26 12 4" xfId="24501"/>
    <cellStyle name="Obliczenia 2 26 13" xfId="24502"/>
    <cellStyle name="Obliczenia 2 26 13 2" xfId="24503"/>
    <cellStyle name="Obliczenia 2 26 13 3" xfId="24504"/>
    <cellStyle name="Obliczenia 2 26 13 4" xfId="24505"/>
    <cellStyle name="Obliczenia 2 26 14" xfId="24506"/>
    <cellStyle name="Obliczenia 2 26 14 2" xfId="24507"/>
    <cellStyle name="Obliczenia 2 26 14 3" xfId="24508"/>
    <cellStyle name="Obliczenia 2 26 14 4" xfId="24509"/>
    <cellStyle name="Obliczenia 2 26 15" xfId="24510"/>
    <cellStyle name="Obliczenia 2 26 15 2" xfId="24511"/>
    <cellStyle name="Obliczenia 2 26 15 3" xfId="24512"/>
    <cellStyle name="Obliczenia 2 26 15 4" xfId="24513"/>
    <cellStyle name="Obliczenia 2 26 16" xfId="24514"/>
    <cellStyle name="Obliczenia 2 26 16 2" xfId="24515"/>
    <cellStyle name="Obliczenia 2 26 16 3" xfId="24516"/>
    <cellStyle name="Obliczenia 2 26 16 4" xfId="24517"/>
    <cellStyle name="Obliczenia 2 26 17" xfId="24518"/>
    <cellStyle name="Obliczenia 2 26 17 2" xfId="24519"/>
    <cellStyle name="Obliczenia 2 26 17 3" xfId="24520"/>
    <cellStyle name="Obliczenia 2 26 17 4" xfId="24521"/>
    <cellStyle name="Obliczenia 2 26 18" xfId="24522"/>
    <cellStyle name="Obliczenia 2 26 18 2" xfId="24523"/>
    <cellStyle name="Obliczenia 2 26 18 3" xfId="24524"/>
    <cellStyle name="Obliczenia 2 26 18 4" xfId="24525"/>
    <cellStyle name="Obliczenia 2 26 19" xfId="24526"/>
    <cellStyle name="Obliczenia 2 26 19 2" xfId="24527"/>
    <cellStyle name="Obliczenia 2 26 19 3" xfId="24528"/>
    <cellStyle name="Obliczenia 2 26 19 4" xfId="24529"/>
    <cellStyle name="Obliczenia 2 26 2" xfId="24530"/>
    <cellStyle name="Obliczenia 2 26 2 2" xfId="24531"/>
    <cellStyle name="Obliczenia 2 26 2 3" xfId="24532"/>
    <cellStyle name="Obliczenia 2 26 2 4" xfId="24533"/>
    <cellStyle name="Obliczenia 2 26 20" xfId="24534"/>
    <cellStyle name="Obliczenia 2 26 20 2" xfId="24535"/>
    <cellStyle name="Obliczenia 2 26 20 3" xfId="24536"/>
    <cellStyle name="Obliczenia 2 26 20 4" xfId="24537"/>
    <cellStyle name="Obliczenia 2 26 21" xfId="24538"/>
    <cellStyle name="Obliczenia 2 26 21 2" xfId="24539"/>
    <cellStyle name="Obliczenia 2 26 21 3" xfId="24540"/>
    <cellStyle name="Obliczenia 2 26 22" xfId="24541"/>
    <cellStyle name="Obliczenia 2 26 22 2" xfId="24542"/>
    <cellStyle name="Obliczenia 2 26 22 3" xfId="24543"/>
    <cellStyle name="Obliczenia 2 26 23" xfId="24544"/>
    <cellStyle name="Obliczenia 2 26 23 2" xfId="24545"/>
    <cellStyle name="Obliczenia 2 26 23 3" xfId="24546"/>
    <cellStyle name="Obliczenia 2 26 24" xfId="24547"/>
    <cellStyle name="Obliczenia 2 26 24 2" xfId="24548"/>
    <cellStyle name="Obliczenia 2 26 24 3" xfId="24549"/>
    <cellStyle name="Obliczenia 2 26 25" xfId="24550"/>
    <cellStyle name="Obliczenia 2 26 25 2" xfId="24551"/>
    <cellStyle name="Obliczenia 2 26 25 3" xfId="24552"/>
    <cellStyle name="Obliczenia 2 26 26" xfId="24553"/>
    <cellStyle name="Obliczenia 2 26 26 2" xfId="24554"/>
    <cellStyle name="Obliczenia 2 26 26 3" xfId="24555"/>
    <cellStyle name="Obliczenia 2 26 27" xfId="24556"/>
    <cellStyle name="Obliczenia 2 26 27 2" xfId="24557"/>
    <cellStyle name="Obliczenia 2 26 27 3" xfId="24558"/>
    <cellStyle name="Obliczenia 2 26 28" xfId="24559"/>
    <cellStyle name="Obliczenia 2 26 28 2" xfId="24560"/>
    <cellStyle name="Obliczenia 2 26 28 3" xfId="24561"/>
    <cellStyle name="Obliczenia 2 26 29" xfId="24562"/>
    <cellStyle name="Obliczenia 2 26 29 2" xfId="24563"/>
    <cellStyle name="Obliczenia 2 26 29 3" xfId="24564"/>
    <cellStyle name="Obliczenia 2 26 3" xfId="24565"/>
    <cellStyle name="Obliczenia 2 26 3 2" xfId="24566"/>
    <cellStyle name="Obliczenia 2 26 3 3" xfId="24567"/>
    <cellStyle name="Obliczenia 2 26 3 4" xfId="24568"/>
    <cellStyle name="Obliczenia 2 26 30" xfId="24569"/>
    <cellStyle name="Obliczenia 2 26 30 2" xfId="24570"/>
    <cellStyle name="Obliczenia 2 26 30 3" xfId="24571"/>
    <cellStyle name="Obliczenia 2 26 31" xfId="24572"/>
    <cellStyle name="Obliczenia 2 26 31 2" xfId="24573"/>
    <cellStyle name="Obliczenia 2 26 31 3" xfId="24574"/>
    <cellStyle name="Obliczenia 2 26 32" xfId="24575"/>
    <cellStyle name="Obliczenia 2 26 32 2" xfId="24576"/>
    <cellStyle name="Obliczenia 2 26 32 3" xfId="24577"/>
    <cellStyle name="Obliczenia 2 26 33" xfId="24578"/>
    <cellStyle name="Obliczenia 2 26 33 2" xfId="24579"/>
    <cellStyle name="Obliczenia 2 26 33 3" xfId="24580"/>
    <cellStyle name="Obliczenia 2 26 34" xfId="24581"/>
    <cellStyle name="Obliczenia 2 26 34 2" xfId="24582"/>
    <cellStyle name="Obliczenia 2 26 34 3" xfId="24583"/>
    <cellStyle name="Obliczenia 2 26 35" xfId="24584"/>
    <cellStyle name="Obliczenia 2 26 35 2" xfId="24585"/>
    <cellStyle name="Obliczenia 2 26 35 3" xfId="24586"/>
    <cellStyle name="Obliczenia 2 26 36" xfId="24587"/>
    <cellStyle name="Obliczenia 2 26 36 2" xfId="24588"/>
    <cellStyle name="Obliczenia 2 26 36 3" xfId="24589"/>
    <cellStyle name="Obliczenia 2 26 37" xfId="24590"/>
    <cellStyle name="Obliczenia 2 26 37 2" xfId="24591"/>
    <cellStyle name="Obliczenia 2 26 37 3" xfId="24592"/>
    <cellStyle name="Obliczenia 2 26 38" xfId="24593"/>
    <cellStyle name="Obliczenia 2 26 38 2" xfId="24594"/>
    <cellStyle name="Obliczenia 2 26 38 3" xfId="24595"/>
    <cellStyle name="Obliczenia 2 26 39" xfId="24596"/>
    <cellStyle name="Obliczenia 2 26 39 2" xfId="24597"/>
    <cellStyle name="Obliczenia 2 26 39 3" xfId="24598"/>
    <cellStyle name="Obliczenia 2 26 4" xfId="24599"/>
    <cellStyle name="Obliczenia 2 26 4 2" xfId="24600"/>
    <cellStyle name="Obliczenia 2 26 4 3" xfId="24601"/>
    <cellStyle name="Obliczenia 2 26 4 4" xfId="24602"/>
    <cellStyle name="Obliczenia 2 26 40" xfId="24603"/>
    <cellStyle name="Obliczenia 2 26 40 2" xfId="24604"/>
    <cellStyle name="Obliczenia 2 26 40 3" xfId="24605"/>
    <cellStyle name="Obliczenia 2 26 41" xfId="24606"/>
    <cellStyle name="Obliczenia 2 26 41 2" xfId="24607"/>
    <cellStyle name="Obliczenia 2 26 41 3" xfId="24608"/>
    <cellStyle name="Obliczenia 2 26 42" xfId="24609"/>
    <cellStyle name="Obliczenia 2 26 42 2" xfId="24610"/>
    <cellStyle name="Obliczenia 2 26 42 3" xfId="24611"/>
    <cellStyle name="Obliczenia 2 26 43" xfId="24612"/>
    <cellStyle name="Obliczenia 2 26 43 2" xfId="24613"/>
    <cellStyle name="Obliczenia 2 26 43 3" xfId="24614"/>
    <cellStyle name="Obliczenia 2 26 44" xfId="24615"/>
    <cellStyle name="Obliczenia 2 26 44 2" xfId="24616"/>
    <cellStyle name="Obliczenia 2 26 44 3" xfId="24617"/>
    <cellStyle name="Obliczenia 2 26 45" xfId="24618"/>
    <cellStyle name="Obliczenia 2 26 45 2" xfId="24619"/>
    <cellStyle name="Obliczenia 2 26 45 3" xfId="24620"/>
    <cellStyle name="Obliczenia 2 26 46" xfId="24621"/>
    <cellStyle name="Obliczenia 2 26 46 2" xfId="24622"/>
    <cellStyle name="Obliczenia 2 26 46 3" xfId="24623"/>
    <cellStyle name="Obliczenia 2 26 47" xfId="24624"/>
    <cellStyle name="Obliczenia 2 26 47 2" xfId="24625"/>
    <cellStyle name="Obliczenia 2 26 47 3" xfId="24626"/>
    <cellStyle name="Obliczenia 2 26 48" xfId="24627"/>
    <cellStyle name="Obliczenia 2 26 48 2" xfId="24628"/>
    <cellStyle name="Obliczenia 2 26 48 3" xfId="24629"/>
    <cellStyle name="Obliczenia 2 26 49" xfId="24630"/>
    <cellStyle name="Obliczenia 2 26 49 2" xfId="24631"/>
    <cellStyle name="Obliczenia 2 26 49 3" xfId="24632"/>
    <cellStyle name="Obliczenia 2 26 5" xfId="24633"/>
    <cellStyle name="Obliczenia 2 26 5 2" xfId="24634"/>
    <cellStyle name="Obliczenia 2 26 5 3" xfId="24635"/>
    <cellStyle name="Obliczenia 2 26 5 4" xfId="24636"/>
    <cellStyle name="Obliczenia 2 26 50" xfId="24637"/>
    <cellStyle name="Obliczenia 2 26 50 2" xfId="24638"/>
    <cellStyle name="Obliczenia 2 26 50 3" xfId="24639"/>
    <cellStyle name="Obliczenia 2 26 51" xfId="24640"/>
    <cellStyle name="Obliczenia 2 26 51 2" xfId="24641"/>
    <cellStyle name="Obliczenia 2 26 51 3" xfId="24642"/>
    <cellStyle name="Obliczenia 2 26 52" xfId="24643"/>
    <cellStyle name="Obliczenia 2 26 52 2" xfId="24644"/>
    <cellStyle name="Obliczenia 2 26 52 3" xfId="24645"/>
    <cellStyle name="Obliczenia 2 26 53" xfId="24646"/>
    <cellStyle name="Obliczenia 2 26 53 2" xfId="24647"/>
    <cellStyle name="Obliczenia 2 26 53 3" xfId="24648"/>
    <cellStyle name="Obliczenia 2 26 54" xfId="24649"/>
    <cellStyle name="Obliczenia 2 26 54 2" xfId="24650"/>
    <cellStyle name="Obliczenia 2 26 54 3" xfId="24651"/>
    <cellStyle name="Obliczenia 2 26 55" xfId="24652"/>
    <cellStyle name="Obliczenia 2 26 55 2" xfId="24653"/>
    <cellStyle name="Obliczenia 2 26 55 3" xfId="24654"/>
    <cellStyle name="Obliczenia 2 26 56" xfId="24655"/>
    <cellStyle name="Obliczenia 2 26 56 2" xfId="24656"/>
    <cellStyle name="Obliczenia 2 26 56 3" xfId="24657"/>
    <cellStyle name="Obliczenia 2 26 57" xfId="24658"/>
    <cellStyle name="Obliczenia 2 26 58" xfId="24659"/>
    <cellStyle name="Obliczenia 2 26 6" xfId="24660"/>
    <cellStyle name="Obliczenia 2 26 6 2" xfId="24661"/>
    <cellStyle name="Obliczenia 2 26 6 3" xfId="24662"/>
    <cellStyle name="Obliczenia 2 26 6 4" xfId="24663"/>
    <cellStyle name="Obliczenia 2 26 7" xfId="24664"/>
    <cellStyle name="Obliczenia 2 26 7 2" xfId="24665"/>
    <cellStyle name="Obliczenia 2 26 7 3" xfId="24666"/>
    <cellStyle name="Obliczenia 2 26 7 4" xfId="24667"/>
    <cellStyle name="Obliczenia 2 26 8" xfId="24668"/>
    <cellStyle name="Obliczenia 2 26 8 2" xfId="24669"/>
    <cellStyle name="Obliczenia 2 26 8 3" xfId="24670"/>
    <cellStyle name="Obliczenia 2 26 8 4" xfId="24671"/>
    <cellStyle name="Obliczenia 2 26 9" xfId="24672"/>
    <cellStyle name="Obliczenia 2 26 9 2" xfId="24673"/>
    <cellStyle name="Obliczenia 2 26 9 3" xfId="24674"/>
    <cellStyle name="Obliczenia 2 26 9 4" xfId="24675"/>
    <cellStyle name="Obliczenia 2 27" xfId="24676"/>
    <cellStyle name="Obliczenia 2 27 10" xfId="24677"/>
    <cellStyle name="Obliczenia 2 27 10 2" xfId="24678"/>
    <cellStyle name="Obliczenia 2 27 10 3" xfId="24679"/>
    <cellStyle name="Obliczenia 2 27 10 4" xfId="24680"/>
    <cellStyle name="Obliczenia 2 27 11" xfId="24681"/>
    <cellStyle name="Obliczenia 2 27 11 2" xfId="24682"/>
    <cellStyle name="Obliczenia 2 27 11 3" xfId="24683"/>
    <cellStyle name="Obliczenia 2 27 11 4" xfId="24684"/>
    <cellStyle name="Obliczenia 2 27 12" xfId="24685"/>
    <cellStyle name="Obliczenia 2 27 12 2" xfId="24686"/>
    <cellStyle name="Obliczenia 2 27 12 3" xfId="24687"/>
    <cellStyle name="Obliczenia 2 27 12 4" xfId="24688"/>
    <cellStyle name="Obliczenia 2 27 13" xfId="24689"/>
    <cellStyle name="Obliczenia 2 27 13 2" xfId="24690"/>
    <cellStyle name="Obliczenia 2 27 13 3" xfId="24691"/>
    <cellStyle name="Obliczenia 2 27 13 4" xfId="24692"/>
    <cellStyle name="Obliczenia 2 27 14" xfId="24693"/>
    <cellStyle name="Obliczenia 2 27 14 2" xfId="24694"/>
    <cellStyle name="Obliczenia 2 27 14 3" xfId="24695"/>
    <cellStyle name="Obliczenia 2 27 14 4" xfId="24696"/>
    <cellStyle name="Obliczenia 2 27 15" xfId="24697"/>
    <cellStyle name="Obliczenia 2 27 15 2" xfId="24698"/>
    <cellStyle name="Obliczenia 2 27 15 3" xfId="24699"/>
    <cellStyle name="Obliczenia 2 27 15 4" xfId="24700"/>
    <cellStyle name="Obliczenia 2 27 16" xfId="24701"/>
    <cellStyle name="Obliczenia 2 27 16 2" xfId="24702"/>
    <cellStyle name="Obliczenia 2 27 16 3" xfId="24703"/>
    <cellStyle name="Obliczenia 2 27 16 4" xfId="24704"/>
    <cellStyle name="Obliczenia 2 27 17" xfId="24705"/>
    <cellStyle name="Obliczenia 2 27 17 2" xfId="24706"/>
    <cellStyle name="Obliczenia 2 27 17 3" xfId="24707"/>
    <cellStyle name="Obliczenia 2 27 17 4" xfId="24708"/>
    <cellStyle name="Obliczenia 2 27 18" xfId="24709"/>
    <cellStyle name="Obliczenia 2 27 18 2" xfId="24710"/>
    <cellStyle name="Obliczenia 2 27 18 3" xfId="24711"/>
    <cellStyle name="Obliczenia 2 27 18 4" xfId="24712"/>
    <cellStyle name="Obliczenia 2 27 19" xfId="24713"/>
    <cellStyle name="Obliczenia 2 27 19 2" xfId="24714"/>
    <cellStyle name="Obliczenia 2 27 19 3" xfId="24715"/>
    <cellStyle name="Obliczenia 2 27 19 4" xfId="24716"/>
    <cellStyle name="Obliczenia 2 27 2" xfId="24717"/>
    <cellStyle name="Obliczenia 2 27 2 2" xfId="24718"/>
    <cellStyle name="Obliczenia 2 27 2 3" xfId="24719"/>
    <cellStyle name="Obliczenia 2 27 2 4" xfId="24720"/>
    <cellStyle name="Obliczenia 2 27 20" xfId="24721"/>
    <cellStyle name="Obliczenia 2 27 20 2" xfId="24722"/>
    <cellStyle name="Obliczenia 2 27 20 3" xfId="24723"/>
    <cellStyle name="Obliczenia 2 27 20 4" xfId="24724"/>
    <cellStyle name="Obliczenia 2 27 21" xfId="24725"/>
    <cellStyle name="Obliczenia 2 27 21 2" xfId="24726"/>
    <cellStyle name="Obliczenia 2 27 21 3" xfId="24727"/>
    <cellStyle name="Obliczenia 2 27 22" xfId="24728"/>
    <cellStyle name="Obliczenia 2 27 22 2" xfId="24729"/>
    <cellStyle name="Obliczenia 2 27 22 3" xfId="24730"/>
    <cellStyle name="Obliczenia 2 27 23" xfId="24731"/>
    <cellStyle name="Obliczenia 2 27 23 2" xfId="24732"/>
    <cellStyle name="Obliczenia 2 27 23 3" xfId="24733"/>
    <cellStyle name="Obliczenia 2 27 24" xfId="24734"/>
    <cellStyle name="Obliczenia 2 27 24 2" xfId="24735"/>
    <cellStyle name="Obliczenia 2 27 24 3" xfId="24736"/>
    <cellStyle name="Obliczenia 2 27 25" xfId="24737"/>
    <cellStyle name="Obliczenia 2 27 25 2" xfId="24738"/>
    <cellStyle name="Obliczenia 2 27 25 3" xfId="24739"/>
    <cellStyle name="Obliczenia 2 27 26" xfId="24740"/>
    <cellStyle name="Obliczenia 2 27 26 2" xfId="24741"/>
    <cellStyle name="Obliczenia 2 27 26 3" xfId="24742"/>
    <cellStyle name="Obliczenia 2 27 27" xfId="24743"/>
    <cellStyle name="Obliczenia 2 27 27 2" xfId="24744"/>
    <cellStyle name="Obliczenia 2 27 27 3" xfId="24745"/>
    <cellStyle name="Obliczenia 2 27 28" xfId="24746"/>
    <cellStyle name="Obliczenia 2 27 28 2" xfId="24747"/>
    <cellStyle name="Obliczenia 2 27 28 3" xfId="24748"/>
    <cellStyle name="Obliczenia 2 27 29" xfId="24749"/>
    <cellStyle name="Obliczenia 2 27 29 2" xfId="24750"/>
    <cellStyle name="Obliczenia 2 27 29 3" xfId="24751"/>
    <cellStyle name="Obliczenia 2 27 3" xfId="24752"/>
    <cellStyle name="Obliczenia 2 27 3 2" xfId="24753"/>
    <cellStyle name="Obliczenia 2 27 3 3" xfId="24754"/>
    <cellStyle name="Obliczenia 2 27 3 4" xfId="24755"/>
    <cellStyle name="Obliczenia 2 27 30" xfId="24756"/>
    <cellStyle name="Obliczenia 2 27 30 2" xfId="24757"/>
    <cellStyle name="Obliczenia 2 27 30 3" xfId="24758"/>
    <cellStyle name="Obliczenia 2 27 31" xfId="24759"/>
    <cellStyle name="Obliczenia 2 27 31 2" xfId="24760"/>
    <cellStyle name="Obliczenia 2 27 31 3" xfId="24761"/>
    <cellStyle name="Obliczenia 2 27 32" xfId="24762"/>
    <cellStyle name="Obliczenia 2 27 32 2" xfId="24763"/>
    <cellStyle name="Obliczenia 2 27 32 3" xfId="24764"/>
    <cellStyle name="Obliczenia 2 27 33" xfId="24765"/>
    <cellStyle name="Obliczenia 2 27 33 2" xfId="24766"/>
    <cellStyle name="Obliczenia 2 27 33 3" xfId="24767"/>
    <cellStyle name="Obliczenia 2 27 34" xfId="24768"/>
    <cellStyle name="Obliczenia 2 27 34 2" xfId="24769"/>
    <cellStyle name="Obliczenia 2 27 34 3" xfId="24770"/>
    <cellStyle name="Obliczenia 2 27 35" xfId="24771"/>
    <cellStyle name="Obliczenia 2 27 35 2" xfId="24772"/>
    <cellStyle name="Obliczenia 2 27 35 3" xfId="24773"/>
    <cellStyle name="Obliczenia 2 27 36" xfId="24774"/>
    <cellStyle name="Obliczenia 2 27 36 2" xfId="24775"/>
    <cellStyle name="Obliczenia 2 27 36 3" xfId="24776"/>
    <cellStyle name="Obliczenia 2 27 37" xfId="24777"/>
    <cellStyle name="Obliczenia 2 27 37 2" xfId="24778"/>
    <cellStyle name="Obliczenia 2 27 37 3" xfId="24779"/>
    <cellStyle name="Obliczenia 2 27 38" xfId="24780"/>
    <cellStyle name="Obliczenia 2 27 38 2" xfId="24781"/>
    <cellStyle name="Obliczenia 2 27 38 3" xfId="24782"/>
    <cellStyle name="Obliczenia 2 27 39" xfId="24783"/>
    <cellStyle name="Obliczenia 2 27 39 2" xfId="24784"/>
    <cellStyle name="Obliczenia 2 27 39 3" xfId="24785"/>
    <cellStyle name="Obliczenia 2 27 4" xfId="24786"/>
    <cellStyle name="Obliczenia 2 27 4 2" xfId="24787"/>
    <cellStyle name="Obliczenia 2 27 4 3" xfId="24788"/>
    <cellStyle name="Obliczenia 2 27 4 4" xfId="24789"/>
    <cellStyle name="Obliczenia 2 27 40" xfId="24790"/>
    <cellStyle name="Obliczenia 2 27 40 2" xfId="24791"/>
    <cellStyle name="Obliczenia 2 27 40 3" xfId="24792"/>
    <cellStyle name="Obliczenia 2 27 41" xfId="24793"/>
    <cellStyle name="Obliczenia 2 27 41 2" xfId="24794"/>
    <cellStyle name="Obliczenia 2 27 41 3" xfId="24795"/>
    <cellStyle name="Obliczenia 2 27 42" xfId="24796"/>
    <cellStyle name="Obliczenia 2 27 42 2" xfId="24797"/>
    <cellStyle name="Obliczenia 2 27 42 3" xfId="24798"/>
    <cellStyle name="Obliczenia 2 27 43" xfId="24799"/>
    <cellStyle name="Obliczenia 2 27 43 2" xfId="24800"/>
    <cellStyle name="Obliczenia 2 27 43 3" xfId="24801"/>
    <cellStyle name="Obliczenia 2 27 44" xfId="24802"/>
    <cellStyle name="Obliczenia 2 27 44 2" xfId="24803"/>
    <cellStyle name="Obliczenia 2 27 44 3" xfId="24804"/>
    <cellStyle name="Obliczenia 2 27 45" xfId="24805"/>
    <cellStyle name="Obliczenia 2 27 45 2" xfId="24806"/>
    <cellStyle name="Obliczenia 2 27 45 3" xfId="24807"/>
    <cellStyle name="Obliczenia 2 27 46" xfId="24808"/>
    <cellStyle name="Obliczenia 2 27 46 2" xfId="24809"/>
    <cellStyle name="Obliczenia 2 27 46 3" xfId="24810"/>
    <cellStyle name="Obliczenia 2 27 47" xfId="24811"/>
    <cellStyle name="Obliczenia 2 27 47 2" xfId="24812"/>
    <cellStyle name="Obliczenia 2 27 47 3" xfId="24813"/>
    <cellStyle name="Obliczenia 2 27 48" xfId="24814"/>
    <cellStyle name="Obliczenia 2 27 48 2" xfId="24815"/>
    <cellStyle name="Obliczenia 2 27 48 3" xfId="24816"/>
    <cellStyle name="Obliczenia 2 27 49" xfId="24817"/>
    <cellStyle name="Obliczenia 2 27 49 2" xfId="24818"/>
    <cellStyle name="Obliczenia 2 27 49 3" xfId="24819"/>
    <cellStyle name="Obliczenia 2 27 5" xfId="24820"/>
    <cellStyle name="Obliczenia 2 27 5 2" xfId="24821"/>
    <cellStyle name="Obliczenia 2 27 5 3" xfId="24822"/>
    <cellStyle name="Obliczenia 2 27 5 4" xfId="24823"/>
    <cellStyle name="Obliczenia 2 27 50" xfId="24824"/>
    <cellStyle name="Obliczenia 2 27 50 2" xfId="24825"/>
    <cellStyle name="Obliczenia 2 27 50 3" xfId="24826"/>
    <cellStyle name="Obliczenia 2 27 51" xfId="24827"/>
    <cellStyle name="Obliczenia 2 27 51 2" xfId="24828"/>
    <cellStyle name="Obliczenia 2 27 51 3" xfId="24829"/>
    <cellStyle name="Obliczenia 2 27 52" xfId="24830"/>
    <cellStyle name="Obliczenia 2 27 52 2" xfId="24831"/>
    <cellStyle name="Obliczenia 2 27 52 3" xfId="24832"/>
    <cellStyle name="Obliczenia 2 27 53" xfId="24833"/>
    <cellStyle name="Obliczenia 2 27 53 2" xfId="24834"/>
    <cellStyle name="Obliczenia 2 27 53 3" xfId="24835"/>
    <cellStyle name="Obliczenia 2 27 54" xfId="24836"/>
    <cellStyle name="Obliczenia 2 27 54 2" xfId="24837"/>
    <cellStyle name="Obliczenia 2 27 54 3" xfId="24838"/>
    <cellStyle name="Obliczenia 2 27 55" xfId="24839"/>
    <cellStyle name="Obliczenia 2 27 55 2" xfId="24840"/>
    <cellStyle name="Obliczenia 2 27 55 3" xfId="24841"/>
    <cellStyle name="Obliczenia 2 27 56" xfId="24842"/>
    <cellStyle name="Obliczenia 2 27 56 2" xfId="24843"/>
    <cellStyle name="Obliczenia 2 27 56 3" xfId="24844"/>
    <cellStyle name="Obliczenia 2 27 57" xfId="24845"/>
    <cellStyle name="Obliczenia 2 27 58" xfId="24846"/>
    <cellStyle name="Obliczenia 2 27 6" xfId="24847"/>
    <cellStyle name="Obliczenia 2 27 6 2" xfId="24848"/>
    <cellStyle name="Obliczenia 2 27 6 3" xfId="24849"/>
    <cellStyle name="Obliczenia 2 27 6 4" xfId="24850"/>
    <cellStyle name="Obliczenia 2 27 7" xfId="24851"/>
    <cellStyle name="Obliczenia 2 27 7 2" xfId="24852"/>
    <cellStyle name="Obliczenia 2 27 7 3" xfId="24853"/>
    <cellStyle name="Obliczenia 2 27 7 4" xfId="24854"/>
    <cellStyle name="Obliczenia 2 27 8" xfId="24855"/>
    <cellStyle name="Obliczenia 2 27 8 2" xfId="24856"/>
    <cellStyle name="Obliczenia 2 27 8 3" xfId="24857"/>
    <cellStyle name="Obliczenia 2 27 8 4" xfId="24858"/>
    <cellStyle name="Obliczenia 2 27 9" xfId="24859"/>
    <cellStyle name="Obliczenia 2 27 9 2" xfId="24860"/>
    <cellStyle name="Obliczenia 2 27 9 3" xfId="24861"/>
    <cellStyle name="Obliczenia 2 27 9 4" xfId="24862"/>
    <cellStyle name="Obliczenia 2 28" xfId="24863"/>
    <cellStyle name="Obliczenia 2 28 10" xfId="24864"/>
    <cellStyle name="Obliczenia 2 28 10 2" xfId="24865"/>
    <cellStyle name="Obliczenia 2 28 10 3" xfId="24866"/>
    <cellStyle name="Obliczenia 2 28 10 4" xfId="24867"/>
    <cellStyle name="Obliczenia 2 28 11" xfId="24868"/>
    <cellStyle name="Obliczenia 2 28 11 2" xfId="24869"/>
    <cellStyle name="Obliczenia 2 28 11 3" xfId="24870"/>
    <cellStyle name="Obliczenia 2 28 11 4" xfId="24871"/>
    <cellStyle name="Obliczenia 2 28 12" xfId="24872"/>
    <cellStyle name="Obliczenia 2 28 12 2" xfId="24873"/>
    <cellStyle name="Obliczenia 2 28 12 3" xfId="24874"/>
    <cellStyle name="Obliczenia 2 28 12 4" xfId="24875"/>
    <cellStyle name="Obliczenia 2 28 13" xfId="24876"/>
    <cellStyle name="Obliczenia 2 28 13 2" xfId="24877"/>
    <cellStyle name="Obliczenia 2 28 13 3" xfId="24878"/>
    <cellStyle name="Obliczenia 2 28 13 4" xfId="24879"/>
    <cellStyle name="Obliczenia 2 28 14" xfId="24880"/>
    <cellStyle name="Obliczenia 2 28 14 2" xfId="24881"/>
    <cellStyle name="Obliczenia 2 28 14 3" xfId="24882"/>
    <cellStyle name="Obliczenia 2 28 14 4" xfId="24883"/>
    <cellStyle name="Obliczenia 2 28 15" xfId="24884"/>
    <cellStyle name="Obliczenia 2 28 15 2" xfId="24885"/>
    <cellStyle name="Obliczenia 2 28 15 3" xfId="24886"/>
    <cellStyle name="Obliczenia 2 28 15 4" xfId="24887"/>
    <cellStyle name="Obliczenia 2 28 16" xfId="24888"/>
    <cellStyle name="Obliczenia 2 28 16 2" xfId="24889"/>
    <cellStyle name="Obliczenia 2 28 16 3" xfId="24890"/>
    <cellStyle name="Obliczenia 2 28 16 4" xfId="24891"/>
    <cellStyle name="Obliczenia 2 28 17" xfId="24892"/>
    <cellStyle name="Obliczenia 2 28 17 2" xfId="24893"/>
    <cellStyle name="Obliczenia 2 28 17 3" xfId="24894"/>
    <cellStyle name="Obliczenia 2 28 17 4" xfId="24895"/>
    <cellStyle name="Obliczenia 2 28 18" xfId="24896"/>
    <cellStyle name="Obliczenia 2 28 18 2" xfId="24897"/>
    <cellStyle name="Obliczenia 2 28 18 3" xfId="24898"/>
    <cellStyle name="Obliczenia 2 28 18 4" xfId="24899"/>
    <cellStyle name="Obliczenia 2 28 19" xfId="24900"/>
    <cellStyle name="Obliczenia 2 28 19 2" xfId="24901"/>
    <cellStyle name="Obliczenia 2 28 19 3" xfId="24902"/>
    <cellStyle name="Obliczenia 2 28 19 4" xfId="24903"/>
    <cellStyle name="Obliczenia 2 28 2" xfId="24904"/>
    <cellStyle name="Obliczenia 2 28 2 2" xfId="24905"/>
    <cellStyle name="Obliczenia 2 28 2 3" xfId="24906"/>
    <cellStyle name="Obliczenia 2 28 2 4" xfId="24907"/>
    <cellStyle name="Obliczenia 2 28 20" xfId="24908"/>
    <cellStyle name="Obliczenia 2 28 20 2" xfId="24909"/>
    <cellStyle name="Obliczenia 2 28 20 3" xfId="24910"/>
    <cellStyle name="Obliczenia 2 28 20 4" xfId="24911"/>
    <cellStyle name="Obliczenia 2 28 21" xfId="24912"/>
    <cellStyle name="Obliczenia 2 28 21 2" xfId="24913"/>
    <cellStyle name="Obliczenia 2 28 21 3" xfId="24914"/>
    <cellStyle name="Obliczenia 2 28 22" xfId="24915"/>
    <cellStyle name="Obliczenia 2 28 22 2" xfId="24916"/>
    <cellStyle name="Obliczenia 2 28 22 3" xfId="24917"/>
    <cellStyle name="Obliczenia 2 28 23" xfId="24918"/>
    <cellStyle name="Obliczenia 2 28 23 2" xfId="24919"/>
    <cellStyle name="Obliczenia 2 28 23 3" xfId="24920"/>
    <cellStyle name="Obliczenia 2 28 24" xfId="24921"/>
    <cellStyle name="Obliczenia 2 28 24 2" xfId="24922"/>
    <cellStyle name="Obliczenia 2 28 24 3" xfId="24923"/>
    <cellStyle name="Obliczenia 2 28 25" xfId="24924"/>
    <cellStyle name="Obliczenia 2 28 25 2" xfId="24925"/>
    <cellStyle name="Obliczenia 2 28 25 3" xfId="24926"/>
    <cellStyle name="Obliczenia 2 28 26" xfId="24927"/>
    <cellStyle name="Obliczenia 2 28 26 2" xfId="24928"/>
    <cellStyle name="Obliczenia 2 28 26 3" xfId="24929"/>
    <cellStyle name="Obliczenia 2 28 27" xfId="24930"/>
    <cellStyle name="Obliczenia 2 28 27 2" xfId="24931"/>
    <cellStyle name="Obliczenia 2 28 27 3" xfId="24932"/>
    <cellStyle name="Obliczenia 2 28 28" xfId="24933"/>
    <cellStyle name="Obliczenia 2 28 28 2" xfId="24934"/>
    <cellStyle name="Obliczenia 2 28 28 3" xfId="24935"/>
    <cellStyle name="Obliczenia 2 28 29" xfId="24936"/>
    <cellStyle name="Obliczenia 2 28 29 2" xfId="24937"/>
    <cellStyle name="Obliczenia 2 28 29 3" xfId="24938"/>
    <cellStyle name="Obliczenia 2 28 3" xfId="24939"/>
    <cellStyle name="Obliczenia 2 28 3 2" xfId="24940"/>
    <cellStyle name="Obliczenia 2 28 3 3" xfId="24941"/>
    <cellStyle name="Obliczenia 2 28 3 4" xfId="24942"/>
    <cellStyle name="Obliczenia 2 28 30" xfId="24943"/>
    <cellStyle name="Obliczenia 2 28 30 2" xfId="24944"/>
    <cellStyle name="Obliczenia 2 28 30 3" xfId="24945"/>
    <cellStyle name="Obliczenia 2 28 31" xfId="24946"/>
    <cellStyle name="Obliczenia 2 28 31 2" xfId="24947"/>
    <cellStyle name="Obliczenia 2 28 31 3" xfId="24948"/>
    <cellStyle name="Obliczenia 2 28 32" xfId="24949"/>
    <cellStyle name="Obliczenia 2 28 32 2" xfId="24950"/>
    <cellStyle name="Obliczenia 2 28 32 3" xfId="24951"/>
    <cellStyle name="Obliczenia 2 28 33" xfId="24952"/>
    <cellStyle name="Obliczenia 2 28 33 2" xfId="24953"/>
    <cellStyle name="Obliczenia 2 28 33 3" xfId="24954"/>
    <cellStyle name="Obliczenia 2 28 34" xfId="24955"/>
    <cellStyle name="Obliczenia 2 28 34 2" xfId="24956"/>
    <cellStyle name="Obliczenia 2 28 34 3" xfId="24957"/>
    <cellStyle name="Obliczenia 2 28 35" xfId="24958"/>
    <cellStyle name="Obliczenia 2 28 35 2" xfId="24959"/>
    <cellStyle name="Obliczenia 2 28 35 3" xfId="24960"/>
    <cellStyle name="Obliczenia 2 28 36" xfId="24961"/>
    <cellStyle name="Obliczenia 2 28 36 2" xfId="24962"/>
    <cellStyle name="Obliczenia 2 28 36 3" xfId="24963"/>
    <cellStyle name="Obliczenia 2 28 37" xfId="24964"/>
    <cellStyle name="Obliczenia 2 28 37 2" xfId="24965"/>
    <cellStyle name="Obliczenia 2 28 37 3" xfId="24966"/>
    <cellStyle name="Obliczenia 2 28 38" xfId="24967"/>
    <cellStyle name="Obliczenia 2 28 38 2" xfId="24968"/>
    <cellStyle name="Obliczenia 2 28 38 3" xfId="24969"/>
    <cellStyle name="Obliczenia 2 28 39" xfId="24970"/>
    <cellStyle name="Obliczenia 2 28 39 2" xfId="24971"/>
    <cellStyle name="Obliczenia 2 28 39 3" xfId="24972"/>
    <cellStyle name="Obliczenia 2 28 4" xfId="24973"/>
    <cellStyle name="Obliczenia 2 28 4 2" xfId="24974"/>
    <cellStyle name="Obliczenia 2 28 4 3" xfId="24975"/>
    <cellStyle name="Obliczenia 2 28 4 4" xfId="24976"/>
    <cellStyle name="Obliczenia 2 28 40" xfId="24977"/>
    <cellStyle name="Obliczenia 2 28 40 2" xfId="24978"/>
    <cellStyle name="Obliczenia 2 28 40 3" xfId="24979"/>
    <cellStyle name="Obliczenia 2 28 41" xfId="24980"/>
    <cellStyle name="Obliczenia 2 28 41 2" xfId="24981"/>
    <cellStyle name="Obliczenia 2 28 41 3" xfId="24982"/>
    <cellStyle name="Obliczenia 2 28 42" xfId="24983"/>
    <cellStyle name="Obliczenia 2 28 42 2" xfId="24984"/>
    <cellStyle name="Obliczenia 2 28 42 3" xfId="24985"/>
    <cellStyle name="Obliczenia 2 28 43" xfId="24986"/>
    <cellStyle name="Obliczenia 2 28 43 2" xfId="24987"/>
    <cellStyle name="Obliczenia 2 28 43 3" xfId="24988"/>
    <cellStyle name="Obliczenia 2 28 44" xfId="24989"/>
    <cellStyle name="Obliczenia 2 28 44 2" xfId="24990"/>
    <cellStyle name="Obliczenia 2 28 44 3" xfId="24991"/>
    <cellStyle name="Obliczenia 2 28 45" xfId="24992"/>
    <cellStyle name="Obliczenia 2 28 45 2" xfId="24993"/>
    <cellStyle name="Obliczenia 2 28 45 3" xfId="24994"/>
    <cellStyle name="Obliczenia 2 28 46" xfId="24995"/>
    <cellStyle name="Obliczenia 2 28 46 2" xfId="24996"/>
    <cellStyle name="Obliczenia 2 28 46 3" xfId="24997"/>
    <cellStyle name="Obliczenia 2 28 47" xfId="24998"/>
    <cellStyle name="Obliczenia 2 28 47 2" xfId="24999"/>
    <cellStyle name="Obliczenia 2 28 47 3" xfId="25000"/>
    <cellStyle name="Obliczenia 2 28 48" xfId="25001"/>
    <cellStyle name="Obliczenia 2 28 48 2" xfId="25002"/>
    <cellStyle name="Obliczenia 2 28 48 3" xfId="25003"/>
    <cellStyle name="Obliczenia 2 28 49" xfId="25004"/>
    <cellStyle name="Obliczenia 2 28 49 2" xfId="25005"/>
    <cellStyle name="Obliczenia 2 28 49 3" xfId="25006"/>
    <cellStyle name="Obliczenia 2 28 5" xfId="25007"/>
    <cellStyle name="Obliczenia 2 28 5 2" xfId="25008"/>
    <cellStyle name="Obliczenia 2 28 5 3" xfId="25009"/>
    <cellStyle name="Obliczenia 2 28 5 4" xfId="25010"/>
    <cellStyle name="Obliczenia 2 28 50" xfId="25011"/>
    <cellStyle name="Obliczenia 2 28 50 2" xfId="25012"/>
    <cellStyle name="Obliczenia 2 28 50 3" xfId="25013"/>
    <cellStyle name="Obliczenia 2 28 51" xfId="25014"/>
    <cellStyle name="Obliczenia 2 28 51 2" xfId="25015"/>
    <cellStyle name="Obliczenia 2 28 51 3" xfId="25016"/>
    <cellStyle name="Obliczenia 2 28 52" xfId="25017"/>
    <cellStyle name="Obliczenia 2 28 52 2" xfId="25018"/>
    <cellStyle name="Obliczenia 2 28 52 3" xfId="25019"/>
    <cellStyle name="Obliczenia 2 28 53" xfId="25020"/>
    <cellStyle name="Obliczenia 2 28 53 2" xfId="25021"/>
    <cellStyle name="Obliczenia 2 28 53 3" xfId="25022"/>
    <cellStyle name="Obliczenia 2 28 54" xfId="25023"/>
    <cellStyle name="Obliczenia 2 28 54 2" xfId="25024"/>
    <cellStyle name="Obliczenia 2 28 54 3" xfId="25025"/>
    <cellStyle name="Obliczenia 2 28 55" xfId="25026"/>
    <cellStyle name="Obliczenia 2 28 55 2" xfId="25027"/>
    <cellStyle name="Obliczenia 2 28 55 3" xfId="25028"/>
    <cellStyle name="Obliczenia 2 28 56" xfId="25029"/>
    <cellStyle name="Obliczenia 2 28 56 2" xfId="25030"/>
    <cellStyle name="Obliczenia 2 28 56 3" xfId="25031"/>
    <cellStyle name="Obliczenia 2 28 57" xfId="25032"/>
    <cellStyle name="Obliczenia 2 28 58" xfId="25033"/>
    <cellStyle name="Obliczenia 2 28 6" xfId="25034"/>
    <cellStyle name="Obliczenia 2 28 6 2" xfId="25035"/>
    <cellStyle name="Obliczenia 2 28 6 3" xfId="25036"/>
    <cellStyle name="Obliczenia 2 28 6 4" xfId="25037"/>
    <cellStyle name="Obliczenia 2 28 7" xfId="25038"/>
    <cellStyle name="Obliczenia 2 28 7 2" xfId="25039"/>
    <cellStyle name="Obliczenia 2 28 7 3" xfId="25040"/>
    <cellStyle name="Obliczenia 2 28 7 4" xfId="25041"/>
    <cellStyle name="Obliczenia 2 28 8" xfId="25042"/>
    <cellStyle name="Obliczenia 2 28 8 2" xfId="25043"/>
    <cellStyle name="Obliczenia 2 28 8 3" xfId="25044"/>
    <cellStyle name="Obliczenia 2 28 8 4" xfId="25045"/>
    <cellStyle name="Obliczenia 2 28 9" xfId="25046"/>
    <cellStyle name="Obliczenia 2 28 9 2" xfId="25047"/>
    <cellStyle name="Obliczenia 2 28 9 3" xfId="25048"/>
    <cellStyle name="Obliczenia 2 28 9 4" xfId="25049"/>
    <cellStyle name="Obliczenia 2 29" xfId="25050"/>
    <cellStyle name="Obliczenia 2 29 2" xfId="25051"/>
    <cellStyle name="Obliczenia 2 29 3" xfId="25052"/>
    <cellStyle name="Obliczenia 2 29 4" xfId="25053"/>
    <cellStyle name="Obliczenia 2 3" xfId="25054"/>
    <cellStyle name="Obliczenia 2 3 10" xfId="25055"/>
    <cellStyle name="Obliczenia 2 3 10 2" xfId="25056"/>
    <cellStyle name="Obliczenia 2 3 10 3" xfId="25057"/>
    <cellStyle name="Obliczenia 2 3 10 4" xfId="25058"/>
    <cellStyle name="Obliczenia 2 3 11" xfId="25059"/>
    <cellStyle name="Obliczenia 2 3 11 2" xfId="25060"/>
    <cellStyle name="Obliczenia 2 3 11 3" xfId="25061"/>
    <cellStyle name="Obliczenia 2 3 11 4" xfId="25062"/>
    <cellStyle name="Obliczenia 2 3 12" xfId="25063"/>
    <cellStyle name="Obliczenia 2 3 12 2" xfId="25064"/>
    <cellStyle name="Obliczenia 2 3 12 3" xfId="25065"/>
    <cellStyle name="Obliczenia 2 3 12 4" xfId="25066"/>
    <cellStyle name="Obliczenia 2 3 13" xfId="25067"/>
    <cellStyle name="Obliczenia 2 3 13 2" xfId="25068"/>
    <cellStyle name="Obliczenia 2 3 13 3" xfId="25069"/>
    <cellStyle name="Obliczenia 2 3 13 4" xfId="25070"/>
    <cellStyle name="Obliczenia 2 3 14" xfId="25071"/>
    <cellStyle name="Obliczenia 2 3 14 2" xfId="25072"/>
    <cellStyle name="Obliczenia 2 3 14 3" xfId="25073"/>
    <cellStyle name="Obliczenia 2 3 14 4" xfId="25074"/>
    <cellStyle name="Obliczenia 2 3 15" xfId="25075"/>
    <cellStyle name="Obliczenia 2 3 15 2" xfId="25076"/>
    <cellStyle name="Obliczenia 2 3 15 3" xfId="25077"/>
    <cellStyle name="Obliczenia 2 3 15 4" xfId="25078"/>
    <cellStyle name="Obliczenia 2 3 16" xfId="25079"/>
    <cellStyle name="Obliczenia 2 3 16 2" xfId="25080"/>
    <cellStyle name="Obliczenia 2 3 16 3" xfId="25081"/>
    <cellStyle name="Obliczenia 2 3 16 4" xfId="25082"/>
    <cellStyle name="Obliczenia 2 3 17" xfId="25083"/>
    <cellStyle name="Obliczenia 2 3 17 2" xfId="25084"/>
    <cellStyle name="Obliczenia 2 3 17 3" xfId="25085"/>
    <cellStyle name="Obliczenia 2 3 17 4" xfId="25086"/>
    <cellStyle name="Obliczenia 2 3 18" xfId="25087"/>
    <cellStyle name="Obliczenia 2 3 18 2" xfId="25088"/>
    <cellStyle name="Obliczenia 2 3 18 3" xfId="25089"/>
    <cellStyle name="Obliczenia 2 3 18 4" xfId="25090"/>
    <cellStyle name="Obliczenia 2 3 19" xfId="25091"/>
    <cellStyle name="Obliczenia 2 3 19 2" xfId="25092"/>
    <cellStyle name="Obliczenia 2 3 19 3" xfId="25093"/>
    <cellStyle name="Obliczenia 2 3 19 4" xfId="25094"/>
    <cellStyle name="Obliczenia 2 3 2" xfId="25095"/>
    <cellStyle name="Obliczenia 2 3 2 2" xfId="25096"/>
    <cellStyle name="Obliczenia 2 3 2 3" xfId="25097"/>
    <cellStyle name="Obliczenia 2 3 2 4" xfId="25098"/>
    <cellStyle name="Obliczenia 2 3 20" xfId="25099"/>
    <cellStyle name="Obliczenia 2 3 20 2" xfId="25100"/>
    <cellStyle name="Obliczenia 2 3 20 3" xfId="25101"/>
    <cellStyle name="Obliczenia 2 3 20 4" xfId="25102"/>
    <cellStyle name="Obliczenia 2 3 21" xfId="25103"/>
    <cellStyle name="Obliczenia 2 3 21 2" xfId="25104"/>
    <cellStyle name="Obliczenia 2 3 21 3" xfId="25105"/>
    <cellStyle name="Obliczenia 2 3 22" xfId="25106"/>
    <cellStyle name="Obliczenia 2 3 22 2" xfId="25107"/>
    <cellStyle name="Obliczenia 2 3 22 3" xfId="25108"/>
    <cellStyle name="Obliczenia 2 3 23" xfId="25109"/>
    <cellStyle name="Obliczenia 2 3 23 2" xfId="25110"/>
    <cellStyle name="Obliczenia 2 3 23 3" xfId="25111"/>
    <cellStyle name="Obliczenia 2 3 24" xfId="25112"/>
    <cellStyle name="Obliczenia 2 3 24 2" xfId="25113"/>
    <cellStyle name="Obliczenia 2 3 24 3" xfId="25114"/>
    <cellStyle name="Obliczenia 2 3 25" xfId="25115"/>
    <cellStyle name="Obliczenia 2 3 25 2" xfId="25116"/>
    <cellStyle name="Obliczenia 2 3 25 3" xfId="25117"/>
    <cellStyle name="Obliczenia 2 3 26" xfId="25118"/>
    <cellStyle name="Obliczenia 2 3 26 2" xfId="25119"/>
    <cellStyle name="Obliczenia 2 3 26 3" xfId="25120"/>
    <cellStyle name="Obliczenia 2 3 27" xfId="25121"/>
    <cellStyle name="Obliczenia 2 3 27 2" xfId="25122"/>
    <cellStyle name="Obliczenia 2 3 27 3" xfId="25123"/>
    <cellStyle name="Obliczenia 2 3 28" xfId="25124"/>
    <cellStyle name="Obliczenia 2 3 28 2" xfId="25125"/>
    <cellStyle name="Obliczenia 2 3 28 3" xfId="25126"/>
    <cellStyle name="Obliczenia 2 3 29" xfId="25127"/>
    <cellStyle name="Obliczenia 2 3 29 2" xfId="25128"/>
    <cellStyle name="Obliczenia 2 3 29 3" xfId="25129"/>
    <cellStyle name="Obliczenia 2 3 3" xfId="25130"/>
    <cellStyle name="Obliczenia 2 3 3 2" xfId="25131"/>
    <cellStyle name="Obliczenia 2 3 3 3" xfId="25132"/>
    <cellStyle name="Obliczenia 2 3 3 4" xfId="25133"/>
    <cellStyle name="Obliczenia 2 3 30" xfId="25134"/>
    <cellStyle name="Obliczenia 2 3 30 2" xfId="25135"/>
    <cellStyle name="Obliczenia 2 3 30 3" xfId="25136"/>
    <cellStyle name="Obliczenia 2 3 31" xfId="25137"/>
    <cellStyle name="Obliczenia 2 3 31 2" xfId="25138"/>
    <cellStyle name="Obliczenia 2 3 31 3" xfId="25139"/>
    <cellStyle name="Obliczenia 2 3 32" xfId="25140"/>
    <cellStyle name="Obliczenia 2 3 32 2" xfId="25141"/>
    <cellStyle name="Obliczenia 2 3 32 3" xfId="25142"/>
    <cellStyle name="Obliczenia 2 3 33" xfId="25143"/>
    <cellStyle name="Obliczenia 2 3 33 2" xfId="25144"/>
    <cellStyle name="Obliczenia 2 3 33 3" xfId="25145"/>
    <cellStyle name="Obliczenia 2 3 34" xfId="25146"/>
    <cellStyle name="Obliczenia 2 3 34 2" xfId="25147"/>
    <cellStyle name="Obliczenia 2 3 34 3" xfId="25148"/>
    <cellStyle name="Obliczenia 2 3 35" xfId="25149"/>
    <cellStyle name="Obliczenia 2 3 35 2" xfId="25150"/>
    <cellStyle name="Obliczenia 2 3 35 3" xfId="25151"/>
    <cellStyle name="Obliczenia 2 3 36" xfId="25152"/>
    <cellStyle name="Obliczenia 2 3 36 2" xfId="25153"/>
    <cellStyle name="Obliczenia 2 3 36 3" xfId="25154"/>
    <cellStyle name="Obliczenia 2 3 37" xfId="25155"/>
    <cellStyle name="Obliczenia 2 3 37 2" xfId="25156"/>
    <cellStyle name="Obliczenia 2 3 37 3" xfId="25157"/>
    <cellStyle name="Obliczenia 2 3 38" xfId="25158"/>
    <cellStyle name="Obliczenia 2 3 38 2" xfId="25159"/>
    <cellStyle name="Obliczenia 2 3 38 3" xfId="25160"/>
    <cellStyle name="Obliczenia 2 3 39" xfId="25161"/>
    <cellStyle name="Obliczenia 2 3 39 2" xfId="25162"/>
    <cellStyle name="Obliczenia 2 3 39 3" xfId="25163"/>
    <cellStyle name="Obliczenia 2 3 4" xfId="25164"/>
    <cellStyle name="Obliczenia 2 3 4 2" xfId="25165"/>
    <cellStyle name="Obliczenia 2 3 4 3" xfId="25166"/>
    <cellStyle name="Obliczenia 2 3 4 4" xfId="25167"/>
    <cellStyle name="Obliczenia 2 3 40" xfId="25168"/>
    <cellStyle name="Obliczenia 2 3 40 2" xfId="25169"/>
    <cellStyle name="Obliczenia 2 3 40 3" xfId="25170"/>
    <cellStyle name="Obliczenia 2 3 41" xfId="25171"/>
    <cellStyle name="Obliczenia 2 3 41 2" xfId="25172"/>
    <cellStyle name="Obliczenia 2 3 41 3" xfId="25173"/>
    <cellStyle name="Obliczenia 2 3 42" xfId="25174"/>
    <cellStyle name="Obliczenia 2 3 42 2" xfId="25175"/>
    <cellStyle name="Obliczenia 2 3 42 3" xfId="25176"/>
    <cellStyle name="Obliczenia 2 3 43" xfId="25177"/>
    <cellStyle name="Obliczenia 2 3 43 2" xfId="25178"/>
    <cellStyle name="Obliczenia 2 3 43 3" xfId="25179"/>
    <cellStyle name="Obliczenia 2 3 44" xfId="25180"/>
    <cellStyle name="Obliczenia 2 3 44 2" xfId="25181"/>
    <cellStyle name="Obliczenia 2 3 44 3" xfId="25182"/>
    <cellStyle name="Obliczenia 2 3 45" xfId="25183"/>
    <cellStyle name="Obliczenia 2 3 45 2" xfId="25184"/>
    <cellStyle name="Obliczenia 2 3 45 3" xfId="25185"/>
    <cellStyle name="Obliczenia 2 3 46" xfId="25186"/>
    <cellStyle name="Obliczenia 2 3 46 2" xfId="25187"/>
    <cellStyle name="Obliczenia 2 3 46 3" xfId="25188"/>
    <cellStyle name="Obliczenia 2 3 47" xfId="25189"/>
    <cellStyle name="Obliczenia 2 3 47 2" xfId="25190"/>
    <cellStyle name="Obliczenia 2 3 47 3" xfId="25191"/>
    <cellStyle name="Obliczenia 2 3 48" xfId="25192"/>
    <cellStyle name="Obliczenia 2 3 48 2" xfId="25193"/>
    <cellStyle name="Obliczenia 2 3 48 3" xfId="25194"/>
    <cellStyle name="Obliczenia 2 3 49" xfId="25195"/>
    <cellStyle name="Obliczenia 2 3 49 2" xfId="25196"/>
    <cellStyle name="Obliczenia 2 3 49 3" xfId="25197"/>
    <cellStyle name="Obliczenia 2 3 5" xfId="25198"/>
    <cellStyle name="Obliczenia 2 3 5 2" xfId="25199"/>
    <cellStyle name="Obliczenia 2 3 5 3" xfId="25200"/>
    <cellStyle name="Obliczenia 2 3 5 4" xfId="25201"/>
    <cellStyle name="Obliczenia 2 3 50" xfId="25202"/>
    <cellStyle name="Obliczenia 2 3 50 2" xfId="25203"/>
    <cellStyle name="Obliczenia 2 3 50 3" xfId="25204"/>
    <cellStyle name="Obliczenia 2 3 51" xfId="25205"/>
    <cellStyle name="Obliczenia 2 3 51 2" xfId="25206"/>
    <cellStyle name="Obliczenia 2 3 51 3" xfId="25207"/>
    <cellStyle name="Obliczenia 2 3 52" xfId="25208"/>
    <cellStyle name="Obliczenia 2 3 52 2" xfId="25209"/>
    <cellStyle name="Obliczenia 2 3 52 3" xfId="25210"/>
    <cellStyle name="Obliczenia 2 3 53" xfId="25211"/>
    <cellStyle name="Obliczenia 2 3 53 2" xfId="25212"/>
    <cellStyle name="Obliczenia 2 3 53 3" xfId="25213"/>
    <cellStyle name="Obliczenia 2 3 54" xfId="25214"/>
    <cellStyle name="Obliczenia 2 3 54 2" xfId="25215"/>
    <cellStyle name="Obliczenia 2 3 54 3" xfId="25216"/>
    <cellStyle name="Obliczenia 2 3 55" xfId="25217"/>
    <cellStyle name="Obliczenia 2 3 55 2" xfId="25218"/>
    <cellStyle name="Obliczenia 2 3 55 3" xfId="25219"/>
    <cellStyle name="Obliczenia 2 3 56" xfId="25220"/>
    <cellStyle name="Obliczenia 2 3 56 2" xfId="25221"/>
    <cellStyle name="Obliczenia 2 3 56 3" xfId="25222"/>
    <cellStyle name="Obliczenia 2 3 57" xfId="25223"/>
    <cellStyle name="Obliczenia 2 3 58" xfId="25224"/>
    <cellStyle name="Obliczenia 2 3 6" xfId="25225"/>
    <cellStyle name="Obliczenia 2 3 6 2" xfId="25226"/>
    <cellStyle name="Obliczenia 2 3 6 3" xfId="25227"/>
    <cellStyle name="Obliczenia 2 3 6 4" xfId="25228"/>
    <cellStyle name="Obliczenia 2 3 7" xfId="25229"/>
    <cellStyle name="Obliczenia 2 3 7 2" xfId="25230"/>
    <cellStyle name="Obliczenia 2 3 7 3" xfId="25231"/>
    <cellStyle name="Obliczenia 2 3 7 4" xfId="25232"/>
    <cellStyle name="Obliczenia 2 3 8" xfId="25233"/>
    <cellStyle name="Obliczenia 2 3 8 2" xfId="25234"/>
    <cellStyle name="Obliczenia 2 3 8 3" xfId="25235"/>
    <cellStyle name="Obliczenia 2 3 8 4" xfId="25236"/>
    <cellStyle name="Obliczenia 2 3 9" xfId="25237"/>
    <cellStyle name="Obliczenia 2 3 9 2" xfId="25238"/>
    <cellStyle name="Obliczenia 2 3 9 3" xfId="25239"/>
    <cellStyle name="Obliczenia 2 3 9 4" xfId="25240"/>
    <cellStyle name="Obliczenia 2 30" xfId="25241"/>
    <cellStyle name="Obliczenia 2 30 2" xfId="25242"/>
    <cellStyle name="Obliczenia 2 30 3" xfId="25243"/>
    <cellStyle name="Obliczenia 2 30 4" xfId="25244"/>
    <cellStyle name="Obliczenia 2 31" xfId="25245"/>
    <cellStyle name="Obliczenia 2 31 2" xfId="25246"/>
    <cellStyle name="Obliczenia 2 31 3" xfId="25247"/>
    <cellStyle name="Obliczenia 2 31 4" xfId="25248"/>
    <cellStyle name="Obliczenia 2 32" xfId="25249"/>
    <cellStyle name="Obliczenia 2 32 2" xfId="25250"/>
    <cellStyle name="Obliczenia 2 32 3" xfId="25251"/>
    <cellStyle name="Obliczenia 2 32 4" xfId="25252"/>
    <cellStyle name="Obliczenia 2 33" xfId="25253"/>
    <cellStyle name="Obliczenia 2 33 2" xfId="25254"/>
    <cellStyle name="Obliczenia 2 33 3" xfId="25255"/>
    <cellStyle name="Obliczenia 2 33 4" xfId="25256"/>
    <cellStyle name="Obliczenia 2 34" xfId="25257"/>
    <cellStyle name="Obliczenia 2 34 2" xfId="25258"/>
    <cellStyle name="Obliczenia 2 34 3" xfId="25259"/>
    <cellStyle name="Obliczenia 2 34 4" xfId="25260"/>
    <cellStyle name="Obliczenia 2 35" xfId="25261"/>
    <cellStyle name="Obliczenia 2 35 2" xfId="25262"/>
    <cellStyle name="Obliczenia 2 35 3" xfId="25263"/>
    <cellStyle name="Obliczenia 2 35 4" xfId="25264"/>
    <cellStyle name="Obliczenia 2 36" xfId="25265"/>
    <cellStyle name="Obliczenia 2 36 2" xfId="25266"/>
    <cellStyle name="Obliczenia 2 36 3" xfId="25267"/>
    <cellStyle name="Obliczenia 2 36 4" xfId="25268"/>
    <cellStyle name="Obliczenia 2 37" xfId="25269"/>
    <cellStyle name="Obliczenia 2 37 2" xfId="25270"/>
    <cellStyle name="Obliczenia 2 37 3" xfId="25271"/>
    <cellStyle name="Obliczenia 2 37 4" xfId="25272"/>
    <cellStyle name="Obliczenia 2 38" xfId="25273"/>
    <cellStyle name="Obliczenia 2 38 2" xfId="25274"/>
    <cellStyle name="Obliczenia 2 38 3" xfId="25275"/>
    <cellStyle name="Obliczenia 2 38 4" xfId="25276"/>
    <cellStyle name="Obliczenia 2 39" xfId="25277"/>
    <cellStyle name="Obliczenia 2 39 2" xfId="25278"/>
    <cellStyle name="Obliczenia 2 39 3" xfId="25279"/>
    <cellStyle name="Obliczenia 2 39 4" xfId="25280"/>
    <cellStyle name="Obliczenia 2 4" xfId="25281"/>
    <cellStyle name="Obliczenia 2 4 10" xfId="25282"/>
    <cellStyle name="Obliczenia 2 4 10 2" xfId="25283"/>
    <cellStyle name="Obliczenia 2 4 10 3" xfId="25284"/>
    <cellStyle name="Obliczenia 2 4 10 4" xfId="25285"/>
    <cellStyle name="Obliczenia 2 4 11" xfId="25286"/>
    <cellStyle name="Obliczenia 2 4 11 2" xfId="25287"/>
    <cellStyle name="Obliczenia 2 4 11 3" xfId="25288"/>
    <cellStyle name="Obliczenia 2 4 11 4" xfId="25289"/>
    <cellStyle name="Obliczenia 2 4 12" xfId="25290"/>
    <cellStyle name="Obliczenia 2 4 12 2" xfId="25291"/>
    <cellStyle name="Obliczenia 2 4 12 3" xfId="25292"/>
    <cellStyle name="Obliczenia 2 4 12 4" xfId="25293"/>
    <cellStyle name="Obliczenia 2 4 13" xfId="25294"/>
    <cellStyle name="Obliczenia 2 4 13 2" xfId="25295"/>
    <cellStyle name="Obliczenia 2 4 13 3" xfId="25296"/>
    <cellStyle name="Obliczenia 2 4 13 4" xfId="25297"/>
    <cellStyle name="Obliczenia 2 4 14" xfId="25298"/>
    <cellStyle name="Obliczenia 2 4 14 2" xfId="25299"/>
    <cellStyle name="Obliczenia 2 4 14 3" xfId="25300"/>
    <cellStyle name="Obliczenia 2 4 14 4" xfId="25301"/>
    <cellStyle name="Obliczenia 2 4 15" xfId="25302"/>
    <cellStyle name="Obliczenia 2 4 15 2" xfId="25303"/>
    <cellStyle name="Obliczenia 2 4 15 3" xfId="25304"/>
    <cellStyle name="Obliczenia 2 4 15 4" xfId="25305"/>
    <cellStyle name="Obliczenia 2 4 16" xfId="25306"/>
    <cellStyle name="Obliczenia 2 4 16 2" xfId="25307"/>
    <cellStyle name="Obliczenia 2 4 16 3" xfId="25308"/>
    <cellStyle name="Obliczenia 2 4 16 4" xfId="25309"/>
    <cellStyle name="Obliczenia 2 4 17" xfId="25310"/>
    <cellStyle name="Obliczenia 2 4 17 2" xfId="25311"/>
    <cellStyle name="Obliczenia 2 4 17 3" xfId="25312"/>
    <cellStyle name="Obliczenia 2 4 17 4" xfId="25313"/>
    <cellStyle name="Obliczenia 2 4 18" xfId="25314"/>
    <cellStyle name="Obliczenia 2 4 18 2" xfId="25315"/>
    <cellStyle name="Obliczenia 2 4 18 3" xfId="25316"/>
    <cellStyle name="Obliczenia 2 4 18 4" xfId="25317"/>
    <cellStyle name="Obliczenia 2 4 19" xfId="25318"/>
    <cellStyle name="Obliczenia 2 4 19 2" xfId="25319"/>
    <cellStyle name="Obliczenia 2 4 19 3" xfId="25320"/>
    <cellStyle name="Obliczenia 2 4 19 4" xfId="25321"/>
    <cellStyle name="Obliczenia 2 4 2" xfId="25322"/>
    <cellStyle name="Obliczenia 2 4 2 2" xfId="25323"/>
    <cellStyle name="Obliczenia 2 4 2 3" xfId="25324"/>
    <cellStyle name="Obliczenia 2 4 2 4" xfId="25325"/>
    <cellStyle name="Obliczenia 2 4 20" xfId="25326"/>
    <cellStyle name="Obliczenia 2 4 20 2" xfId="25327"/>
    <cellStyle name="Obliczenia 2 4 20 3" xfId="25328"/>
    <cellStyle name="Obliczenia 2 4 20 4" xfId="25329"/>
    <cellStyle name="Obliczenia 2 4 21" xfId="25330"/>
    <cellStyle name="Obliczenia 2 4 21 2" xfId="25331"/>
    <cellStyle name="Obliczenia 2 4 21 3" xfId="25332"/>
    <cellStyle name="Obliczenia 2 4 22" xfId="25333"/>
    <cellStyle name="Obliczenia 2 4 22 2" xfId="25334"/>
    <cellStyle name="Obliczenia 2 4 22 3" xfId="25335"/>
    <cellStyle name="Obliczenia 2 4 23" xfId="25336"/>
    <cellStyle name="Obliczenia 2 4 23 2" xfId="25337"/>
    <cellStyle name="Obliczenia 2 4 23 3" xfId="25338"/>
    <cellStyle name="Obliczenia 2 4 24" xfId="25339"/>
    <cellStyle name="Obliczenia 2 4 24 2" xfId="25340"/>
    <cellStyle name="Obliczenia 2 4 24 3" xfId="25341"/>
    <cellStyle name="Obliczenia 2 4 25" xfId="25342"/>
    <cellStyle name="Obliczenia 2 4 25 2" xfId="25343"/>
    <cellStyle name="Obliczenia 2 4 25 3" xfId="25344"/>
    <cellStyle name="Obliczenia 2 4 26" xfId="25345"/>
    <cellStyle name="Obliczenia 2 4 26 2" xfId="25346"/>
    <cellStyle name="Obliczenia 2 4 26 3" xfId="25347"/>
    <cellStyle name="Obliczenia 2 4 27" xfId="25348"/>
    <cellStyle name="Obliczenia 2 4 27 2" xfId="25349"/>
    <cellStyle name="Obliczenia 2 4 27 3" xfId="25350"/>
    <cellStyle name="Obliczenia 2 4 28" xfId="25351"/>
    <cellStyle name="Obliczenia 2 4 28 2" xfId="25352"/>
    <cellStyle name="Obliczenia 2 4 28 3" xfId="25353"/>
    <cellStyle name="Obliczenia 2 4 29" xfId="25354"/>
    <cellStyle name="Obliczenia 2 4 29 2" xfId="25355"/>
    <cellStyle name="Obliczenia 2 4 29 3" xfId="25356"/>
    <cellStyle name="Obliczenia 2 4 3" xfId="25357"/>
    <cellStyle name="Obliczenia 2 4 3 2" xfId="25358"/>
    <cellStyle name="Obliczenia 2 4 3 3" xfId="25359"/>
    <cellStyle name="Obliczenia 2 4 3 4" xfId="25360"/>
    <cellStyle name="Obliczenia 2 4 30" xfId="25361"/>
    <cellStyle name="Obliczenia 2 4 30 2" xfId="25362"/>
    <cellStyle name="Obliczenia 2 4 30 3" xfId="25363"/>
    <cellStyle name="Obliczenia 2 4 31" xfId="25364"/>
    <cellStyle name="Obliczenia 2 4 31 2" xfId="25365"/>
    <cellStyle name="Obliczenia 2 4 31 3" xfId="25366"/>
    <cellStyle name="Obliczenia 2 4 32" xfId="25367"/>
    <cellStyle name="Obliczenia 2 4 32 2" xfId="25368"/>
    <cellStyle name="Obliczenia 2 4 32 3" xfId="25369"/>
    <cellStyle name="Obliczenia 2 4 33" xfId="25370"/>
    <cellStyle name="Obliczenia 2 4 33 2" xfId="25371"/>
    <cellStyle name="Obliczenia 2 4 33 3" xfId="25372"/>
    <cellStyle name="Obliczenia 2 4 34" xfId="25373"/>
    <cellStyle name="Obliczenia 2 4 34 2" xfId="25374"/>
    <cellStyle name="Obliczenia 2 4 34 3" xfId="25375"/>
    <cellStyle name="Obliczenia 2 4 35" xfId="25376"/>
    <cellStyle name="Obliczenia 2 4 35 2" xfId="25377"/>
    <cellStyle name="Obliczenia 2 4 35 3" xfId="25378"/>
    <cellStyle name="Obliczenia 2 4 36" xfId="25379"/>
    <cellStyle name="Obliczenia 2 4 36 2" xfId="25380"/>
    <cellStyle name="Obliczenia 2 4 36 3" xfId="25381"/>
    <cellStyle name="Obliczenia 2 4 37" xfId="25382"/>
    <cellStyle name="Obliczenia 2 4 37 2" xfId="25383"/>
    <cellStyle name="Obliczenia 2 4 37 3" xfId="25384"/>
    <cellStyle name="Obliczenia 2 4 38" xfId="25385"/>
    <cellStyle name="Obliczenia 2 4 38 2" xfId="25386"/>
    <cellStyle name="Obliczenia 2 4 38 3" xfId="25387"/>
    <cellStyle name="Obliczenia 2 4 39" xfId="25388"/>
    <cellStyle name="Obliczenia 2 4 39 2" xfId="25389"/>
    <cellStyle name="Obliczenia 2 4 39 3" xfId="25390"/>
    <cellStyle name="Obliczenia 2 4 4" xfId="25391"/>
    <cellStyle name="Obliczenia 2 4 4 2" xfId="25392"/>
    <cellStyle name="Obliczenia 2 4 4 3" xfId="25393"/>
    <cellStyle name="Obliczenia 2 4 4 4" xfId="25394"/>
    <cellStyle name="Obliczenia 2 4 40" xfId="25395"/>
    <cellStyle name="Obliczenia 2 4 40 2" xfId="25396"/>
    <cellStyle name="Obliczenia 2 4 40 3" xfId="25397"/>
    <cellStyle name="Obliczenia 2 4 41" xfId="25398"/>
    <cellStyle name="Obliczenia 2 4 41 2" xfId="25399"/>
    <cellStyle name="Obliczenia 2 4 41 3" xfId="25400"/>
    <cellStyle name="Obliczenia 2 4 42" xfId="25401"/>
    <cellStyle name="Obliczenia 2 4 42 2" xfId="25402"/>
    <cellStyle name="Obliczenia 2 4 42 3" xfId="25403"/>
    <cellStyle name="Obliczenia 2 4 43" xfId="25404"/>
    <cellStyle name="Obliczenia 2 4 43 2" xfId="25405"/>
    <cellStyle name="Obliczenia 2 4 43 3" xfId="25406"/>
    <cellStyle name="Obliczenia 2 4 44" xfId="25407"/>
    <cellStyle name="Obliczenia 2 4 44 2" xfId="25408"/>
    <cellStyle name="Obliczenia 2 4 44 3" xfId="25409"/>
    <cellStyle name="Obliczenia 2 4 45" xfId="25410"/>
    <cellStyle name="Obliczenia 2 4 45 2" xfId="25411"/>
    <cellStyle name="Obliczenia 2 4 45 3" xfId="25412"/>
    <cellStyle name="Obliczenia 2 4 46" xfId="25413"/>
    <cellStyle name="Obliczenia 2 4 46 2" xfId="25414"/>
    <cellStyle name="Obliczenia 2 4 46 3" xfId="25415"/>
    <cellStyle name="Obliczenia 2 4 47" xfId="25416"/>
    <cellStyle name="Obliczenia 2 4 47 2" xfId="25417"/>
    <cellStyle name="Obliczenia 2 4 47 3" xfId="25418"/>
    <cellStyle name="Obliczenia 2 4 48" xfId="25419"/>
    <cellStyle name="Obliczenia 2 4 48 2" xfId="25420"/>
    <cellStyle name="Obliczenia 2 4 48 3" xfId="25421"/>
    <cellStyle name="Obliczenia 2 4 49" xfId="25422"/>
    <cellStyle name="Obliczenia 2 4 49 2" xfId="25423"/>
    <cellStyle name="Obliczenia 2 4 49 3" xfId="25424"/>
    <cellStyle name="Obliczenia 2 4 5" xfId="25425"/>
    <cellStyle name="Obliczenia 2 4 5 2" xfId="25426"/>
    <cellStyle name="Obliczenia 2 4 5 3" xfId="25427"/>
    <cellStyle name="Obliczenia 2 4 5 4" xfId="25428"/>
    <cellStyle name="Obliczenia 2 4 50" xfId="25429"/>
    <cellStyle name="Obliczenia 2 4 50 2" xfId="25430"/>
    <cellStyle name="Obliczenia 2 4 50 3" xfId="25431"/>
    <cellStyle name="Obliczenia 2 4 51" xfId="25432"/>
    <cellStyle name="Obliczenia 2 4 51 2" xfId="25433"/>
    <cellStyle name="Obliczenia 2 4 51 3" xfId="25434"/>
    <cellStyle name="Obliczenia 2 4 52" xfId="25435"/>
    <cellStyle name="Obliczenia 2 4 52 2" xfId="25436"/>
    <cellStyle name="Obliczenia 2 4 52 3" xfId="25437"/>
    <cellStyle name="Obliczenia 2 4 53" xfId="25438"/>
    <cellStyle name="Obliczenia 2 4 53 2" xfId="25439"/>
    <cellStyle name="Obliczenia 2 4 53 3" xfId="25440"/>
    <cellStyle name="Obliczenia 2 4 54" xfId="25441"/>
    <cellStyle name="Obliczenia 2 4 54 2" xfId="25442"/>
    <cellStyle name="Obliczenia 2 4 54 3" xfId="25443"/>
    <cellStyle name="Obliczenia 2 4 55" xfId="25444"/>
    <cellStyle name="Obliczenia 2 4 55 2" xfId="25445"/>
    <cellStyle name="Obliczenia 2 4 55 3" xfId="25446"/>
    <cellStyle name="Obliczenia 2 4 56" xfId="25447"/>
    <cellStyle name="Obliczenia 2 4 56 2" xfId="25448"/>
    <cellStyle name="Obliczenia 2 4 56 3" xfId="25449"/>
    <cellStyle name="Obliczenia 2 4 57" xfId="25450"/>
    <cellStyle name="Obliczenia 2 4 58" xfId="25451"/>
    <cellStyle name="Obliczenia 2 4 6" xfId="25452"/>
    <cellStyle name="Obliczenia 2 4 6 2" xfId="25453"/>
    <cellStyle name="Obliczenia 2 4 6 3" xfId="25454"/>
    <cellStyle name="Obliczenia 2 4 6 4" xfId="25455"/>
    <cellStyle name="Obliczenia 2 4 7" xfId="25456"/>
    <cellStyle name="Obliczenia 2 4 7 2" xfId="25457"/>
    <cellStyle name="Obliczenia 2 4 7 3" xfId="25458"/>
    <cellStyle name="Obliczenia 2 4 7 4" xfId="25459"/>
    <cellStyle name="Obliczenia 2 4 8" xfId="25460"/>
    <cellStyle name="Obliczenia 2 4 8 2" xfId="25461"/>
    <cellStyle name="Obliczenia 2 4 8 3" xfId="25462"/>
    <cellStyle name="Obliczenia 2 4 8 4" xfId="25463"/>
    <cellStyle name="Obliczenia 2 4 9" xfId="25464"/>
    <cellStyle name="Obliczenia 2 4 9 2" xfId="25465"/>
    <cellStyle name="Obliczenia 2 4 9 3" xfId="25466"/>
    <cellStyle name="Obliczenia 2 4 9 4" xfId="25467"/>
    <cellStyle name="Obliczenia 2 40" xfId="25468"/>
    <cellStyle name="Obliczenia 2 40 2" xfId="25469"/>
    <cellStyle name="Obliczenia 2 40 3" xfId="25470"/>
    <cellStyle name="Obliczenia 2 40 4" xfId="25471"/>
    <cellStyle name="Obliczenia 2 41" xfId="25472"/>
    <cellStyle name="Obliczenia 2 41 2" xfId="25473"/>
    <cellStyle name="Obliczenia 2 41 3" xfId="25474"/>
    <cellStyle name="Obliczenia 2 41 4" xfId="25475"/>
    <cellStyle name="Obliczenia 2 42" xfId="25476"/>
    <cellStyle name="Obliczenia 2 42 2" xfId="25477"/>
    <cellStyle name="Obliczenia 2 42 3" xfId="25478"/>
    <cellStyle name="Obliczenia 2 42 4" xfId="25479"/>
    <cellStyle name="Obliczenia 2 43" xfId="25480"/>
    <cellStyle name="Obliczenia 2 43 2" xfId="25481"/>
    <cellStyle name="Obliczenia 2 43 3" xfId="25482"/>
    <cellStyle name="Obliczenia 2 43 4" xfId="25483"/>
    <cellStyle name="Obliczenia 2 44" xfId="25484"/>
    <cellStyle name="Obliczenia 2 44 2" xfId="25485"/>
    <cellStyle name="Obliczenia 2 44 3" xfId="25486"/>
    <cellStyle name="Obliczenia 2 44 4" xfId="25487"/>
    <cellStyle name="Obliczenia 2 45" xfId="25488"/>
    <cellStyle name="Obliczenia 2 45 2" xfId="25489"/>
    <cellStyle name="Obliczenia 2 45 3" xfId="25490"/>
    <cellStyle name="Obliczenia 2 45 4" xfId="25491"/>
    <cellStyle name="Obliczenia 2 46" xfId="25492"/>
    <cellStyle name="Obliczenia 2 46 2" xfId="25493"/>
    <cellStyle name="Obliczenia 2 46 3" xfId="25494"/>
    <cellStyle name="Obliczenia 2 46 4" xfId="25495"/>
    <cellStyle name="Obliczenia 2 47" xfId="25496"/>
    <cellStyle name="Obliczenia 2 47 2" xfId="25497"/>
    <cellStyle name="Obliczenia 2 47 3" xfId="25498"/>
    <cellStyle name="Obliczenia 2 47 4" xfId="25499"/>
    <cellStyle name="Obliczenia 2 48" xfId="25500"/>
    <cellStyle name="Obliczenia 2 48 2" xfId="25501"/>
    <cellStyle name="Obliczenia 2 48 3" xfId="25502"/>
    <cellStyle name="Obliczenia 2 48 4" xfId="25503"/>
    <cellStyle name="Obliczenia 2 49" xfId="25504"/>
    <cellStyle name="Obliczenia 2 49 2" xfId="25505"/>
    <cellStyle name="Obliczenia 2 49 3" xfId="25506"/>
    <cellStyle name="Obliczenia 2 49 4" xfId="25507"/>
    <cellStyle name="Obliczenia 2 5" xfId="25508"/>
    <cellStyle name="Obliczenia 2 5 10" xfId="25509"/>
    <cellStyle name="Obliczenia 2 5 10 2" xfId="25510"/>
    <cellStyle name="Obliczenia 2 5 10 3" xfId="25511"/>
    <cellStyle name="Obliczenia 2 5 10 4" xfId="25512"/>
    <cellStyle name="Obliczenia 2 5 11" xfId="25513"/>
    <cellStyle name="Obliczenia 2 5 11 2" xfId="25514"/>
    <cellStyle name="Obliczenia 2 5 11 3" xfId="25515"/>
    <cellStyle name="Obliczenia 2 5 11 4" xfId="25516"/>
    <cellStyle name="Obliczenia 2 5 12" xfId="25517"/>
    <cellStyle name="Obliczenia 2 5 12 2" xfId="25518"/>
    <cellStyle name="Obliczenia 2 5 12 3" xfId="25519"/>
    <cellStyle name="Obliczenia 2 5 12 4" xfId="25520"/>
    <cellStyle name="Obliczenia 2 5 13" xfId="25521"/>
    <cellStyle name="Obliczenia 2 5 13 2" xfId="25522"/>
    <cellStyle name="Obliczenia 2 5 13 3" xfId="25523"/>
    <cellStyle name="Obliczenia 2 5 13 4" xfId="25524"/>
    <cellStyle name="Obliczenia 2 5 14" xfId="25525"/>
    <cellStyle name="Obliczenia 2 5 14 2" xfId="25526"/>
    <cellStyle name="Obliczenia 2 5 14 3" xfId="25527"/>
    <cellStyle name="Obliczenia 2 5 14 4" xfId="25528"/>
    <cellStyle name="Obliczenia 2 5 15" xfId="25529"/>
    <cellStyle name="Obliczenia 2 5 15 2" xfId="25530"/>
    <cellStyle name="Obliczenia 2 5 15 3" xfId="25531"/>
    <cellStyle name="Obliczenia 2 5 15 4" xfId="25532"/>
    <cellStyle name="Obliczenia 2 5 16" xfId="25533"/>
    <cellStyle name="Obliczenia 2 5 16 2" xfId="25534"/>
    <cellStyle name="Obliczenia 2 5 16 3" xfId="25535"/>
    <cellStyle name="Obliczenia 2 5 16 4" xfId="25536"/>
    <cellStyle name="Obliczenia 2 5 17" xfId="25537"/>
    <cellStyle name="Obliczenia 2 5 17 2" xfId="25538"/>
    <cellStyle name="Obliczenia 2 5 17 3" xfId="25539"/>
    <cellStyle name="Obliczenia 2 5 17 4" xfId="25540"/>
    <cellStyle name="Obliczenia 2 5 18" xfId="25541"/>
    <cellStyle name="Obliczenia 2 5 18 2" xfId="25542"/>
    <cellStyle name="Obliczenia 2 5 18 3" xfId="25543"/>
    <cellStyle name="Obliczenia 2 5 18 4" xfId="25544"/>
    <cellStyle name="Obliczenia 2 5 19" xfId="25545"/>
    <cellStyle name="Obliczenia 2 5 19 2" xfId="25546"/>
    <cellStyle name="Obliczenia 2 5 19 3" xfId="25547"/>
    <cellStyle name="Obliczenia 2 5 19 4" xfId="25548"/>
    <cellStyle name="Obliczenia 2 5 2" xfId="25549"/>
    <cellStyle name="Obliczenia 2 5 2 2" xfId="25550"/>
    <cellStyle name="Obliczenia 2 5 2 3" xfId="25551"/>
    <cellStyle name="Obliczenia 2 5 2 4" xfId="25552"/>
    <cellStyle name="Obliczenia 2 5 20" xfId="25553"/>
    <cellStyle name="Obliczenia 2 5 20 2" xfId="25554"/>
    <cellStyle name="Obliczenia 2 5 20 3" xfId="25555"/>
    <cellStyle name="Obliczenia 2 5 20 4" xfId="25556"/>
    <cellStyle name="Obliczenia 2 5 21" xfId="25557"/>
    <cellStyle name="Obliczenia 2 5 21 2" xfId="25558"/>
    <cellStyle name="Obliczenia 2 5 21 3" xfId="25559"/>
    <cellStyle name="Obliczenia 2 5 22" xfId="25560"/>
    <cellStyle name="Obliczenia 2 5 22 2" xfId="25561"/>
    <cellStyle name="Obliczenia 2 5 22 3" xfId="25562"/>
    <cellStyle name="Obliczenia 2 5 23" xfId="25563"/>
    <cellStyle name="Obliczenia 2 5 23 2" xfId="25564"/>
    <cellStyle name="Obliczenia 2 5 23 3" xfId="25565"/>
    <cellStyle name="Obliczenia 2 5 24" xfId="25566"/>
    <cellStyle name="Obliczenia 2 5 24 2" xfId="25567"/>
    <cellStyle name="Obliczenia 2 5 24 3" xfId="25568"/>
    <cellStyle name="Obliczenia 2 5 25" xfId="25569"/>
    <cellStyle name="Obliczenia 2 5 25 2" xfId="25570"/>
    <cellStyle name="Obliczenia 2 5 25 3" xfId="25571"/>
    <cellStyle name="Obliczenia 2 5 26" xfId="25572"/>
    <cellStyle name="Obliczenia 2 5 26 2" xfId="25573"/>
    <cellStyle name="Obliczenia 2 5 26 3" xfId="25574"/>
    <cellStyle name="Obliczenia 2 5 27" xfId="25575"/>
    <cellStyle name="Obliczenia 2 5 27 2" xfId="25576"/>
    <cellStyle name="Obliczenia 2 5 27 3" xfId="25577"/>
    <cellStyle name="Obliczenia 2 5 28" xfId="25578"/>
    <cellStyle name="Obliczenia 2 5 28 2" xfId="25579"/>
    <cellStyle name="Obliczenia 2 5 28 3" xfId="25580"/>
    <cellStyle name="Obliczenia 2 5 29" xfId="25581"/>
    <cellStyle name="Obliczenia 2 5 29 2" xfId="25582"/>
    <cellStyle name="Obliczenia 2 5 29 3" xfId="25583"/>
    <cellStyle name="Obliczenia 2 5 3" xfId="25584"/>
    <cellStyle name="Obliczenia 2 5 3 2" xfId="25585"/>
    <cellStyle name="Obliczenia 2 5 3 3" xfId="25586"/>
    <cellStyle name="Obliczenia 2 5 3 4" xfId="25587"/>
    <cellStyle name="Obliczenia 2 5 30" xfId="25588"/>
    <cellStyle name="Obliczenia 2 5 30 2" xfId="25589"/>
    <cellStyle name="Obliczenia 2 5 30 3" xfId="25590"/>
    <cellStyle name="Obliczenia 2 5 31" xfId="25591"/>
    <cellStyle name="Obliczenia 2 5 31 2" xfId="25592"/>
    <cellStyle name="Obliczenia 2 5 31 3" xfId="25593"/>
    <cellStyle name="Obliczenia 2 5 32" xfId="25594"/>
    <cellStyle name="Obliczenia 2 5 32 2" xfId="25595"/>
    <cellStyle name="Obliczenia 2 5 32 3" xfId="25596"/>
    <cellStyle name="Obliczenia 2 5 33" xfId="25597"/>
    <cellStyle name="Obliczenia 2 5 33 2" xfId="25598"/>
    <cellStyle name="Obliczenia 2 5 33 3" xfId="25599"/>
    <cellStyle name="Obliczenia 2 5 34" xfId="25600"/>
    <cellStyle name="Obliczenia 2 5 34 2" xfId="25601"/>
    <cellStyle name="Obliczenia 2 5 34 3" xfId="25602"/>
    <cellStyle name="Obliczenia 2 5 35" xfId="25603"/>
    <cellStyle name="Obliczenia 2 5 35 2" xfId="25604"/>
    <cellStyle name="Obliczenia 2 5 35 3" xfId="25605"/>
    <cellStyle name="Obliczenia 2 5 36" xfId="25606"/>
    <cellStyle name="Obliczenia 2 5 36 2" xfId="25607"/>
    <cellStyle name="Obliczenia 2 5 36 3" xfId="25608"/>
    <cellStyle name="Obliczenia 2 5 37" xfId="25609"/>
    <cellStyle name="Obliczenia 2 5 37 2" xfId="25610"/>
    <cellStyle name="Obliczenia 2 5 37 3" xfId="25611"/>
    <cellStyle name="Obliczenia 2 5 38" xfId="25612"/>
    <cellStyle name="Obliczenia 2 5 38 2" xfId="25613"/>
    <cellStyle name="Obliczenia 2 5 38 3" xfId="25614"/>
    <cellStyle name="Obliczenia 2 5 39" xfId="25615"/>
    <cellStyle name="Obliczenia 2 5 39 2" xfId="25616"/>
    <cellStyle name="Obliczenia 2 5 39 3" xfId="25617"/>
    <cellStyle name="Obliczenia 2 5 4" xfId="25618"/>
    <cellStyle name="Obliczenia 2 5 4 2" xfId="25619"/>
    <cellStyle name="Obliczenia 2 5 4 3" xfId="25620"/>
    <cellStyle name="Obliczenia 2 5 4 4" xfId="25621"/>
    <cellStyle name="Obliczenia 2 5 40" xfId="25622"/>
    <cellStyle name="Obliczenia 2 5 40 2" xfId="25623"/>
    <cellStyle name="Obliczenia 2 5 40 3" xfId="25624"/>
    <cellStyle name="Obliczenia 2 5 41" xfId="25625"/>
    <cellStyle name="Obliczenia 2 5 41 2" xfId="25626"/>
    <cellStyle name="Obliczenia 2 5 41 3" xfId="25627"/>
    <cellStyle name="Obliczenia 2 5 42" xfId="25628"/>
    <cellStyle name="Obliczenia 2 5 42 2" xfId="25629"/>
    <cellStyle name="Obliczenia 2 5 42 3" xfId="25630"/>
    <cellStyle name="Obliczenia 2 5 43" xfId="25631"/>
    <cellStyle name="Obliczenia 2 5 43 2" xfId="25632"/>
    <cellStyle name="Obliczenia 2 5 43 3" xfId="25633"/>
    <cellStyle name="Obliczenia 2 5 44" xfId="25634"/>
    <cellStyle name="Obliczenia 2 5 44 2" xfId="25635"/>
    <cellStyle name="Obliczenia 2 5 44 3" xfId="25636"/>
    <cellStyle name="Obliczenia 2 5 45" xfId="25637"/>
    <cellStyle name="Obliczenia 2 5 45 2" xfId="25638"/>
    <cellStyle name="Obliczenia 2 5 45 3" xfId="25639"/>
    <cellStyle name="Obliczenia 2 5 46" xfId="25640"/>
    <cellStyle name="Obliczenia 2 5 46 2" xfId="25641"/>
    <cellStyle name="Obliczenia 2 5 46 3" xfId="25642"/>
    <cellStyle name="Obliczenia 2 5 47" xfId="25643"/>
    <cellStyle name="Obliczenia 2 5 47 2" xfId="25644"/>
    <cellStyle name="Obliczenia 2 5 47 3" xfId="25645"/>
    <cellStyle name="Obliczenia 2 5 48" xfId="25646"/>
    <cellStyle name="Obliczenia 2 5 48 2" xfId="25647"/>
    <cellStyle name="Obliczenia 2 5 48 3" xfId="25648"/>
    <cellStyle name="Obliczenia 2 5 49" xfId="25649"/>
    <cellStyle name="Obliczenia 2 5 49 2" xfId="25650"/>
    <cellStyle name="Obliczenia 2 5 49 3" xfId="25651"/>
    <cellStyle name="Obliczenia 2 5 5" xfId="25652"/>
    <cellStyle name="Obliczenia 2 5 5 2" xfId="25653"/>
    <cellStyle name="Obliczenia 2 5 5 3" xfId="25654"/>
    <cellStyle name="Obliczenia 2 5 5 4" xfId="25655"/>
    <cellStyle name="Obliczenia 2 5 50" xfId="25656"/>
    <cellStyle name="Obliczenia 2 5 50 2" xfId="25657"/>
    <cellStyle name="Obliczenia 2 5 50 3" xfId="25658"/>
    <cellStyle name="Obliczenia 2 5 51" xfId="25659"/>
    <cellStyle name="Obliczenia 2 5 51 2" xfId="25660"/>
    <cellStyle name="Obliczenia 2 5 51 3" xfId="25661"/>
    <cellStyle name="Obliczenia 2 5 52" xfId="25662"/>
    <cellStyle name="Obliczenia 2 5 52 2" xfId="25663"/>
    <cellStyle name="Obliczenia 2 5 52 3" xfId="25664"/>
    <cellStyle name="Obliczenia 2 5 53" xfId="25665"/>
    <cellStyle name="Obliczenia 2 5 53 2" xfId="25666"/>
    <cellStyle name="Obliczenia 2 5 53 3" xfId="25667"/>
    <cellStyle name="Obliczenia 2 5 54" xfId="25668"/>
    <cellStyle name="Obliczenia 2 5 54 2" xfId="25669"/>
    <cellStyle name="Obliczenia 2 5 54 3" xfId="25670"/>
    <cellStyle name="Obliczenia 2 5 55" xfId="25671"/>
    <cellStyle name="Obliczenia 2 5 55 2" xfId="25672"/>
    <cellStyle name="Obliczenia 2 5 55 3" xfId="25673"/>
    <cellStyle name="Obliczenia 2 5 56" xfId="25674"/>
    <cellStyle name="Obliczenia 2 5 56 2" xfId="25675"/>
    <cellStyle name="Obliczenia 2 5 56 3" xfId="25676"/>
    <cellStyle name="Obliczenia 2 5 57" xfId="25677"/>
    <cellStyle name="Obliczenia 2 5 58" xfId="25678"/>
    <cellStyle name="Obliczenia 2 5 6" xfId="25679"/>
    <cellStyle name="Obliczenia 2 5 6 2" xfId="25680"/>
    <cellStyle name="Obliczenia 2 5 6 3" xfId="25681"/>
    <cellStyle name="Obliczenia 2 5 6 4" xfId="25682"/>
    <cellStyle name="Obliczenia 2 5 7" xfId="25683"/>
    <cellStyle name="Obliczenia 2 5 7 2" xfId="25684"/>
    <cellStyle name="Obliczenia 2 5 7 3" xfId="25685"/>
    <cellStyle name="Obliczenia 2 5 7 4" xfId="25686"/>
    <cellStyle name="Obliczenia 2 5 8" xfId="25687"/>
    <cellStyle name="Obliczenia 2 5 8 2" xfId="25688"/>
    <cellStyle name="Obliczenia 2 5 8 3" xfId="25689"/>
    <cellStyle name="Obliczenia 2 5 8 4" xfId="25690"/>
    <cellStyle name="Obliczenia 2 5 9" xfId="25691"/>
    <cellStyle name="Obliczenia 2 5 9 2" xfId="25692"/>
    <cellStyle name="Obliczenia 2 5 9 3" xfId="25693"/>
    <cellStyle name="Obliczenia 2 5 9 4" xfId="25694"/>
    <cellStyle name="Obliczenia 2 50" xfId="25695"/>
    <cellStyle name="Obliczenia 2 50 2" xfId="25696"/>
    <cellStyle name="Obliczenia 2 50 3" xfId="25697"/>
    <cellStyle name="Obliczenia 2 50 4" xfId="25698"/>
    <cellStyle name="Obliczenia 2 51" xfId="25699"/>
    <cellStyle name="Obliczenia 2 51 2" xfId="25700"/>
    <cellStyle name="Obliczenia 2 51 3" xfId="25701"/>
    <cellStyle name="Obliczenia 2 51 4" xfId="25702"/>
    <cellStyle name="Obliczenia 2 52" xfId="25703"/>
    <cellStyle name="Obliczenia 2 52 2" xfId="25704"/>
    <cellStyle name="Obliczenia 2 52 3" xfId="25705"/>
    <cellStyle name="Obliczenia 2 52 4" xfId="25706"/>
    <cellStyle name="Obliczenia 2 53" xfId="25707"/>
    <cellStyle name="Obliczenia 2 53 2" xfId="25708"/>
    <cellStyle name="Obliczenia 2 53 3" xfId="25709"/>
    <cellStyle name="Obliczenia 2 53 4" xfId="25710"/>
    <cellStyle name="Obliczenia 2 54" xfId="25711"/>
    <cellStyle name="Obliczenia 2 54 2" xfId="25712"/>
    <cellStyle name="Obliczenia 2 54 3" xfId="25713"/>
    <cellStyle name="Obliczenia 2 54 4" xfId="25714"/>
    <cellStyle name="Obliczenia 2 55" xfId="25715"/>
    <cellStyle name="Obliczenia 2 55 2" xfId="25716"/>
    <cellStyle name="Obliczenia 2 55 3" xfId="25717"/>
    <cellStyle name="Obliczenia 2 55 4" xfId="25718"/>
    <cellStyle name="Obliczenia 2 56" xfId="25719"/>
    <cellStyle name="Obliczenia 2 56 2" xfId="25720"/>
    <cellStyle name="Obliczenia 2 56 3" xfId="25721"/>
    <cellStyle name="Obliczenia 2 56 4" xfId="25722"/>
    <cellStyle name="Obliczenia 2 57" xfId="25723"/>
    <cellStyle name="Obliczenia 2 57 2" xfId="25724"/>
    <cellStyle name="Obliczenia 2 57 3" xfId="25725"/>
    <cellStyle name="Obliczenia 2 57 4" xfId="25726"/>
    <cellStyle name="Obliczenia 2 58" xfId="25727"/>
    <cellStyle name="Obliczenia 2 58 2" xfId="25728"/>
    <cellStyle name="Obliczenia 2 58 3" xfId="25729"/>
    <cellStyle name="Obliczenia 2 58 4" xfId="25730"/>
    <cellStyle name="Obliczenia 2 59" xfId="25731"/>
    <cellStyle name="Obliczenia 2 59 2" xfId="25732"/>
    <cellStyle name="Obliczenia 2 59 3" xfId="25733"/>
    <cellStyle name="Obliczenia 2 59 4" xfId="25734"/>
    <cellStyle name="Obliczenia 2 6" xfId="25735"/>
    <cellStyle name="Obliczenia 2 6 10" xfId="25736"/>
    <cellStyle name="Obliczenia 2 6 10 2" xfId="25737"/>
    <cellStyle name="Obliczenia 2 6 10 3" xfId="25738"/>
    <cellStyle name="Obliczenia 2 6 10 4" xfId="25739"/>
    <cellStyle name="Obliczenia 2 6 11" xfId="25740"/>
    <cellStyle name="Obliczenia 2 6 11 2" xfId="25741"/>
    <cellStyle name="Obliczenia 2 6 11 3" xfId="25742"/>
    <cellStyle name="Obliczenia 2 6 11 4" xfId="25743"/>
    <cellStyle name="Obliczenia 2 6 12" xfId="25744"/>
    <cellStyle name="Obliczenia 2 6 12 2" xfId="25745"/>
    <cellStyle name="Obliczenia 2 6 12 3" xfId="25746"/>
    <cellStyle name="Obliczenia 2 6 12 4" xfId="25747"/>
    <cellStyle name="Obliczenia 2 6 13" xfId="25748"/>
    <cellStyle name="Obliczenia 2 6 13 2" xfId="25749"/>
    <cellStyle name="Obliczenia 2 6 13 3" xfId="25750"/>
    <cellStyle name="Obliczenia 2 6 13 4" xfId="25751"/>
    <cellStyle name="Obliczenia 2 6 14" xfId="25752"/>
    <cellStyle name="Obliczenia 2 6 14 2" xfId="25753"/>
    <cellStyle name="Obliczenia 2 6 14 3" xfId="25754"/>
    <cellStyle name="Obliczenia 2 6 14 4" xfId="25755"/>
    <cellStyle name="Obliczenia 2 6 15" xfId="25756"/>
    <cellStyle name="Obliczenia 2 6 15 2" xfId="25757"/>
    <cellStyle name="Obliczenia 2 6 15 3" xfId="25758"/>
    <cellStyle name="Obliczenia 2 6 15 4" xfId="25759"/>
    <cellStyle name="Obliczenia 2 6 16" xfId="25760"/>
    <cellStyle name="Obliczenia 2 6 16 2" xfId="25761"/>
    <cellStyle name="Obliczenia 2 6 16 3" xfId="25762"/>
    <cellStyle name="Obliczenia 2 6 16 4" xfId="25763"/>
    <cellStyle name="Obliczenia 2 6 17" xfId="25764"/>
    <cellStyle name="Obliczenia 2 6 17 2" xfId="25765"/>
    <cellStyle name="Obliczenia 2 6 17 3" xfId="25766"/>
    <cellStyle name="Obliczenia 2 6 17 4" xfId="25767"/>
    <cellStyle name="Obliczenia 2 6 18" xfId="25768"/>
    <cellStyle name="Obliczenia 2 6 18 2" xfId="25769"/>
    <cellStyle name="Obliczenia 2 6 18 3" xfId="25770"/>
    <cellStyle name="Obliczenia 2 6 18 4" xfId="25771"/>
    <cellStyle name="Obliczenia 2 6 19" xfId="25772"/>
    <cellStyle name="Obliczenia 2 6 19 2" xfId="25773"/>
    <cellStyle name="Obliczenia 2 6 19 3" xfId="25774"/>
    <cellStyle name="Obliczenia 2 6 19 4" xfId="25775"/>
    <cellStyle name="Obliczenia 2 6 2" xfId="25776"/>
    <cellStyle name="Obliczenia 2 6 2 2" xfId="25777"/>
    <cellStyle name="Obliczenia 2 6 2 3" xfId="25778"/>
    <cellStyle name="Obliczenia 2 6 2 4" xfId="25779"/>
    <cellStyle name="Obliczenia 2 6 20" xfId="25780"/>
    <cellStyle name="Obliczenia 2 6 20 2" xfId="25781"/>
    <cellStyle name="Obliczenia 2 6 20 3" xfId="25782"/>
    <cellStyle name="Obliczenia 2 6 20 4" xfId="25783"/>
    <cellStyle name="Obliczenia 2 6 21" xfId="25784"/>
    <cellStyle name="Obliczenia 2 6 21 2" xfId="25785"/>
    <cellStyle name="Obliczenia 2 6 21 3" xfId="25786"/>
    <cellStyle name="Obliczenia 2 6 22" xfId="25787"/>
    <cellStyle name="Obliczenia 2 6 22 2" xfId="25788"/>
    <cellStyle name="Obliczenia 2 6 22 3" xfId="25789"/>
    <cellStyle name="Obliczenia 2 6 23" xfId="25790"/>
    <cellStyle name="Obliczenia 2 6 23 2" xfId="25791"/>
    <cellStyle name="Obliczenia 2 6 23 3" xfId="25792"/>
    <cellStyle name="Obliczenia 2 6 24" xfId="25793"/>
    <cellStyle name="Obliczenia 2 6 24 2" xfId="25794"/>
    <cellStyle name="Obliczenia 2 6 24 3" xfId="25795"/>
    <cellStyle name="Obliczenia 2 6 25" xfId="25796"/>
    <cellStyle name="Obliczenia 2 6 25 2" xfId="25797"/>
    <cellStyle name="Obliczenia 2 6 25 3" xfId="25798"/>
    <cellStyle name="Obliczenia 2 6 26" xfId="25799"/>
    <cellStyle name="Obliczenia 2 6 26 2" xfId="25800"/>
    <cellStyle name="Obliczenia 2 6 26 3" xfId="25801"/>
    <cellStyle name="Obliczenia 2 6 27" xfId="25802"/>
    <cellStyle name="Obliczenia 2 6 27 2" xfId="25803"/>
    <cellStyle name="Obliczenia 2 6 27 3" xfId="25804"/>
    <cellStyle name="Obliczenia 2 6 28" xfId="25805"/>
    <cellStyle name="Obliczenia 2 6 28 2" xfId="25806"/>
    <cellStyle name="Obliczenia 2 6 28 3" xfId="25807"/>
    <cellStyle name="Obliczenia 2 6 29" xfId="25808"/>
    <cellStyle name="Obliczenia 2 6 29 2" xfId="25809"/>
    <cellStyle name="Obliczenia 2 6 29 3" xfId="25810"/>
    <cellStyle name="Obliczenia 2 6 3" xfId="25811"/>
    <cellStyle name="Obliczenia 2 6 3 2" xfId="25812"/>
    <cellStyle name="Obliczenia 2 6 3 3" xfId="25813"/>
    <cellStyle name="Obliczenia 2 6 3 4" xfId="25814"/>
    <cellStyle name="Obliczenia 2 6 30" xfId="25815"/>
    <cellStyle name="Obliczenia 2 6 30 2" xfId="25816"/>
    <cellStyle name="Obliczenia 2 6 30 3" xfId="25817"/>
    <cellStyle name="Obliczenia 2 6 31" xfId="25818"/>
    <cellStyle name="Obliczenia 2 6 31 2" xfId="25819"/>
    <cellStyle name="Obliczenia 2 6 31 3" xfId="25820"/>
    <cellStyle name="Obliczenia 2 6 32" xfId="25821"/>
    <cellStyle name="Obliczenia 2 6 32 2" xfId="25822"/>
    <cellStyle name="Obliczenia 2 6 32 3" xfId="25823"/>
    <cellStyle name="Obliczenia 2 6 33" xfId="25824"/>
    <cellStyle name="Obliczenia 2 6 33 2" xfId="25825"/>
    <cellStyle name="Obliczenia 2 6 33 3" xfId="25826"/>
    <cellStyle name="Obliczenia 2 6 34" xfId="25827"/>
    <cellStyle name="Obliczenia 2 6 34 2" xfId="25828"/>
    <cellStyle name="Obliczenia 2 6 34 3" xfId="25829"/>
    <cellStyle name="Obliczenia 2 6 35" xfId="25830"/>
    <cellStyle name="Obliczenia 2 6 35 2" xfId="25831"/>
    <cellStyle name="Obliczenia 2 6 35 3" xfId="25832"/>
    <cellStyle name="Obliczenia 2 6 36" xfId="25833"/>
    <cellStyle name="Obliczenia 2 6 36 2" xfId="25834"/>
    <cellStyle name="Obliczenia 2 6 36 3" xfId="25835"/>
    <cellStyle name="Obliczenia 2 6 37" xfId="25836"/>
    <cellStyle name="Obliczenia 2 6 37 2" xfId="25837"/>
    <cellStyle name="Obliczenia 2 6 37 3" xfId="25838"/>
    <cellStyle name="Obliczenia 2 6 38" xfId="25839"/>
    <cellStyle name="Obliczenia 2 6 38 2" xfId="25840"/>
    <cellStyle name="Obliczenia 2 6 38 3" xfId="25841"/>
    <cellStyle name="Obliczenia 2 6 39" xfId="25842"/>
    <cellStyle name="Obliczenia 2 6 39 2" xfId="25843"/>
    <cellStyle name="Obliczenia 2 6 39 3" xfId="25844"/>
    <cellStyle name="Obliczenia 2 6 4" xfId="25845"/>
    <cellStyle name="Obliczenia 2 6 4 2" xfId="25846"/>
    <cellStyle name="Obliczenia 2 6 4 3" xfId="25847"/>
    <cellStyle name="Obliczenia 2 6 4 4" xfId="25848"/>
    <cellStyle name="Obliczenia 2 6 40" xfId="25849"/>
    <cellStyle name="Obliczenia 2 6 40 2" xfId="25850"/>
    <cellStyle name="Obliczenia 2 6 40 3" xfId="25851"/>
    <cellStyle name="Obliczenia 2 6 41" xfId="25852"/>
    <cellStyle name="Obliczenia 2 6 41 2" xfId="25853"/>
    <cellStyle name="Obliczenia 2 6 41 3" xfId="25854"/>
    <cellStyle name="Obliczenia 2 6 42" xfId="25855"/>
    <cellStyle name="Obliczenia 2 6 42 2" xfId="25856"/>
    <cellStyle name="Obliczenia 2 6 42 3" xfId="25857"/>
    <cellStyle name="Obliczenia 2 6 43" xfId="25858"/>
    <cellStyle name="Obliczenia 2 6 43 2" xfId="25859"/>
    <cellStyle name="Obliczenia 2 6 43 3" xfId="25860"/>
    <cellStyle name="Obliczenia 2 6 44" xfId="25861"/>
    <cellStyle name="Obliczenia 2 6 44 2" xfId="25862"/>
    <cellStyle name="Obliczenia 2 6 44 3" xfId="25863"/>
    <cellStyle name="Obliczenia 2 6 45" xfId="25864"/>
    <cellStyle name="Obliczenia 2 6 45 2" xfId="25865"/>
    <cellStyle name="Obliczenia 2 6 45 3" xfId="25866"/>
    <cellStyle name="Obliczenia 2 6 46" xfId="25867"/>
    <cellStyle name="Obliczenia 2 6 46 2" xfId="25868"/>
    <cellStyle name="Obliczenia 2 6 46 3" xfId="25869"/>
    <cellStyle name="Obliczenia 2 6 47" xfId="25870"/>
    <cellStyle name="Obliczenia 2 6 47 2" xfId="25871"/>
    <cellStyle name="Obliczenia 2 6 47 3" xfId="25872"/>
    <cellStyle name="Obliczenia 2 6 48" xfId="25873"/>
    <cellStyle name="Obliczenia 2 6 48 2" xfId="25874"/>
    <cellStyle name="Obliczenia 2 6 48 3" xfId="25875"/>
    <cellStyle name="Obliczenia 2 6 49" xfId="25876"/>
    <cellStyle name="Obliczenia 2 6 49 2" xfId="25877"/>
    <cellStyle name="Obliczenia 2 6 49 3" xfId="25878"/>
    <cellStyle name="Obliczenia 2 6 5" xfId="25879"/>
    <cellStyle name="Obliczenia 2 6 5 2" xfId="25880"/>
    <cellStyle name="Obliczenia 2 6 5 3" xfId="25881"/>
    <cellStyle name="Obliczenia 2 6 5 4" xfId="25882"/>
    <cellStyle name="Obliczenia 2 6 50" xfId="25883"/>
    <cellStyle name="Obliczenia 2 6 50 2" xfId="25884"/>
    <cellStyle name="Obliczenia 2 6 50 3" xfId="25885"/>
    <cellStyle name="Obliczenia 2 6 51" xfId="25886"/>
    <cellStyle name="Obliczenia 2 6 51 2" xfId="25887"/>
    <cellStyle name="Obliczenia 2 6 51 3" xfId="25888"/>
    <cellStyle name="Obliczenia 2 6 52" xfId="25889"/>
    <cellStyle name="Obliczenia 2 6 52 2" xfId="25890"/>
    <cellStyle name="Obliczenia 2 6 52 3" xfId="25891"/>
    <cellStyle name="Obliczenia 2 6 53" xfId="25892"/>
    <cellStyle name="Obliczenia 2 6 53 2" xfId="25893"/>
    <cellStyle name="Obliczenia 2 6 53 3" xfId="25894"/>
    <cellStyle name="Obliczenia 2 6 54" xfId="25895"/>
    <cellStyle name="Obliczenia 2 6 54 2" xfId="25896"/>
    <cellStyle name="Obliczenia 2 6 54 3" xfId="25897"/>
    <cellStyle name="Obliczenia 2 6 55" xfId="25898"/>
    <cellStyle name="Obliczenia 2 6 55 2" xfId="25899"/>
    <cellStyle name="Obliczenia 2 6 55 3" xfId="25900"/>
    <cellStyle name="Obliczenia 2 6 56" xfId="25901"/>
    <cellStyle name="Obliczenia 2 6 56 2" xfId="25902"/>
    <cellStyle name="Obliczenia 2 6 56 3" xfId="25903"/>
    <cellStyle name="Obliczenia 2 6 57" xfId="25904"/>
    <cellStyle name="Obliczenia 2 6 58" xfId="25905"/>
    <cellStyle name="Obliczenia 2 6 6" xfId="25906"/>
    <cellStyle name="Obliczenia 2 6 6 2" xfId="25907"/>
    <cellStyle name="Obliczenia 2 6 6 3" xfId="25908"/>
    <cellStyle name="Obliczenia 2 6 6 4" xfId="25909"/>
    <cellStyle name="Obliczenia 2 6 7" xfId="25910"/>
    <cellStyle name="Obliczenia 2 6 7 2" xfId="25911"/>
    <cellStyle name="Obliczenia 2 6 7 3" xfId="25912"/>
    <cellStyle name="Obliczenia 2 6 7 4" xfId="25913"/>
    <cellStyle name="Obliczenia 2 6 8" xfId="25914"/>
    <cellStyle name="Obliczenia 2 6 8 2" xfId="25915"/>
    <cellStyle name="Obliczenia 2 6 8 3" xfId="25916"/>
    <cellStyle name="Obliczenia 2 6 8 4" xfId="25917"/>
    <cellStyle name="Obliczenia 2 6 9" xfId="25918"/>
    <cellStyle name="Obliczenia 2 6 9 2" xfId="25919"/>
    <cellStyle name="Obliczenia 2 6 9 3" xfId="25920"/>
    <cellStyle name="Obliczenia 2 6 9 4" xfId="25921"/>
    <cellStyle name="Obliczenia 2 60" xfId="25922"/>
    <cellStyle name="Obliczenia 2 60 2" xfId="25923"/>
    <cellStyle name="Obliczenia 2 60 3" xfId="25924"/>
    <cellStyle name="Obliczenia 2 60 4" xfId="25925"/>
    <cellStyle name="Obliczenia 2 61" xfId="25926"/>
    <cellStyle name="Obliczenia 2 61 2" xfId="25927"/>
    <cellStyle name="Obliczenia 2 61 3" xfId="25928"/>
    <cellStyle name="Obliczenia 2 61 4" xfId="25929"/>
    <cellStyle name="Obliczenia 2 62" xfId="25930"/>
    <cellStyle name="Obliczenia 2 62 2" xfId="25931"/>
    <cellStyle name="Obliczenia 2 62 3" xfId="25932"/>
    <cellStyle name="Obliczenia 2 62 4" xfId="25933"/>
    <cellStyle name="Obliczenia 2 63" xfId="25934"/>
    <cellStyle name="Obliczenia 2 63 2" xfId="25935"/>
    <cellStyle name="Obliczenia 2 63 3" xfId="25936"/>
    <cellStyle name="Obliczenia 2 63 4" xfId="25937"/>
    <cellStyle name="Obliczenia 2 64" xfId="25938"/>
    <cellStyle name="Obliczenia 2 64 2" xfId="25939"/>
    <cellStyle name="Obliczenia 2 64 3" xfId="25940"/>
    <cellStyle name="Obliczenia 2 64 4" xfId="25941"/>
    <cellStyle name="Obliczenia 2 65" xfId="25942"/>
    <cellStyle name="Obliczenia 2 65 2" xfId="25943"/>
    <cellStyle name="Obliczenia 2 65 3" xfId="25944"/>
    <cellStyle name="Obliczenia 2 65 4" xfId="25945"/>
    <cellStyle name="Obliczenia 2 66" xfId="25946"/>
    <cellStyle name="Obliczenia 2 66 2" xfId="25947"/>
    <cellStyle name="Obliczenia 2 66 3" xfId="25948"/>
    <cellStyle name="Obliczenia 2 66 4" xfId="25949"/>
    <cellStyle name="Obliczenia 2 67" xfId="25950"/>
    <cellStyle name="Obliczenia 2 67 2" xfId="25951"/>
    <cellStyle name="Obliczenia 2 67 3" xfId="25952"/>
    <cellStyle name="Obliczenia 2 68" xfId="25953"/>
    <cellStyle name="Obliczenia 2 68 2" xfId="25954"/>
    <cellStyle name="Obliczenia 2 68 3" xfId="25955"/>
    <cellStyle name="Obliczenia 2 69" xfId="25956"/>
    <cellStyle name="Obliczenia 2 69 2" xfId="25957"/>
    <cellStyle name="Obliczenia 2 69 3" xfId="25958"/>
    <cellStyle name="Obliczenia 2 7" xfId="25959"/>
    <cellStyle name="Obliczenia 2 7 10" xfId="25960"/>
    <cellStyle name="Obliczenia 2 7 10 2" xfId="25961"/>
    <cellStyle name="Obliczenia 2 7 10 3" xfId="25962"/>
    <cellStyle name="Obliczenia 2 7 10 4" xfId="25963"/>
    <cellStyle name="Obliczenia 2 7 11" xfId="25964"/>
    <cellStyle name="Obliczenia 2 7 11 2" xfId="25965"/>
    <cellStyle name="Obliczenia 2 7 11 3" xfId="25966"/>
    <cellStyle name="Obliczenia 2 7 11 4" xfId="25967"/>
    <cellStyle name="Obliczenia 2 7 12" xfId="25968"/>
    <cellStyle name="Obliczenia 2 7 12 2" xfId="25969"/>
    <cellStyle name="Obliczenia 2 7 12 3" xfId="25970"/>
    <cellStyle name="Obliczenia 2 7 12 4" xfId="25971"/>
    <cellStyle name="Obliczenia 2 7 13" xfId="25972"/>
    <cellStyle name="Obliczenia 2 7 13 2" xfId="25973"/>
    <cellStyle name="Obliczenia 2 7 13 3" xfId="25974"/>
    <cellStyle name="Obliczenia 2 7 13 4" xfId="25975"/>
    <cellStyle name="Obliczenia 2 7 14" xfId="25976"/>
    <cellStyle name="Obliczenia 2 7 14 2" xfId="25977"/>
    <cellStyle name="Obliczenia 2 7 14 3" xfId="25978"/>
    <cellStyle name="Obliczenia 2 7 14 4" xfId="25979"/>
    <cellStyle name="Obliczenia 2 7 15" xfId="25980"/>
    <cellStyle name="Obliczenia 2 7 15 2" xfId="25981"/>
    <cellStyle name="Obliczenia 2 7 15 3" xfId="25982"/>
    <cellStyle name="Obliczenia 2 7 15 4" xfId="25983"/>
    <cellStyle name="Obliczenia 2 7 16" xfId="25984"/>
    <cellStyle name="Obliczenia 2 7 16 2" xfId="25985"/>
    <cellStyle name="Obliczenia 2 7 16 3" xfId="25986"/>
    <cellStyle name="Obliczenia 2 7 16 4" xfId="25987"/>
    <cellStyle name="Obliczenia 2 7 17" xfId="25988"/>
    <cellStyle name="Obliczenia 2 7 17 2" xfId="25989"/>
    <cellStyle name="Obliczenia 2 7 17 3" xfId="25990"/>
    <cellStyle name="Obliczenia 2 7 17 4" xfId="25991"/>
    <cellStyle name="Obliczenia 2 7 18" xfId="25992"/>
    <cellStyle name="Obliczenia 2 7 18 2" xfId="25993"/>
    <cellStyle name="Obliczenia 2 7 18 3" xfId="25994"/>
    <cellStyle name="Obliczenia 2 7 18 4" xfId="25995"/>
    <cellStyle name="Obliczenia 2 7 19" xfId="25996"/>
    <cellStyle name="Obliczenia 2 7 19 2" xfId="25997"/>
    <cellStyle name="Obliczenia 2 7 19 3" xfId="25998"/>
    <cellStyle name="Obliczenia 2 7 19 4" xfId="25999"/>
    <cellStyle name="Obliczenia 2 7 2" xfId="26000"/>
    <cellStyle name="Obliczenia 2 7 2 2" xfId="26001"/>
    <cellStyle name="Obliczenia 2 7 2 3" xfId="26002"/>
    <cellStyle name="Obliczenia 2 7 2 4" xfId="26003"/>
    <cellStyle name="Obliczenia 2 7 20" xfId="26004"/>
    <cellStyle name="Obliczenia 2 7 20 2" xfId="26005"/>
    <cellStyle name="Obliczenia 2 7 20 3" xfId="26006"/>
    <cellStyle name="Obliczenia 2 7 20 4" xfId="26007"/>
    <cellStyle name="Obliczenia 2 7 21" xfId="26008"/>
    <cellStyle name="Obliczenia 2 7 21 2" xfId="26009"/>
    <cellStyle name="Obliczenia 2 7 21 3" xfId="26010"/>
    <cellStyle name="Obliczenia 2 7 22" xfId="26011"/>
    <cellStyle name="Obliczenia 2 7 22 2" xfId="26012"/>
    <cellStyle name="Obliczenia 2 7 22 3" xfId="26013"/>
    <cellStyle name="Obliczenia 2 7 23" xfId="26014"/>
    <cellStyle name="Obliczenia 2 7 23 2" xfId="26015"/>
    <cellStyle name="Obliczenia 2 7 23 3" xfId="26016"/>
    <cellStyle name="Obliczenia 2 7 24" xfId="26017"/>
    <cellStyle name="Obliczenia 2 7 24 2" xfId="26018"/>
    <cellStyle name="Obliczenia 2 7 24 3" xfId="26019"/>
    <cellStyle name="Obliczenia 2 7 25" xfId="26020"/>
    <cellStyle name="Obliczenia 2 7 25 2" xfId="26021"/>
    <cellStyle name="Obliczenia 2 7 25 3" xfId="26022"/>
    <cellStyle name="Obliczenia 2 7 26" xfId="26023"/>
    <cellStyle name="Obliczenia 2 7 26 2" xfId="26024"/>
    <cellStyle name="Obliczenia 2 7 26 3" xfId="26025"/>
    <cellStyle name="Obliczenia 2 7 27" xfId="26026"/>
    <cellStyle name="Obliczenia 2 7 27 2" xfId="26027"/>
    <cellStyle name="Obliczenia 2 7 27 3" xfId="26028"/>
    <cellStyle name="Obliczenia 2 7 28" xfId="26029"/>
    <cellStyle name="Obliczenia 2 7 28 2" xfId="26030"/>
    <cellStyle name="Obliczenia 2 7 28 3" xfId="26031"/>
    <cellStyle name="Obliczenia 2 7 29" xfId="26032"/>
    <cellStyle name="Obliczenia 2 7 29 2" xfId="26033"/>
    <cellStyle name="Obliczenia 2 7 29 3" xfId="26034"/>
    <cellStyle name="Obliczenia 2 7 3" xfId="26035"/>
    <cellStyle name="Obliczenia 2 7 3 2" xfId="26036"/>
    <cellStyle name="Obliczenia 2 7 3 3" xfId="26037"/>
    <cellStyle name="Obliczenia 2 7 3 4" xfId="26038"/>
    <cellStyle name="Obliczenia 2 7 30" xfId="26039"/>
    <cellStyle name="Obliczenia 2 7 30 2" xfId="26040"/>
    <cellStyle name="Obliczenia 2 7 30 3" xfId="26041"/>
    <cellStyle name="Obliczenia 2 7 31" xfId="26042"/>
    <cellStyle name="Obliczenia 2 7 31 2" xfId="26043"/>
    <cellStyle name="Obliczenia 2 7 31 3" xfId="26044"/>
    <cellStyle name="Obliczenia 2 7 32" xfId="26045"/>
    <cellStyle name="Obliczenia 2 7 32 2" xfId="26046"/>
    <cellStyle name="Obliczenia 2 7 32 3" xfId="26047"/>
    <cellStyle name="Obliczenia 2 7 33" xfId="26048"/>
    <cellStyle name="Obliczenia 2 7 33 2" xfId="26049"/>
    <cellStyle name="Obliczenia 2 7 33 3" xfId="26050"/>
    <cellStyle name="Obliczenia 2 7 34" xfId="26051"/>
    <cellStyle name="Obliczenia 2 7 34 2" xfId="26052"/>
    <cellStyle name="Obliczenia 2 7 34 3" xfId="26053"/>
    <cellStyle name="Obliczenia 2 7 35" xfId="26054"/>
    <cellStyle name="Obliczenia 2 7 35 2" xfId="26055"/>
    <cellStyle name="Obliczenia 2 7 35 3" xfId="26056"/>
    <cellStyle name="Obliczenia 2 7 36" xfId="26057"/>
    <cellStyle name="Obliczenia 2 7 36 2" xfId="26058"/>
    <cellStyle name="Obliczenia 2 7 36 3" xfId="26059"/>
    <cellStyle name="Obliczenia 2 7 37" xfId="26060"/>
    <cellStyle name="Obliczenia 2 7 37 2" xfId="26061"/>
    <cellStyle name="Obliczenia 2 7 37 3" xfId="26062"/>
    <cellStyle name="Obliczenia 2 7 38" xfId="26063"/>
    <cellStyle name="Obliczenia 2 7 38 2" xfId="26064"/>
    <cellStyle name="Obliczenia 2 7 38 3" xfId="26065"/>
    <cellStyle name="Obliczenia 2 7 39" xfId="26066"/>
    <cellStyle name="Obliczenia 2 7 39 2" xfId="26067"/>
    <cellStyle name="Obliczenia 2 7 39 3" xfId="26068"/>
    <cellStyle name="Obliczenia 2 7 4" xfId="26069"/>
    <cellStyle name="Obliczenia 2 7 4 2" xfId="26070"/>
    <cellStyle name="Obliczenia 2 7 4 3" xfId="26071"/>
    <cellStyle name="Obliczenia 2 7 4 4" xfId="26072"/>
    <cellStyle name="Obliczenia 2 7 40" xfId="26073"/>
    <cellStyle name="Obliczenia 2 7 40 2" xfId="26074"/>
    <cellStyle name="Obliczenia 2 7 40 3" xfId="26075"/>
    <cellStyle name="Obliczenia 2 7 41" xfId="26076"/>
    <cellStyle name="Obliczenia 2 7 41 2" xfId="26077"/>
    <cellStyle name="Obliczenia 2 7 41 3" xfId="26078"/>
    <cellStyle name="Obliczenia 2 7 42" xfId="26079"/>
    <cellStyle name="Obliczenia 2 7 42 2" xfId="26080"/>
    <cellStyle name="Obliczenia 2 7 42 3" xfId="26081"/>
    <cellStyle name="Obliczenia 2 7 43" xfId="26082"/>
    <cellStyle name="Obliczenia 2 7 43 2" xfId="26083"/>
    <cellStyle name="Obliczenia 2 7 43 3" xfId="26084"/>
    <cellStyle name="Obliczenia 2 7 44" xfId="26085"/>
    <cellStyle name="Obliczenia 2 7 44 2" xfId="26086"/>
    <cellStyle name="Obliczenia 2 7 44 3" xfId="26087"/>
    <cellStyle name="Obliczenia 2 7 45" xfId="26088"/>
    <cellStyle name="Obliczenia 2 7 45 2" xfId="26089"/>
    <cellStyle name="Obliczenia 2 7 45 3" xfId="26090"/>
    <cellStyle name="Obliczenia 2 7 46" xfId="26091"/>
    <cellStyle name="Obliczenia 2 7 46 2" xfId="26092"/>
    <cellStyle name="Obliczenia 2 7 46 3" xfId="26093"/>
    <cellStyle name="Obliczenia 2 7 47" xfId="26094"/>
    <cellStyle name="Obliczenia 2 7 47 2" xfId="26095"/>
    <cellStyle name="Obliczenia 2 7 47 3" xfId="26096"/>
    <cellStyle name="Obliczenia 2 7 48" xfId="26097"/>
    <cellStyle name="Obliczenia 2 7 48 2" xfId="26098"/>
    <cellStyle name="Obliczenia 2 7 48 3" xfId="26099"/>
    <cellStyle name="Obliczenia 2 7 49" xfId="26100"/>
    <cellStyle name="Obliczenia 2 7 49 2" xfId="26101"/>
    <cellStyle name="Obliczenia 2 7 49 3" xfId="26102"/>
    <cellStyle name="Obliczenia 2 7 5" xfId="26103"/>
    <cellStyle name="Obliczenia 2 7 5 2" xfId="26104"/>
    <cellStyle name="Obliczenia 2 7 5 3" xfId="26105"/>
    <cellStyle name="Obliczenia 2 7 5 4" xfId="26106"/>
    <cellStyle name="Obliczenia 2 7 50" xfId="26107"/>
    <cellStyle name="Obliczenia 2 7 50 2" xfId="26108"/>
    <cellStyle name="Obliczenia 2 7 50 3" xfId="26109"/>
    <cellStyle name="Obliczenia 2 7 51" xfId="26110"/>
    <cellStyle name="Obliczenia 2 7 51 2" xfId="26111"/>
    <cellStyle name="Obliczenia 2 7 51 3" xfId="26112"/>
    <cellStyle name="Obliczenia 2 7 52" xfId="26113"/>
    <cellStyle name="Obliczenia 2 7 52 2" xfId="26114"/>
    <cellStyle name="Obliczenia 2 7 52 3" xfId="26115"/>
    <cellStyle name="Obliczenia 2 7 53" xfId="26116"/>
    <cellStyle name="Obliczenia 2 7 53 2" xfId="26117"/>
    <cellStyle name="Obliczenia 2 7 53 3" xfId="26118"/>
    <cellStyle name="Obliczenia 2 7 54" xfId="26119"/>
    <cellStyle name="Obliczenia 2 7 54 2" xfId="26120"/>
    <cellStyle name="Obliczenia 2 7 54 3" xfId="26121"/>
    <cellStyle name="Obliczenia 2 7 55" xfId="26122"/>
    <cellStyle name="Obliczenia 2 7 55 2" xfId="26123"/>
    <cellStyle name="Obliczenia 2 7 55 3" xfId="26124"/>
    <cellStyle name="Obliczenia 2 7 56" xfId="26125"/>
    <cellStyle name="Obliczenia 2 7 56 2" xfId="26126"/>
    <cellStyle name="Obliczenia 2 7 56 3" xfId="26127"/>
    <cellStyle name="Obliczenia 2 7 57" xfId="26128"/>
    <cellStyle name="Obliczenia 2 7 58" xfId="26129"/>
    <cellStyle name="Obliczenia 2 7 6" xfId="26130"/>
    <cellStyle name="Obliczenia 2 7 6 2" xfId="26131"/>
    <cellStyle name="Obliczenia 2 7 6 3" xfId="26132"/>
    <cellStyle name="Obliczenia 2 7 6 4" xfId="26133"/>
    <cellStyle name="Obliczenia 2 7 7" xfId="26134"/>
    <cellStyle name="Obliczenia 2 7 7 2" xfId="26135"/>
    <cellStyle name="Obliczenia 2 7 7 3" xfId="26136"/>
    <cellStyle name="Obliczenia 2 7 7 4" xfId="26137"/>
    <cellStyle name="Obliczenia 2 7 8" xfId="26138"/>
    <cellStyle name="Obliczenia 2 7 8 2" xfId="26139"/>
    <cellStyle name="Obliczenia 2 7 8 3" xfId="26140"/>
    <cellStyle name="Obliczenia 2 7 8 4" xfId="26141"/>
    <cellStyle name="Obliczenia 2 7 9" xfId="26142"/>
    <cellStyle name="Obliczenia 2 7 9 2" xfId="26143"/>
    <cellStyle name="Obliczenia 2 7 9 3" xfId="26144"/>
    <cellStyle name="Obliczenia 2 7 9 4" xfId="26145"/>
    <cellStyle name="Obliczenia 2 70" xfId="26146"/>
    <cellStyle name="Obliczenia 2 70 2" xfId="26147"/>
    <cellStyle name="Obliczenia 2 70 3" xfId="26148"/>
    <cellStyle name="Obliczenia 2 71" xfId="26149"/>
    <cellStyle name="Obliczenia 2 71 2" xfId="26150"/>
    <cellStyle name="Obliczenia 2 71 3" xfId="26151"/>
    <cellStyle name="Obliczenia 2 72" xfId="26152"/>
    <cellStyle name="Obliczenia 2 72 2" xfId="26153"/>
    <cellStyle name="Obliczenia 2 72 3" xfId="26154"/>
    <cellStyle name="Obliczenia 2 73" xfId="26155"/>
    <cellStyle name="Obliczenia 2 73 2" xfId="26156"/>
    <cellStyle name="Obliczenia 2 73 3" xfId="26157"/>
    <cellStyle name="Obliczenia 2 74" xfId="26158"/>
    <cellStyle name="Obliczenia 2 74 2" xfId="26159"/>
    <cellStyle name="Obliczenia 2 74 3" xfId="26160"/>
    <cellStyle name="Obliczenia 2 75" xfId="26161"/>
    <cellStyle name="Obliczenia 2 75 2" xfId="26162"/>
    <cellStyle name="Obliczenia 2 75 3" xfId="26163"/>
    <cellStyle name="Obliczenia 2 76" xfId="26164"/>
    <cellStyle name="Obliczenia 2 76 2" xfId="26165"/>
    <cellStyle name="Obliczenia 2 76 3" xfId="26166"/>
    <cellStyle name="Obliczenia 2 77" xfId="26167"/>
    <cellStyle name="Obliczenia 2 77 2" xfId="26168"/>
    <cellStyle name="Obliczenia 2 77 3" xfId="26169"/>
    <cellStyle name="Obliczenia 2 78" xfId="26170"/>
    <cellStyle name="Obliczenia 2 78 2" xfId="26171"/>
    <cellStyle name="Obliczenia 2 78 3" xfId="26172"/>
    <cellStyle name="Obliczenia 2 79" xfId="26173"/>
    <cellStyle name="Obliczenia 2 79 2" xfId="26174"/>
    <cellStyle name="Obliczenia 2 79 3" xfId="26175"/>
    <cellStyle name="Obliczenia 2 8" xfId="26176"/>
    <cellStyle name="Obliczenia 2 8 10" xfId="26177"/>
    <cellStyle name="Obliczenia 2 8 10 2" xfId="26178"/>
    <cellStyle name="Obliczenia 2 8 10 3" xfId="26179"/>
    <cellStyle name="Obliczenia 2 8 10 4" xfId="26180"/>
    <cellStyle name="Obliczenia 2 8 11" xfId="26181"/>
    <cellStyle name="Obliczenia 2 8 11 2" xfId="26182"/>
    <cellStyle name="Obliczenia 2 8 11 3" xfId="26183"/>
    <cellStyle name="Obliczenia 2 8 11 4" xfId="26184"/>
    <cellStyle name="Obliczenia 2 8 12" xfId="26185"/>
    <cellStyle name="Obliczenia 2 8 12 2" xfId="26186"/>
    <cellStyle name="Obliczenia 2 8 12 3" xfId="26187"/>
    <cellStyle name="Obliczenia 2 8 12 4" xfId="26188"/>
    <cellStyle name="Obliczenia 2 8 13" xfId="26189"/>
    <cellStyle name="Obliczenia 2 8 13 2" xfId="26190"/>
    <cellStyle name="Obliczenia 2 8 13 3" xfId="26191"/>
    <cellStyle name="Obliczenia 2 8 13 4" xfId="26192"/>
    <cellStyle name="Obliczenia 2 8 14" xfId="26193"/>
    <cellStyle name="Obliczenia 2 8 14 2" xfId="26194"/>
    <cellStyle name="Obliczenia 2 8 14 3" xfId="26195"/>
    <cellStyle name="Obliczenia 2 8 14 4" xfId="26196"/>
    <cellStyle name="Obliczenia 2 8 15" xfId="26197"/>
    <cellStyle name="Obliczenia 2 8 15 2" xfId="26198"/>
    <cellStyle name="Obliczenia 2 8 15 3" xfId="26199"/>
    <cellStyle name="Obliczenia 2 8 15 4" xfId="26200"/>
    <cellStyle name="Obliczenia 2 8 16" xfId="26201"/>
    <cellStyle name="Obliczenia 2 8 16 2" xfId="26202"/>
    <cellStyle name="Obliczenia 2 8 16 3" xfId="26203"/>
    <cellStyle name="Obliczenia 2 8 16 4" xfId="26204"/>
    <cellStyle name="Obliczenia 2 8 17" xfId="26205"/>
    <cellStyle name="Obliczenia 2 8 17 2" xfId="26206"/>
    <cellStyle name="Obliczenia 2 8 17 3" xfId="26207"/>
    <cellStyle name="Obliczenia 2 8 17 4" xfId="26208"/>
    <cellStyle name="Obliczenia 2 8 18" xfId="26209"/>
    <cellStyle name="Obliczenia 2 8 18 2" xfId="26210"/>
    <cellStyle name="Obliczenia 2 8 18 3" xfId="26211"/>
    <cellStyle name="Obliczenia 2 8 18 4" xfId="26212"/>
    <cellStyle name="Obliczenia 2 8 19" xfId="26213"/>
    <cellStyle name="Obliczenia 2 8 19 2" xfId="26214"/>
    <cellStyle name="Obliczenia 2 8 19 3" xfId="26215"/>
    <cellStyle name="Obliczenia 2 8 19 4" xfId="26216"/>
    <cellStyle name="Obliczenia 2 8 2" xfId="26217"/>
    <cellStyle name="Obliczenia 2 8 2 2" xfId="26218"/>
    <cellStyle name="Obliczenia 2 8 2 3" xfId="26219"/>
    <cellStyle name="Obliczenia 2 8 2 4" xfId="26220"/>
    <cellStyle name="Obliczenia 2 8 20" xfId="26221"/>
    <cellStyle name="Obliczenia 2 8 20 2" xfId="26222"/>
    <cellStyle name="Obliczenia 2 8 20 3" xfId="26223"/>
    <cellStyle name="Obliczenia 2 8 20 4" xfId="26224"/>
    <cellStyle name="Obliczenia 2 8 21" xfId="26225"/>
    <cellStyle name="Obliczenia 2 8 21 2" xfId="26226"/>
    <cellStyle name="Obliczenia 2 8 21 3" xfId="26227"/>
    <cellStyle name="Obliczenia 2 8 22" xfId="26228"/>
    <cellStyle name="Obliczenia 2 8 22 2" xfId="26229"/>
    <cellStyle name="Obliczenia 2 8 22 3" xfId="26230"/>
    <cellStyle name="Obliczenia 2 8 23" xfId="26231"/>
    <cellStyle name="Obliczenia 2 8 23 2" xfId="26232"/>
    <cellStyle name="Obliczenia 2 8 23 3" xfId="26233"/>
    <cellStyle name="Obliczenia 2 8 24" xfId="26234"/>
    <cellStyle name="Obliczenia 2 8 24 2" xfId="26235"/>
    <cellStyle name="Obliczenia 2 8 24 3" xfId="26236"/>
    <cellStyle name="Obliczenia 2 8 25" xfId="26237"/>
    <cellStyle name="Obliczenia 2 8 25 2" xfId="26238"/>
    <cellStyle name="Obliczenia 2 8 25 3" xfId="26239"/>
    <cellStyle name="Obliczenia 2 8 26" xfId="26240"/>
    <cellStyle name="Obliczenia 2 8 26 2" xfId="26241"/>
    <cellStyle name="Obliczenia 2 8 26 3" xfId="26242"/>
    <cellStyle name="Obliczenia 2 8 27" xfId="26243"/>
    <cellStyle name="Obliczenia 2 8 27 2" xfId="26244"/>
    <cellStyle name="Obliczenia 2 8 27 3" xfId="26245"/>
    <cellStyle name="Obliczenia 2 8 28" xfId="26246"/>
    <cellStyle name="Obliczenia 2 8 28 2" xfId="26247"/>
    <cellStyle name="Obliczenia 2 8 28 3" xfId="26248"/>
    <cellStyle name="Obliczenia 2 8 29" xfId="26249"/>
    <cellStyle name="Obliczenia 2 8 29 2" xfId="26250"/>
    <cellStyle name="Obliczenia 2 8 29 3" xfId="26251"/>
    <cellStyle name="Obliczenia 2 8 3" xfId="26252"/>
    <cellStyle name="Obliczenia 2 8 3 2" xfId="26253"/>
    <cellStyle name="Obliczenia 2 8 3 3" xfId="26254"/>
    <cellStyle name="Obliczenia 2 8 3 4" xfId="26255"/>
    <cellStyle name="Obliczenia 2 8 30" xfId="26256"/>
    <cellStyle name="Obliczenia 2 8 30 2" xfId="26257"/>
    <cellStyle name="Obliczenia 2 8 30 3" xfId="26258"/>
    <cellStyle name="Obliczenia 2 8 31" xfId="26259"/>
    <cellStyle name="Obliczenia 2 8 31 2" xfId="26260"/>
    <cellStyle name="Obliczenia 2 8 31 3" xfId="26261"/>
    <cellStyle name="Obliczenia 2 8 32" xfId="26262"/>
    <cellStyle name="Obliczenia 2 8 32 2" xfId="26263"/>
    <cellStyle name="Obliczenia 2 8 32 3" xfId="26264"/>
    <cellStyle name="Obliczenia 2 8 33" xfId="26265"/>
    <cellStyle name="Obliczenia 2 8 33 2" xfId="26266"/>
    <cellStyle name="Obliczenia 2 8 33 3" xfId="26267"/>
    <cellStyle name="Obliczenia 2 8 34" xfId="26268"/>
    <cellStyle name="Obliczenia 2 8 34 2" xfId="26269"/>
    <cellStyle name="Obliczenia 2 8 34 3" xfId="26270"/>
    <cellStyle name="Obliczenia 2 8 35" xfId="26271"/>
    <cellStyle name="Obliczenia 2 8 35 2" xfId="26272"/>
    <cellStyle name="Obliczenia 2 8 35 3" xfId="26273"/>
    <cellStyle name="Obliczenia 2 8 36" xfId="26274"/>
    <cellStyle name="Obliczenia 2 8 36 2" xfId="26275"/>
    <cellStyle name="Obliczenia 2 8 36 3" xfId="26276"/>
    <cellStyle name="Obliczenia 2 8 37" xfId="26277"/>
    <cellStyle name="Obliczenia 2 8 37 2" xfId="26278"/>
    <cellStyle name="Obliczenia 2 8 37 3" xfId="26279"/>
    <cellStyle name="Obliczenia 2 8 38" xfId="26280"/>
    <cellStyle name="Obliczenia 2 8 38 2" xfId="26281"/>
    <cellStyle name="Obliczenia 2 8 38 3" xfId="26282"/>
    <cellStyle name="Obliczenia 2 8 39" xfId="26283"/>
    <cellStyle name="Obliczenia 2 8 39 2" xfId="26284"/>
    <cellStyle name="Obliczenia 2 8 39 3" xfId="26285"/>
    <cellStyle name="Obliczenia 2 8 4" xfId="26286"/>
    <cellStyle name="Obliczenia 2 8 4 2" xfId="26287"/>
    <cellStyle name="Obliczenia 2 8 4 3" xfId="26288"/>
    <cellStyle name="Obliczenia 2 8 4 4" xfId="26289"/>
    <cellStyle name="Obliczenia 2 8 40" xfId="26290"/>
    <cellStyle name="Obliczenia 2 8 40 2" xfId="26291"/>
    <cellStyle name="Obliczenia 2 8 40 3" xfId="26292"/>
    <cellStyle name="Obliczenia 2 8 41" xfId="26293"/>
    <cellStyle name="Obliczenia 2 8 41 2" xfId="26294"/>
    <cellStyle name="Obliczenia 2 8 41 3" xfId="26295"/>
    <cellStyle name="Obliczenia 2 8 42" xfId="26296"/>
    <cellStyle name="Obliczenia 2 8 42 2" xfId="26297"/>
    <cellStyle name="Obliczenia 2 8 42 3" xfId="26298"/>
    <cellStyle name="Obliczenia 2 8 43" xfId="26299"/>
    <cellStyle name="Obliczenia 2 8 43 2" xfId="26300"/>
    <cellStyle name="Obliczenia 2 8 43 3" xfId="26301"/>
    <cellStyle name="Obliczenia 2 8 44" xfId="26302"/>
    <cellStyle name="Obliczenia 2 8 44 2" xfId="26303"/>
    <cellStyle name="Obliczenia 2 8 44 3" xfId="26304"/>
    <cellStyle name="Obliczenia 2 8 45" xfId="26305"/>
    <cellStyle name="Obliczenia 2 8 45 2" xfId="26306"/>
    <cellStyle name="Obliczenia 2 8 45 3" xfId="26307"/>
    <cellStyle name="Obliczenia 2 8 46" xfId="26308"/>
    <cellStyle name="Obliczenia 2 8 46 2" xfId="26309"/>
    <cellStyle name="Obliczenia 2 8 46 3" xfId="26310"/>
    <cellStyle name="Obliczenia 2 8 47" xfId="26311"/>
    <cellStyle name="Obliczenia 2 8 47 2" xfId="26312"/>
    <cellStyle name="Obliczenia 2 8 47 3" xfId="26313"/>
    <cellStyle name="Obliczenia 2 8 48" xfId="26314"/>
    <cellStyle name="Obliczenia 2 8 48 2" xfId="26315"/>
    <cellStyle name="Obliczenia 2 8 48 3" xfId="26316"/>
    <cellStyle name="Obliczenia 2 8 49" xfId="26317"/>
    <cellStyle name="Obliczenia 2 8 49 2" xfId="26318"/>
    <cellStyle name="Obliczenia 2 8 49 3" xfId="26319"/>
    <cellStyle name="Obliczenia 2 8 5" xfId="26320"/>
    <cellStyle name="Obliczenia 2 8 5 2" xfId="26321"/>
    <cellStyle name="Obliczenia 2 8 5 3" xfId="26322"/>
    <cellStyle name="Obliczenia 2 8 5 4" xfId="26323"/>
    <cellStyle name="Obliczenia 2 8 50" xfId="26324"/>
    <cellStyle name="Obliczenia 2 8 50 2" xfId="26325"/>
    <cellStyle name="Obliczenia 2 8 50 3" xfId="26326"/>
    <cellStyle name="Obliczenia 2 8 51" xfId="26327"/>
    <cellStyle name="Obliczenia 2 8 51 2" xfId="26328"/>
    <cellStyle name="Obliczenia 2 8 51 3" xfId="26329"/>
    <cellStyle name="Obliczenia 2 8 52" xfId="26330"/>
    <cellStyle name="Obliczenia 2 8 52 2" xfId="26331"/>
    <cellStyle name="Obliczenia 2 8 52 3" xfId="26332"/>
    <cellStyle name="Obliczenia 2 8 53" xfId="26333"/>
    <cellStyle name="Obliczenia 2 8 53 2" xfId="26334"/>
    <cellStyle name="Obliczenia 2 8 53 3" xfId="26335"/>
    <cellStyle name="Obliczenia 2 8 54" xfId="26336"/>
    <cellStyle name="Obliczenia 2 8 54 2" xfId="26337"/>
    <cellStyle name="Obliczenia 2 8 54 3" xfId="26338"/>
    <cellStyle name="Obliczenia 2 8 55" xfId="26339"/>
    <cellStyle name="Obliczenia 2 8 55 2" xfId="26340"/>
    <cellStyle name="Obliczenia 2 8 55 3" xfId="26341"/>
    <cellStyle name="Obliczenia 2 8 56" xfId="26342"/>
    <cellStyle name="Obliczenia 2 8 56 2" xfId="26343"/>
    <cellStyle name="Obliczenia 2 8 56 3" xfId="26344"/>
    <cellStyle name="Obliczenia 2 8 57" xfId="26345"/>
    <cellStyle name="Obliczenia 2 8 58" xfId="26346"/>
    <cellStyle name="Obliczenia 2 8 6" xfId="26347"/>
    <cellStyle name="Obliczenia 2 8 6 2" xfId="26348"/>
    <cellStyle name="Obliczenia 2 8 6 3" xfId="26349"/>
    <cellStyle name="Obliczenia 2 8 6 4" xfId="26350"/>
    <cellStyle name="Obliczenia 2 8 7" xfId="26351"/>
    <cellStyle name="Obliczenia 2 8 7 2" xfId="26352"/>
    <cellStyle name="Obliczenia 2 8 7 3" xfId="26353"/>
    <cellStyle name="Obliczenia 2 8 7 4" xfId="26354"/>
    <cellStyle name="Obliczenia 2 8 8" xfId="26355"/>
    <cellStyle name="Obliczenia 2 8 8 2" xfId="26356"/>
    <cellStyle name="Obliczenia 2 8 8 3" xfId="26357"/>
    <cellStyle name="Obliczenia 2 8 8 4" xfId="26358"/>
    <cellStyle name="Obliczenia 2 8 9" xfId="26359"/>
    <cellStyle name="Obliczenia 2 8 9 2" xfId="26360"/>
    <cellStyle name="Obliczenia 2 8 9 3" xfId="26361"/>
    <cellStyle name="Obliczenia 2 8 9 4" xfId="26362"/>
    <cellStyle name="Obliczenia 2 80" xfId="26363"/>
    <cellStyle name="Obliczenia 2 80 2" xfId="26364"/>
    <cellStyle name="Obliczenia 2 80 3" xfId="26365"/>
    <cellStyle name="Obliczenia 2 81" xfId="26366"/>
    <cellStyle name="Obliczenia 2 81 2" xfId="26367"/>
    <cellStyle name="Obliczenia 2 81 3" xfId="26368"/>
    <cellStyle name="Obliczenia 2 82" xfId="26369"/>
    <cellStyle name="Obliczenia 2 82 2" xfId="26370"/>
    <cellStyle name="Obliczenia 2 82 3" xfId="26371"/>
    <cellStyle name="Obliczenia 2 83" xfId="26372"/>
    <cellStyle name="Obliczenia 2 83 2" xfId="26373"/>
    <cellStyle name="Obliczenia 2 83 3" xfId="26374"/>
    <cellStyle name="Obliczenia 2 84" xfId="26375"/>
    <cellStyle name="Obliczenia 2 84 2" xfId="26376"/>
    <cellStyle name="Obliczenia 2 84 3" xfId="26377"/>
    <cellStyle name="Obliczenia 2 85" xfId="26378"/>
    <cellStyle name="Obliczenia 2 85 2" xfId="26379"/>
    <cellStyle name="Obliczenia 2 85 3" xfId="26380"/>
    <cellStyle name="Obliczenia 2 86" xfId="26381"/>
    <cellStyle name="Obliczenia 2 86 2" xfId="26382"/>
    <cellStyle name="Obliczenia 2 86 3" xfId="26383"/>
    <cellStyle name="Obliczenia 2 87" xfId="26384"/>
    <cellStyle name="Obliczenia 2 87 2" xfId="26385"/>
    <cellStyle name="Obliczenia 2 87 3" xfId="26386"/>
    <cellStyle name="Obliczenia 2 88" xfId="26387"/>
    <cellStyle name="Obliczenia 2 89" xfId="26388"/>
    <cellStyle name="Obliczenia 2 9" xfId="26389"/>
    <cellStyle name="Obliczenia 2 9 10" xfId="26390"/>
    <cellStyle name="Obliczenia 2 9 10 2" xfId="26391"/>
    <cellStyle name="Obliczenia 2 9 10 3" xfId="26392"/>
    <cellStyle name="Obliczenia 2 9 10 4" xfId="26393"/>
    <cellStyle name="Obliczenia 2 9 11" xfId="26394"/>
    <cellStyle name="Obliczenia 2 9 11 2" xfId="26395"/>
    <cellStyle name="Obliczenia 2 9 11 3" xfId="26396"/>
    <cellStyle name="Obliczenia 2 9 11 4" xfId="26397"/>
    <cellStyle name="Obliczenia 2 9 12" xfId="26398"/>
    <cellStyle name="Obliczenia 2 9 12 2" xfId="26399"/>
    <cellStyle name="Obliczenia 2 9 12 3" xfId="26400"/>
    <cellStyle name="Obliczenia 2 9 12 4" xfId="26401"/>
    <cellStyle name="Obliczenia 2 9 13" xfId="26402"/>
    <cellStyle name="Obliczenia 2 9 13 2" xfId="26403"/>
    <cellStyle name="Obliczenia 2 9 13 3" xfId="26404"/>
    <cellStyle name="Obliczenia 2 9 13 4" xfId="26405"/>
    <cellStyle name="Obliczenia 2 9 14" xfId="26406"/>
    <cellStyle name="Obliczenia 2 9 14 2" xfId="26407"/>
    <cellStyle name="Obliczenia 2 9 14 3" xfId="26408"/>
    <cellStyle name="Obliczenia 2 9 14 4" xfId="26409"/>
    <cellStyle name="Obliczenia 2 9 15" xfId="26410"/>
    <cellStyle name="Obliczenia 2 9 15 2" xfId="26411"/>
    <cellStyle name="Obliczenia 2 9 15 3" xfId="26412"/>
    <cellStyle name="Obliczenia 2 9 15 4" xfId="26413"/>
    <cellStyle name="Obliczenia 2 9 16" xfId="26414"/>
    <cellStyle name="Obliczenia 2 9 16 2" xfId="26415"/>
    <cellStyle name="Obliczenia 2 9 16 3" xfId="26416"/>
    <cellStyle name="Obliczenia 2 9 16 4" xfId="26417"/>
    <cellStyle name="Obliczenia 2 9 17" xfId="26418"/>
    <cellStyle name="Obliczenia 2 9 17 2" xfId="26419"/>
    <cellStyle name="Obliczenia 2 9 17 3" xfId="26420"/>
    <cellStyle name="Obliczenia 2 9 17 4" xfId="26421"/>
    <cellStyle name="Obliczenia 2 9 18" xfId="26422"/>
    <cellStyle name="Obliczenia 2 9 18 2" xfId="26423"/>
    <cellStyle name="Obliczenia 2 9 18 3" xfId="26424"/>
    <cellStyle name="Obliczenia 2 9 18 4" xfId="26425"/>
    <cellStyle name="Obliczenia 2 9 19" xfId="26426"/>
    <cellStyle name="Obliczenia 2 9 19 2" xfId="26427"/>
    <cellStyle name="Obliczenia 2 9 19 3" xfId="26428"/>
    <cellStyle name="Obliczenia 2 9 19 4" xfId="26429"/>
    <cellStyle name="Obliczenia 2 9 2" xfId="26430"/>
    <cellStyle name="Obliczenia 2 9 2 2" xfId="26431"/>
    <cellStyle name="Obliczenia 2 9 2 3" xfId="26432"/>
    <cellStyle name="Obliczenia 2 9 2 4" xfId="26433"/>
    <cellStyle name="Obliczenia 2 9 20" xfId="26434"/>
    <cellStyle name="Obliczenia 2 9 20 2" xfId="26435"/>
    <cellStyle name="Obliczenia 2 9 20 3" xfId="26436"/>
    <cellStyle name="Obliczenia 2 9 20 4" xfId="26437"/>
    <cellStyle name="Obliczenia 2 9 21" xfId="26438"/>
    <cellStyle name="Obliczenia 2 9 21 2" xfId="26439"/>
    <cellStyle name="Obliczenia 2 9 21 3" xfId="26440"/>
    <cellStyle name="Obliczenia 2 9 22" xfId="26441"/>
    <cellStyle name="Obliczenia 2 9 22 2" xfId="26442"/>
    <cellStyle name="Obliczenia 2 9 22 3" xfId="26443"/>
    <cellStyle name="Obliczenia 2 9 23" xfId="26444"/>
    <cellStyle name="Obliczenia 2 9 23 2" xfId="26445"/>
    <cellStyle name="Obliczenia 2 9 23 3" xfId="26446"/>
    <cellStyle name="Obliczenia 2 9 24" xfId="26447"/>
    <cellStyle name="Obliczenia 2 9 24 2" xfId="26448"/>
    <cellStyle name="Obliczenia 2 9 24 3" xfId="26449"/>
    <cellStyle name="Obliczenia 2 9 25" xfId="26450"/>
    <cellStyle name="Obliczenia 2 9 25 2" xfId="26451"/>
    <cellStyle name="Obliczenia 2 9 25 3" xfId="26452"/>
    <cellStyle name="Obliczenia 2 9 26" xfId="26453"/>
    <cellStyle name="Obliczenia 2 9 26 2" xfId="26454"/>
    <cellStyle name="Obliczenia 2 9 26 3" xfId="26455"/>
    <cellStyle name="Obliczenia 2 9 27" xfId="26456"/>
    <cellStyle name="Obliczenia 2 9 27 2" xfId="26457"/>
    <cellStyle name="Obliczenia 2 9 27 3" xfId="26458"/>
    <cellStyle name="Obliczenia 2 9 28" xfId="26459"/>
    <cellStyle name="Obliczenia 2 9 28 2" xfId="26460"/>
    <cellStyle name="Obliczenia 2 9 28 3" xfId="26461"/>
    <cellStyle name="Obliczenia 2 9 29" xfId="26462"/>
    <cellStyle name="Obliczenia 2 9 29 2" xfId="26463"/>
    <cellStyle name="Obliczenia 2 9 29 3" xfId="26464"/>
    <cellStyle name="Obliczenia 2 9 3" xfId="26465"/>
    <cellStyle name="Obliczenia 2 9 3 2" xfId="26466"/>
    <cellStyle name="Obliczenia 2 9 3 3" xfId="26467"/>
    <cellStyle name="Obliczenia 2 9 3 4" xfId="26468"/>
    <cellStyle name="Obliczenia 2 9 30" xfId="26469"/>
    <cellStyle name="Obliczenia 2 9 30 2" xfId="26470"/>
    <cellStyle name="Obliczenia 2 9 30 3" xfId="26471"/>
    <cellStyle name="Obliczenia 2 9 31" xfId="26472"/>
    <cellStyle name="Obliczenia 2 9 31 2" xfId="26473"/>
    <cellStyle name="Obliczenia 2 9 31 3" xfId="26474"/>
    <cellStyle name="Obliczenia 2 9 32" xfId="26475"/>
    <cellStyle name="Obliczenia 2 9 32 2" xfId="26476"/>
    <cellStyle name="Obliczenia 2 9 32 3" xfId="26477"/>
    <cellStyle name="Obliczenia 2 9 33" xfId="26478"/>
    <cellStyle name="Obliczenia 2 9 33 2" xfId="26479"/>
    <cellStyle name="Obliczenia 2 9 33 3" xfId="26480"/>
    <cellStyle name="Obliczenia 2 9 34" xfId="26481"/>
    <cellStyle name="Obliczenia 2 9 34 2" xfId="26482"/>
    <cellStyle name="Obliczenia 2 9 34 3" xfId="26483"/>
    <cellStyle name="Obliczenia 2 9 35" xfId="26484"/>
    <cellStyle name="Obliczenia 2 9 35 2" xfId="26485"/>
    <cellStyle name="Obliczenia 2 9 35 3" xfId="26486"/>
    <cellStyle name="Obliczenia 2 9 36" xfId="26487"/>
    <cellStyle name="Obliczenia 2 9 36 2" xfId="26488"/>
    <cellStyle name="Obliczenia 2 9 36 3" xfId="26489"/>
    <cellStyle name="Obliczenia 2 9 37" xfId="26490"/>
    <cellStyle name="Obliczenia 2 9 37 2" xfId="26491"/>
    <cellStyle name="Obliczenia 2 9 37 3" xfId="26492"/>
    <cellStyle name="Obliczenia 2 9 38" xfId="26493"/>
    <cellStyle name="Obliczenia 2 9 38 2" xfId="26494"/>
    <cellStyle name="Obliczenia 2 9 38 3" xfId="26495"/>
    <cellStyle name="Obliczenia 2 9 39" xfId="26496"/>
    <cellStyle name="Obliczenia 2 9 39 2" xfId="26497"/>
    <cellStyle name="Obliczenia 2 9 39 3" xfId="26498"/>
    <cellStyle name="Obliczenia 2 9 4" xfId="26499"/>
    <cellStyle name="Obliczenia 2 9 4 2" xfId="26500"/>
    <cellStyle name="Obliczenia 2 9 4 3" xfId="26501"/>
    <cellStyle name="Obliczenia 2 9 4 4" xfId="26502"/>
    <cellStyle name="Obliczenia 2 9 40" xfId="26503"/>
    <cellStyle name="Obliczenia 2 9 40 2" xfId="26504"/>
    <cellStyle name="Obliczenia 2 9 40 3" xfId="26505"/>
    <cellStyle name="Obliczenia 2 9 41" xfId="26506"/>
    <cellStyle name="Obliczenia 2 9 41 2" xfId="26507"/>
    <cellStyle name="Obliczenia 2 9 41 3" xfId="26508"/>
    <cellStyle name="Obliczenia 2 9 42" xfId="26509"/>
    <cellStyle name="Obliczenia 2 9 42 2" xfId="26510"/>
    <cellStyle name="Obliczenia 2 9 42 3" xfId="26511"/>
    <cellStyle name="Obliczenia 2 9 43" xfId="26512"/>
    <cellStyle name="Obliczenia 2 9 43 2" xfId="26513"/>
    <cellStyle name="Obliczenia 2 9 43 3" xfId="26514"/>
    <cellStyle name="Obliczenia 2 9 44" xfId="26515"/>
    <cellStyle name="Obliczenia 2 9 44 2" xfId="26516"/>
    <cellStyle name="Obliczenia 2 9 44 3" xfId="26517"/>
    <cellStyle name="Obliczenia 2 9 45" xfId="26518"/>
    <cellStyle name="Obliczenia 2 9 45 2" xfId="26519"/>
    <cellStyle name="Obliczenia 2 9 45 3" xfId="26520"/>
    <cellStyle name="Obliczenia 2 9 46" xfId="26521"/>
    <cellStyle name="Obliczenia 2 9 46 2" xfId="26522"/>
    <cellStyle name="Obliczenia 2 9 46 3" xfId="26523"/>
    <cellStyle name="Obliczenia 2 9 47" xfId="26524"/>
    <cellStyle name="Obliczenia 2 9 47 2" xfId="26525"/>
    <cellStyle name="Obliczenia 2 9 47 3" xfId="26526"/>
    <cellStyle name="Obliczenia 2 9 48" xfId="26527"/>
    <cellStyle name="Obliczenia 2 9 48 2" xfId="26528"/>
    <cellStyle name="Obliczenia 2 9 48 3" xfId="26529"/>
    <cellStyle name="Obliczenia 2 9 49" xfId="26530"/>
    <cellStyle name="Obliczenia 2 9 49 2" xfId="26531"/>
    <cellStyle name="Obliczenia 2 9 49 3" xfId="26532"/>
    <cellStyle name="Obliczenia 2 9 5" xfId="26533"/>
    <cellStyle name="Obliczenia 2 9 5 2" xfId="26534"/>
    <cellStyle name="Obliczenia 2 9 5 3" xfId="26535"/>
    <cellStyle name="Obliczenia 2 9 5 4" xfId="26536"/>
    <cellStyle name="Obliczenia 2 9 50" xfId="26537"/>
    <cellStyle name="Obliczenia 2 9 50 2" xfId="26538"/>
    <cellStyle name="Obliczenia 2 9 50 3" xfId="26539"/>
    <cellStyle name="Obliczenia 2 9 51" xfId="26540"/>
    <cellStyle name="Obliczenia 2 9 51 2" xfId="26541"/>
    <cellStyle name="Obliczenia 2 9 51 3" xfId="26542"/>
    <cellStyle name="Obliczenia 2 9 52" xfId="26543"/>
    <cellStyle name="Obliczenia 2 9 52 2" xfId="26544"/>
    <cellStyle name="Obliczenia 2 9 52 3" xfId="26545"/>
    <cellStyle name="Obliczenia 2 9 53" xfId="26546"/>
    <cellStyle name="Obliczenia 2 9 53 2" xfId="26547"/>
    <cellStyle name="Obliczenia 2 9 53 3" xfId="26548"/>
    <cellStyle name="Obliczenia 2 9 54" xfId="26549"/>
    <cellStyle name="Obliczenia 2 9 54 2" xfId="26550"/>
    <cellStyle name="Obliczenia 2 9 54 3" xfId="26551"/>
    <cellStyle name="Obliczenia 2 9 55" xfId="26552"/>
    <cellStyle name="Obliczenia 2 9 55 2" xfId="26553"/>
    <cellStyle name="Obliczenia 2 9 55 3" xfId="26554"/>
    <cellStyle name="Obliczenia 2 9 56" xfId="26555"/>
    <cellStyle name="Obliczenia 2 9 56 2" xfId="26556"/>
    <cellStyle name="Obliczenia 2 9 56 3" xfId="26557"/>
    <cellStyle name="Obliczenia 2 9 57" xfId="26558"/>
    <cellStyle name="Obliczenia 2 9 58" xfId="26559"/>
    <cellStyle name="Obliczenia 2 9 6" xfId="26560"/>
    <cellStyle name="Obliczenia 2 9 6 2" xfId="26561"/>
    <cellStyle name="Obliczenia 2 9 6 3" xfId="26562"/>
    <cellStyle name="Obliczenia 2 9 6 4" xfId="26563"/>
    <cellStyle name="Obliczenia 2 9 7" xfId="26564"/>
    <cellStyle name="Obliczenia 2 9 7 2" xfId="26565"/>
    <cellStyle name="Obliczenia 2 9 7 3" xfId="26566"/>
    <cellStyle name="Obliczenia 2 9 7 4" xfId="26567"/>
    <cellStyle name="Obliczenia 2 9 8" xfId="26568"/>
    <cellStyle name="Obliczenia 2 9 8 2" xfId="26569"/>
    <cellStyle name="Obliczenia 2 9 8 3" xfId="26570"/>
    <cellStyle name="Obliczenia 2 9 8 4" xfId="26571"/>
    <cellStyle name="Obliczenia 2 9 9" xfId="26572"/>
    <cellStyle name="Obliczenia 2 9 9 2" xfId="26573"/>
    <cellStyle name="Obliczenia 2 9 9 3" xfId="26574"/>
    <cellStyle name="Obliczenia 2 9 9 4" xfId="26575"/>
    <cellStyle name="Obliczenia 3" xfId="26576"/>
    <cellStyle name="Obliczenia 3 2" xfId="26577"/>
    <cellStyle name="Obliczenia 3 2 2" xfId="26578"/>
    <cellStyle name="Obliczenia 3 3" xfId="26579"/>
    <cellStyle name="Obliczenia 3 4" xfId="26580"/>
    <cellStyle name="Obliczenia 3 5" xfId="26581"/>
    <cellStyle name="Obliczenia 3 6" xfId="26582"/>
    <cellStyle name="Obliczenia 3 7" xfId="26583"/>
    <cellStyle name="Obliczenia 3 8" xfId="26584"/>
    <cellStyle name="Obliczenia 3 9" xfId="26585"/>
    <cellStyle name="Obliczenia 4" xfId="26586"/>
    <cellStyle name="Obliczenia 4 2" xfId="26587"/>
    <cellStyle name="Obliczenia 4 3" xfId="26588"/>
    <cellStyle name="Obliczenia 4 4" xfId="26589"/>
    <cellStyle name="Obliczenia 4 5" xfId="26590"/>
    <cellStyle name="Obliczenia 4 6" xfId="26591"/>
    <cellStyle name="Obliczenia 4 7" xfId="26592"/>
    <cellStyle name="Obliczenia 4 8" xfId="26593"/>
    <cellStyle name="Obliczenia 4 9" xfId="26594"/>
    <cellStyle name="Obliczenia 5" xfId="26595"/>
    <cellStyle name="Obliczenia 5 2" xfId="26596"/>
    <cellStyle name="Obliczenia 5 3" xfId="26597"/>
    <cellStyle name="Obliczenia 6" xfId="26598"/>
    <cellStyle name="Obliczenia 6 2" xfId="26599"/>
    <cellStyle name="Obliczenia 7" xfId="26600"/>
    <cellStyle name="Option" xfId="26601"/>
    <cellStyle name="Output Amounts" xfId="26602"/>
    <cellStyle name="Output Column Headings" xfId="26603"/>
    <cellStyle name="Output Line Items" xfId="26604"/>
    <cellStyle name="Output Report Heading" xfId="26605"/>
    <cellStyle name="Output Report Title" xfId="26606"/>
    <cellStyle name="Pénznem [0]_cb-fr" xfId="26607"/>
    <cellStyle name="Pénznem_cb-fr" xfId="26608"/>
    <cellStyle name="Percent [2]" xfId="26609"/>
    <cellStyle name="Percent 2" xfId="26610"/>
    <cellStyle name="Pivot Table Category" xfId="26611"/>
    <cellStyle name="Pivot Table Corner" xfId="26612"/>
    <cellStyle name="Pivot Table Field" xfId="26613"/>
    <cellStyle name="Pivot Table Result" xfId="26614"/>
    <cellStyle name="Pivot Table Title" xfId="26615"/>
    <cellStyle name="Pivot Table Value" xfId="26616"/>
    <cellStyle name="pole" xfId="26617"/>
    <cellStyle name="Price" xfId="26618"/>
    <cellStyle name="Procentowy" xfId="7" builtinId="5"/>
    <cellStyle name="Procentowy 10" xfId="26619"/>
    <cellStyle name="Procentowy 10 2" xfId="26620"/>
    <cellStyle name="Procentowy 10 3" xfId="26621"/>
    <cellStyle name="Procentowy 10 4" xfId="26622"/>
    <cellStyle name="Procentowy 10 5" xfId="26623"/>
    <cellStyle name="Procentowy 10 6" xfId="26624"/>
    <cellStyle name="Procentowy 10 7" xfId="26625"/>
    <cellStyle name="Procentowy 11" xfId="26626"/>
    <cellStyle name="Procentowy 12" xfId="26627"/>
    <cellStyle name="Procentowy 13" xfId="42847"/>
    <cellStyle name="Procentowy 14" xfId="42850"/>
    <cellStyle name="Procentowy 2" xfId="2"/>
    <cellStyle name="Procentowy 2 10" xfId="26629"/>
    <cellStyle name="Procentowy 2 11" xfId="26630"/>
    <cellStyle name="Procentowy 2 12" xfId="26628"/>
    <cellStyle name="Procentowy 2 2" xfId="26631"/>
    <cellStyle name="Procentowy 2 2 2" xfId="26632"/>
    <cellStyle name="Procentowy 2 2 2 2" xfId="26633"/>
    <cellStyle name="Procentowy 2 2 2 3" xfId="26634"/>
    <cellStyle name="Procentowy 2 2 3" xfId="26635"/>
    <cellStyle name="Procentowy 2 2 3 2" xfId="26636"/>
    <cellStyle name="Procentowy 2 2 3 3" xfId="26637"/>
    <cellStyle name="Procentowy 2 2 4" xfId="26638"/>
    <cellStyle name="Procentowy 2 2 5" xfId="26639"/>
    <cellStyle name="Procentowy 2 2 6" xfId="26640"/>
    <cellStyle name="Procentowy 2 2 7" xfId="26641"/>
    <cellStyle name="Procentowy 2 3" xfId="26642"/>
    <cellStyle name="Procentowy 2 3 2" xfId="26643"/>
    <cellStyle name="Procentowy 2 3 3" xfId="26644"/>
    <cellStyle name="Procentowy 2 4" xfId="26645"/>
    <cellStyle name="Procentowy 2 4 2" xfId="26646"/>
    <cellStyle name="Procentowy 2 5" xfId="26647"/>
    <cellStyle name="Procentowy 2 5 2" xfId="26648"/>
    <cellStyle name="Procentowy 2 6" xfId="26649"/>
    <cellStyle name="Procentowy 2 6 2" xfId="26650"/>
    <cellStyle name="Procentowy 2 7" xfId="26651"/>
    <cellStyle name="Procentowy 2 7 2" xfId="26652"/>
    <cellStyle name="Procentowy 2 8" xfId="26653"/>
    <cellStyle name="Procentowy 2 9" xfId="26654"/>
    <cellStyle name="Procentowy 3" xfId="6"/>
    <cellStyle name="Procentowy 3 10" xfId="26656"/>
    <cellStyle name="Procentowy 3 10 10" xfId="26657"/>
    <cellStyle name="Procentowy 3 10 10 2" xfId="26658"/>
    <cellStyle name="Procentowy 3 10 11" xfId="26659"/>
    <cellStyle name="Procentowy 3 10 11 2" xfId="26660"/>
    <cellStyle name="Procentowy 3 10 12" xfId="26661"/>
    <cellStyle name="Procentowy 3 10 12 2" xfId="26662"/>
    <cellStyle name="Procentowy 3 10 13" xfId="26663"/>
    <cellStyle name="Procentowy 3 10 13 2" xfId="26664"/>
    <cellStyle name="Procentowy 3 10 14" xfId="26665"/>
    <cellStyle name="Procentowy 3 10 14 2" xfId="26666"/>
    <cellStyle name="Procentowy 3 10 15" xfId="26667"/>
    <cellStyle name="Procentowy 3 10 15 2" xfId="26668"/>
    <cellStyle name="Procentowy 3 10 16" xfId="26669"/>
    <cellStyle name="Procentowy 3 10 16 2" xfId="26670"/>
    <cellStyle name="Procentowy 3 10 17" xfId="26671"/>
    <cellStyle name="Procentowy 3 10 17 2" xfId="26672"/>
    <cellStyle name="Procentowy 3 10 18" xfId="26673"/>
    <cellStyle name="Procentowy 3 10 18 2" xfId="26674"/>
    <cellStyle name="Procentowy 3 10 19" xfId="26675"/>
    <cellStyle name="Procentowy 3 10 19 2" xfId="26676"/>
    <cellStyle name="Procentowy 3 10 2" xfId="26677"/>
    <cellStyle name="Procentowy 3 10 2 2" xfId="26678"/>
    <cellStyle name="Procentowy 3 10 2 3" xfId="26679"/>
    <cellStyle name="Procentowy 3 10 2 4" xfId="26680"/>
    <cellStyle name="Procentowy 3 10 2 5" xfId="26681"/>
    <cellStyle name="Procentowy 3 10 2 6" xfId="26682"/>
    <cellStyle name="Procentowy 3 10 2 7" xfId="26683"/>
    <cellStyle name="Procentowy 3 10 20" xfId="26684"/>
    <cellStyle name="Procentowy 3 10 20 2" xfId="26685"/>
    <cellStyle name="Procentowy 3 10 21" xfId="26686"/>
    <cellStyle name="Procentowy 3 10 21 2" xfId="26687"/>
    <cellStyle name="Procentowy 3 10 22" xfId="26688"/>
    <cellStyle name="Procentowy 3 10 22 2" xfId="26689"/>
    <cellStyle name="Procentowy 3 10 23" xfId="26690"/>
    <cellStyle name="Procentowy 3 10 23 2" xfId="26691"/>
    <cellStyle name="Procentowy 3 10 24" xfId="26692"/>
    <cellStyle name="Procentowy 3 10 24 2" xfId="26693"/>
    <cellStyle name="Procentowy 3 10 25" xfId="26694"/>
    <cellStyle name="Procentowy 3 10 25 2" xfId="26695"/>
    <cellStyle name="Procentowy 3 10 26" xfId="26696"/>
    <cellStyle name="Procentowy 3 10 26 2" xfId="26697"/>
    <cellStyle name="Procentowy 3 10 27" xfId="26698"/>
    <cellStyle name="Procentowy 3 10 27 2" xfId="26699"/>
    <cellStyle name="Procentowy 3 10 28" xfId="26700"/>
    <cellStyle name="Procentowy 3 10 28 2" xfId="26701"/>
    <cellStyle name="Procentowy 3 10 29" xfId="26702"/>
    <cellStyle name="Procentowy 3 10 29 2" xfId="26703"/>
    <cellStyle name="Procentowy 3 10 3" xfId="26704"/>
    <cellStyle name="Procentowy 3 10 3 2" xfId="26705"/>
    <cellStyle name="Procentowy 3 10 3 3" xfId="26706"/>
    <cellStyle name="Procentowy 3 10 3 4" xfId="26707"/>
    <cellStyle name="Procentowy 3 10 3 5" xfId="26708"/>
    <cellStyle name="Procentowy 3 10 3 6" xfId="26709"/>
    <cellStyle name="Procentowy 3 10 3 7" xfId="26710"/>
    <cellStyle name="Procentowy 3 10 30" xfId="26711"/>
    <cellStyle name="Procentowy 3 10 30 2" xfId="26712"/>
    <cellStyle name="Procentowy 3 10 31" xfId="26713"/>
    <cellStyle name="Procentowy 3 10 31 2" xfId="26714"/>
    <cellStyle name="Procentowy 3 10 32" xfId="26715"/>
    <cellStyle name="Procentowy 3 10 33" xfId="26716"/>
    <cellStyle name="Procentowy 3 10 34" xfId="26717"/>
    <cellStyle name="Procentowy 3 10 35" xfId="26718"/>
    <cellStyle name="Procentowy 3 10 36" xfId="26719"/>
    <cellStyle name="Procentowy 3 10 37" xfId="26720"/>
    <cellStyle name="Procentowy 3 10 38" xfId="26721"/>
    <cellStyle name="Procentowy 3 10 39" xfId="26722"/>
    <cellStyle name="Procentowy 3 10 4" xfId="26723"/>
    <cellStyle name="Procentowy 3 10 4 2" xfId="26724"/>
    <cellStyle name="Procentowy 3 10 4 3" xfId="26725"/>
    <cellStyle name="Procentowy 3 10 4 4" xfId="26726"/>
    <cellStyle name="Procentowy 3 10 4 5" xfId="26727"/>
    <cellStyle name="Procentowy 3 10 4 6" xfId="26728"/>
    <cellStyle name="Procentowy 3 10 4 7" xfId="26729"/>
    <cellStyle name="Procentowy 3 10 40" xfId="26730"/>
    <cellStyle name="Procentowy 3 10 41" xfId="26731"/>
    <cellStyle name="Procentowy 3 10 42" xfId="26732"/>
    <cellStyle name="Procentowy 3 10 43" xfId="26733"/>
    <cellStyle name="Procentowy 3 10 44" xfId="26734"/>
    <cellStyle name="Procentowy 3 10 45" xfId="26735"/>
    <cellStyle name="Procentowy 3 10 46" xfId="26736"/>
    <cellStyle name="Procentowy 3 10 47" xfId="26737"/>
    <cellStyle name="Procentowy 3 10 48" xfId="26738"/>
    <cellStyle name="Procentowy 3 10 49" xfId="26739"/>
    <cellStyle name="Procentowy 3 10 5" xfId="26740"/>
    <cellStyle name="Procentowy 3 10 5 2" xfId="26741"/>
    <cellStyle name="Procentowy 3 10 5 3" xfId="26742"/>
    <cellStyle name="Procentowy 3 10 5 4" xfId="26743"/>
    <cellStyle name="Procentowy 3 10 5 5" xfId="26744"/>
    <cellStyle name="Procentowy 3 10 5 6" xfId="26745"/>
    <cellStyle name="Procentowy 3 10 5 7" xfId="26746"/>
    <cellStyle name="Procentowy 3 10 50" xfId="26747"/>
    <cellStyle name="Procentowy 3 10 51" xfId="26748"/>
    <cellStyle name="Procentowy 3 10 52" xfId="26749"/>
    <cellStyle name="Procentowy 3 10 53" xfId="26750"/>
    <cellStyle name="Procentowy 3 10 54" xfId="26751"/>
    <cellStyle name="Procentowy 3 10 55" xfId="26752"/>
    <cellStyle name="Procentowy 3 10 56" xfId="26753"/>
    <cellStyle name="Procentowy 3 10 57" xfId="26754"/>
    <cellStyle name="Procentowy 3 10 58" xfId="26755"/>
    <cellStyle name="Procentowy 3 10 59" xfId="26756"/>
    <cellStyle name="Procentowy 3 10 6" xfId="26757"/>
    <cellStyle name="Procentowy 3 10 6 2" xfId="26758"/>
    <cellStyle name="Procentowy 3 10 60" xfId="26759"/>
    <cellStyle name="Procentowy 3 10 61" xfId="26760"/>
    <cellStyle name="Procentowy 3 10 62" xfId="26761"/>
    <cellStyle name="Procentowy 3 10 63" xfId="26762"/>
    <cellStyle name="Procentowy 3 10 64" xfId="26763"/>
    <cellStyle name="Procentowy 3 10 65" xfId="26764"/>
    <cellStyle name="Procentowy 3 10 66" xfId="26765"/>
    <cellStyle name="Procentowy 3 10 67" xfId="26766"/>
    <cellStyle name="Procentowy 3 10 68" xfId="26767"/>
    <cellStyle name="Procentowy 3 10 69" xfId="26768"/>
    <cellStyle name="Procentowy 3 10 7" xfId="26769"/>
    <cellStyle name="Procentowy 3 10 7 2" xfId="26770"/>
    <cellStyle name="Procentowy 3 10 70" xfId="26771"/>
    <cellStyle name="Procentowy 3 10 71" xfId="26772"/>
    <cellStyle name="Procentowy 3 10 72" xfId="26773"/>
    <cellStyle name="Procentowy 3 10 73" xfId="26774"/>
    <cellStyle name="Procentowy 3 10 74" xfId="26775"/>
    <cellStyle name="Procentowy 3 10 8" xfId="26776"/>
    <cellStyle name="Procentowy 3 10 8 2" xfId="26777"/>
    <cellStyle name="Procentowy 3 10 9" xfId="26778"/>
    <cellStyle name="Procentowy 3 10 9 2" xfId="26779"/>
    <cellStyle name="Procentowy 3 11" xfId="26780"/>
    <cellStyle name="Procentowy 3 11 10" xfId="26781"/>
    <cellStyle name="Procentowy 3 11 10 2" xfId="26782"/>
    <cellStyle name="Procentowy 3 11 11" xfId="26783"/>
    <cellStyle name="Procentowy 3 11 11 2" xfId="26784"/>
    <cellStyle name="Procentowy 3 11 12" xfId="26785"/>
    <cellStyle name="Procentowy 3 11 12 2" xfId="26786"/>
    <cellStyle name="Procentowy 3 11 13" xfId="26787"/>
    <cellStyle name="Procentowy 3 11 13 2" xfId="26788"/>
    <cellStyle name="Procentowy 3 11 14" xfId="26789"/>
    <cellStyle name="Procentowy 3 11 14 2" xfId="26790"/>
    <cellStyle name="Procentowy 3 11 15" xfId="26791"/>
    <cellStyle name="Procentowy 3 11 15 2" xfId="26792"/>
    <cellStyle name="Procentowy 3 11 16" xfId="26793"/>
    <cellStyle name="Procentowy 3 11 16 2" xfId="26794"/>
    <cellStyle name="Procentowy 3 11 17" xfId="26795"/>
    <cellStyle name="Procentowy 3 11 17 2" xfId="26796"/>
    <cellStyle name="Procentowy 3 11 18" xfId="26797"/>
    <cellStyle name="Procentowy 3 11 18 2" xfId="26798"/>
    <cellStyle name="Procentowy 3 11 19" xfId="26799"/>
    <cellStyle name="Procentowy 3 11 19 2" xfId="26800"/>
    <cellStyle name="Procentowy 3 11 2" xfId="26801"/>
    <cellStyle name="Procentowy 3 11 2 2" xfId="26802"/>
    <cellStyle name="Procentowy 3 11 2 3" xfId="26803"/>
    <cellStyle name="Procentowy 3 11 2 4" xfId="26804"/>
    <cellStyle name="Procentowy 3 11 2 5" xfId="26805"/>
    <cellStyle name="Procentowy 3 11 2 6" xfId="26806"/>
    <cellStyle name="Procentowy 3 11 2 7" xfId="26807"/>
    <cellStyle name="Procentowy 3 11 20" xfId="26808"/>
    <cellStyle name="Procentowy 3 11 20 2" xfId="26809"/>
    <cellStyle name="Procentowy 3 11 21" xfId="26810"/>
    <cellStyle name="Procentowy 3 11 21 2" xfId="26811"/>
    <cellStyle name="Procentowy 3 11 22" xfId="26812"/>
    <cellStyle name="Procentowy 3 11 22 2" xfId="26813"/>
    <cellStyle name="Procentowy 3 11 23" xfId="26814"/>
    <cellStyle name="Procentowy 3 11 23 2" xfId="26815"/>
    <cellStyle name="Procentowy 3 11 24" xfId="26816"/>
    <cellStyle name="Procentowy 3 11 24 2" xfId="26817"/>
    <cellStyle name="Procentowy 3 11 25" xfId="26818"/>
    <cellStyle name="Procentowy 3 11 25 2" xfId="26819"/>
    <cellStyle name="Procentowy 3 11 26" xfId="26820"/>
    <cellStyle name="Procentowy 3 11 26 2" xfId="26821"/>
    <cellStyle name="Procentowy 3 11 27" xfId="26822"/>
    <cellStyle name="Procentowy 3 11 27 2" xfId="26823"/>
    <cellStyle name="Procentowy 3 11 28" xfId="26824"/>
    <cellStyle name="Procentowy 3 11 28 2" xfId="26825"/>
    <cellStyle name="Procentowy 3 11 29" xfId="26826"/>
    <cellStyle name="Procentowy 3 11 29 2" xfId="26827"/>
    <cellStyle name="Procentowy 3 11 3" xfId="26828"/>
    <cellStyle name="Procentowy 3 11 3 2" xfId="26829"/>
    <cellStyle name="Procentowy 3 11 3 3" xfId="26830"/>
    <cellStyle name="Procentowy 3 11 3 4" xfId="26831"/>
    <cellStyle name="Procentowy 3 11 3 5" xfId="26832"/>
    <cellStyle name="Procentowy 3 11 3 6" xfId="26833"/>
    <cellStyle name="Procentowy 3 11 3 7" xfId="26834"/>
    <cellStyle name="Procentowy 3 11 30" xfId="26835"/>
    <cellStyle name="Procentowy 3 11 30 2" xfId="26836"/>
    <cellStyle name="Procentowy 3 11 31" xfId="26837"/>
    <cellStyle name="Procentowy 3 11 31 2" xfId="26838"/>
    <cellStyle name="Procentowy 3 11 32" xfId="26839"/>
    <cellStyle name="Procentowy 3 11 33" xfId="26840"/>
    <cellStyle name="Procentowy 3 11 34" xfId="26841"/>
    <cellStyle name="Procentowy 3 11 35" xfId="26842"/>
    <cellStyle name="Procentowy 3 11 36" xfId="26843"/>
    <cellStyle name="Procentowy 3 11 37" xfId="26844"/>
    <cellStyle name="Procentowy 3 11 38" xfId="26845"/>
    <cellStyle name="Procentowy 3 11 39" xfId="26846"/>
    <cellStyle name="Procentowy 3 11 4" xfId="26847"/>
    <cellStyle name="Procentowy 3 11 4 2" xfId="26848"/>
    <cellStyle name="Procentowy 3 11 4 3" xfId="26849"/>
    <cellStyle name="Procentowy 3 11 4 4" xfId="26850"/>
    <cellStyle name="Procentowy 3 11 4 5" xfId="26851"/>
    <cellStyle name="Procentowy 3 11 4 6" xfId="26852"/>
    <cellStyle name="Procentowy 3 11 4 7" xfId="26853"/>
    <cellStyle name="Procentowy 3 11 40" xfId="26854"/>
    <cellStyle name="Procentowy 3 11 41" xfId="26855"/>
    <cellStyle name="Procentowy 3 11 42" xfId="26856"/>
    <cellStyle name="Procentowy 3 11 43" xfId="26857"/>
    <cellStyle name="Procentowy 3 11 44" xfId="26858"/>
    <cellStyle name="Procentowy 3 11 45" xfId="26859"/>
    <cellStyle name="Procentowy 3 11 46" xfId="26860"/>
    <cellStyle name="Procentowy 3 11 47" xfId="26861"/>
    <cellStyle name="Procentowy 3 11 48" xfId="26862"/>
    <cellStyle name="Procentowy 3 11 49" xfId="26863"/>
    <cellStyle name="Procentowy 3 11 5" xfId="26864"/>
    <cellStyle name="Procentowy 3 11 5 2" xfId="26865"/>
    <cellStyle name="Procentowy 3 11 5 3" xfId="26866"/>
    <cellStyle name="Procentowy 3 11 5 4" xfId="26867"/>
    <cellStyle name="Procentowy 3 11 5 5" xfId="26868"/>
    <cellStyle name="Procentowy 3 11 5 6" xfId="26869"/>
    <cellStyle name="Procentowy 3 11 5 7" xfId="26870"/>
    <cellStyle name="Procentowy 3 11 50" xfId="26871"/>
    <cellStyle name="Procentowy 3 11 51" xfId="26872"/>
    <cellStyle name="Procentowy 3 11 52" xfId="26873"/>
    <cellStyle name="Procentowy 3 11 53" xfId="26874"/>
    <cellStyle name="Procentowy 3 11 54" xfId="26875"/>
    <cellStyle name="Procentowy 3 11 55" xfId="26876"/>
    <cellStyle name="Procentowy 3 11 56" xfId="26877"/>
    <cellStyle name="Procentowy 3 11 57" xfId="26878"/>
    <cellStyle name="Procentowy 3 11 58" xfId="26879"/>
    <cellStyle name="Procentowy 3 11 59" xfId="26880"/>
    <cellStyle name="Procentowy 3 11 6" xfId="26881"/>
    <cellStyle name="Procentowy 3 11 6 2" xfId="26882"/>
    <cellStyle name="Procentowy 3 11 60" xfId="26883"/>
    <cellStyle name="Procentowy 3 11 61" xfId="26884"/>
    <cellStyle name="Procentowy 3 11 62" xfId="26885"/>
    <cellStyle name="Procentowy 3 11 63" xfId="26886"/>
    <cellStyle name="Procentowy 3 11 64" xfId="26887"/>
    <cellStyle name="Procentowy 3 11 65" xfId="26888"/>
    <cellStyle name="Procentowy 3 11 66" xfId="26889"/>
    <cellStyle name="Procentowy 3 11 67" xfId="26890"/>
    <cellStyle name="Procentowy 3 11 68" xfId="26891"/>
    <cellStyle name="Procentowy 3 11 69" xfId="26892"/>
    <cellStyle name="Procentowy 3 11 7" xfId="26893"/>
    <cellStyle name="Procentowy 3 11 7 2" xfId="26894"/>
    <cellStyle name="Procentowy 3 11 70" xfId="26895"/>
    <cellStyle name="Procentowy 3 11 71" xfId="26896"/>
    <cellStyle name="Procentowy 3 11 72" xfId="26897"/>
    <cellStyle name="Procentowy 3 11 73" xfId="26898"/>
    <cellStyle name="Procentowy 3 11 74" xfId="26899"/>
    <cellStyle name="Procentowy 3 11 8" xfId="26900"/>
    <cellStyle name="Procentowy 3 11 8 2" xfId="26901"/>
    <cellStyle name="Procentowy 3 11 9" xfId="26902"/>
    <cellStyle name="Procentowy 3 11 9 2" xfId="26903"/>
    <cellStyle name="Procentowy 3 12" xfId="26904"/>
    <cellStyle name="Procentowy 3 12 10" xfId="26905"/>
    <cellStyle name="Procentowy 3 12 10 2" xfId="26906"/>
    <cellStyle name="Procentowy 3 12 11" xfId="26907"/>
    <cellStyle name="Procentowy 3 12 11 2" xfId="26908"/>
    <cellStyle name="Procentowy 3 12 12" xfId="26909"/>
    <cellStyle name="Procentowy 3 12 12 2" xfId="26910"/>
    <cellStyle name="Procentowy 3 12 13" xfId="26911"/>
    <cellStyle name="Procentowy 3 12 13 2" xfId="26912"/>
    <cellStyle name="Procentowy 3 12 14" xfId="26913"/>
    <cellStyle name="Procentowy 3 12 14 2" xfId="26914"/>
    <cellStyle name="Procentowy 3 12 15" xfId="26915"/>
    <cellStyle name="Procentowy 3 12 15 2" xfId="26916"/>
    <cellStyle name="Procentowy 3 12 16" xfId="26917"/>
    <cellStyle name="Procentowy 3 12 16 2" xfId="26918"/>
    <cellStyle name="Procentowy 3 12 17" xfId="26919"/>
    <cellStyle name="Procentowy 3 12 17 2" xfId="26920"/>
    <cellStyle name="Procentowy 3 12 18" xfId="26921"/>
    <cellStyle name="Procentowy 3 12 18 2" xfId="26922"/>
    <cellStyle name="Procentowy 3 12 19" xfId="26923"/>
    <cellStyle name="Procentowy 3 12 19 2" xfId="26924"/>
    <cellStyle name="Procentowy 3 12 2" xfId="26925"/>
    <cellStyle name="Procentowy 3 12 2 2" xfId="26926"/>
    <cellStyle name="Procentowy 3 12 2 3" xfId="26927"/>
    <cellStyle name="Procentowy 3 12 2 4" xfId="26928"/>
    <cellStyle name="Procentowy 3 12 2 5" xfId="26929"/>
    <cellStyle name="Procentowy 3 12 2 6" xfId="26930"/>
    <cellStyle name="Procentowy 3 12 2 7" xfId="26931"/>
    <cellStyle name="Procentowy 3 12 20" xfId="26932"/>
    <cellStyle name="Procentowy 3 12 20 2" xfId="26933"/>
    <cellStyle name="Procentowy 3 12 21" xfId="26934"/>
    <cellStyle name="Procentowy 3 12 21 2" xfId="26935"/>
    <cellStyle name="Procentowy 3 12 22" xfId="26936"/>
    <cellStyle name="Procentowy 3 12 22 2" xfId="26937"/>
    <cellStyle name="Procentowy 3 12 23" xfId="26938"/>
    <cellStyle name="Procentowy 3 12 23 2" xfId="26939"/>
    <cellStyle name="Procentowy 3 12 24" xfId="26940"/>
    <cellStyle name="Procentowy 3 12 24 2" xfId="26941"/>
    <cellStyle name="Procentowy 3 12 25" xfId="26942"/>
    <cellStyle name="Procentowy 3 12 25 2" xfId="26943"/>
    <cellStyle name="Procentowy 3 12 26" xfId="26944"/>
    <cellStyle name="Procentowy 3 12 26 2" xfId="26945"/>
    <cellStyle name="Procentowy 3 12 27" xfId="26946"/>
    <cellStyle name="Procentowy 3 12 27 2" xfId="26947"/>
    <cellStyle name="Procentowy 3 12 28" xfId="26948"/>
    <cellStyle name="Procentowy 3 12 28 2" xfId="26949"/>
    <cellStyle name="Procentowy 3 12 29" xfId="26950"/>
    <cellStyle name="Procentowy 3 12 29 2" xfId="26951"/>
    <cellStyle name="Procentowy 3 12 3" xfId="26952"/>
    <cellStyle name="Procentowy 3 12 3 2" xfId="26953"/>
    <cellStyle name="Procentowy 3 12 3 3" xfId="26954"/>
    <cellStyle name="Procentowy 3 12 3 4" xfId="26955"/>
    <cellStyle name="Procentowy 3 12 3 5" xfId="26956"/>
    <cellStyle name="Procentowy 3 12 3 6" xfId="26957"/>
    <cellStyle name="Procentowy 3 12 3 7" xfId="26958"/>
    <cellStyle name="Procentowy 3 12 30" xfId="26959"/>
    <cellStyle name="Procentowy 3 12 30 2" xfId="26960"/>
    <cellStyle name="Procentowy 3 12 31" xfId="26961"/>
    <cellStyle name="Procentowy 3 12 31 2" xfId="26962"/>
    <cellStyle name="Procentowy 3 12 32" xfId="26963"/>
    <cellStyle name="Procentowy 3 12 33" xfId="26964"/>
    <cellStyle name="Procentowy 3 12 34" xfId="26965"/>
    <cellStyle name="Procentowy 3 12 35" xfId="26966"/>
    <cellStyle name="Procentowy 3 12 36" xfId="26967"/>
    <cellStyle name="Procentowy 3 12 37" xfId="26968"/>
    <cellStyle name="Procentowy 3 12 38" xfId="26969"/>
    <cellStyle name="Procentowy 3 12 39" xfId="26970"/>
    <cellStyle name="Procentowy 3 12 4" xfId="26971"/>
    <cellStyle name="Procentowy 3 12 4 2" xfId="26972"/>
    <cellStyle name="Procentowy 3 12 4 3" xfId="26973"/>
    <cellStyle name="Procentowy 3 12 4 4" xfId="26974"/>
    <cellStyle name="Procentowy 3 12 4 5" xfId="26975"/>
    <cellStyle name="Procentowy 3 12 4 6" xfId="26976"/>
    <cellStyle name="Procentowy 3 12 4 7" xfId="26977"/>
    <cellStyle name="Procentowy 3 12 40" xfId="26978"/>
    <cellStyle name="Procentowy 3 12 41" xfId="26979"/>
    <cellStyle name="Procentowy 3 12 42" xfId="26980"/>
    <cellStyle name="Procentowy 3 12 43" xfId="26981"/>
    <cellStyle name="Procentowy 3 12 44" xfId="26982"/>
    <cellStyle name="Procentowy 3 12 45" xfId="26983"/>
    <cellStyle name="Procentowy 3 12 46" xfId="26984"/>
    <cellStyle name="Procentowy 3 12 47" xfId="26985"/>
    <cellStyle name="Procentowy 3 12 48" xfId="26986"/>
    <cellStyle name="Procentowy 3 12 49" xfId="26987"/>
    <cellStyle name="Procentowy 3 12 5" xfId="26988"/>
    <cellStyle name="Procentowy 3 12 5 2" xfId="26989"/>
    <cellStyle name="Procentowy 3 12 5 3" xfId="26990"/>
    <cellStyle name="Procentowy 3 12 5 4" xfId="26991"/>
    <cellStyle name="Procentowy 3 12 5 5" xfId="26992"/>
    <cellStyle name="Procentowy 3 12 5 6" xfId="26993"/>
    <cellStyle name="Procentowy 3 12 5 7" xfId="26994"/>
    <cellStyle name="Procentowy 3 12 50" xfId="26995"/>
    <cellStyle name="Procentowy 3 12 51" xfId="26996"/>
    <cellStyle name="Procentowy 3 12 52" xfId="26997"/>
    <cellStyle name="Procentowy 3 12 53" xfId="26998"/>
    <cellStyle name="Procentowy 3 12 54" xfId="26999"/>
    <cellStyle name="Procentowy 3 12 55" xfId="27000"/>
    <cellStyle name="Procentowy 3 12 56" xfId="27001"/>
    <cellStyle name="Procentowy 3 12 57" xfId="27002"/>
    <cellStyle name="Procentowy 3 12 58" xfId="27003"/>
    <cellStyle name="Procentowy 3 12 59" xfId="27004"/>
    <cellStyle name="Procentowy 3 12 6" xfId="27005"/>
    <cellStyle name="Procentowy 3 12 6 2" xfId="27006"/>
    <cellStyle name="Procentowy 3 12 60" xfId="27007"/>
    <cellStyle name="Procentowy 3 12 61" xfId="27008"/>
    <cellStyle name="Procentowy 3 12 62" xfId="27009"/>
    <cellStyle name="Procentowy 3 12 63" xfId="27010"/>
    <cellStyle name="Procentowy 3 12 64" xfId="27011"/>
    <cellStyle name="Procentowy 3 12 65" xfId="27012"/>
    <cellStyle name="Procentowy 3 12 66" xfId="27013"/>
    <cellStyle name="Procentowy 3 12 67" xfId="27014"/>
    <cellStyle name="Procentowy 3 12 68" xfId="27015"/>
    <cellStyle name="Procentowy 3 12 69" xfId="27016"/>
    <cellStyle name="Procentowy 3 12 7" xfId="27017"/>
    <cellStyle name="Procentowy 3 12 7 2" xfId="27018"/>
    <cellStyle name="Procentowy 3 12 70" xfId="27019"/>
    <cellStyle name="Procentowy 3 12 71" xfId="27020"/>
    <cellStyle name="Procentowy 3 12 72" xfId="27021"/>
    <cellStyle name="Procentowy 3 12 73" xfId="27022"/>
    <cellStyle name="Procentowy 3 12 74" xfId="27023"/>
    <cellStyle name="Procentowy 3 12 8" xfId="27024"/>
    <cellStyle name="Procentowy 3 12 8 2" xfId="27025"/>
    <cellStyle name="Procentowy 3 12 9" xfId="27026"/>
    <cellStyle name="Procentowy 3 12 9 2" xfId="27027"/>
    <cellStyle name="Procentowy 3 13" xfId="27028"/>
    <cellStyle name="Procentowy 3 13 10" xfId="27029"/>
    <cellStyle name="Procentowy 3 13 10 2" xfId="27030"/>
    <cellStyle name="Procentowy 3 13 11" xfId="27031"/>
    <cellStyle name="Procentowy 3 13 11 2" xfId="27032"/>
    <cellStyle name="Procentowy 3 13 12" xfId="27033"/>
    <cellStyle name="Procentowy 3 13 12 2" xfId="27034"/>
    <cellStyle name="Procentowy 3 13 13" xfId="27035"/>
    <cellStyle name="Procentowy 3 13 13 2" xfId="27036"/>
    <cellStyle name="Procentowy 3 13 14" xfId="27037"/>
    <cellStyle name="Procentowy 3 13 14 2" xfId="27038"/>
    <cellStyle name="Procentowy 3 13 15" xfId="27039"/>
    <cellStyle name="Procentowy 3 13 15 2" xfId="27040"/>
    <cellStyle name="Procentowy 3 13 16" xfId="27041"/>
    <cellStyle name="Procentowy 3 13 16 2" xfId="27042"/>
    <cellStyle name="Procentowy 3 13 17" xfId="27043"/>
    <cellStyle name="Procentowy 3 13 17 2" xfId="27044"/>
    <cellStyle name="Procentowy 3 13 18" xfId="27045"/>
    <cellStyle name="Procentowy 3 13 18 2" xfId="27046"/>
    <cellStyle name="Procentowy 3 13 19" xfId="27047"/>
    <cellStyle name="Procentowy 3 13 19 2" xfId="27048"/>
    <cellStyle name="Procentowy 3 13 2" xfId="27049"/>
    <cellStyle name="Procentowy 3 13 2 2" xfId="27050"/>
    <cellStyle name="Procentowy 3 13 2 3" xfId="27051"/>
    <cellStyle name="Procentowy 3 13 2 4" xfId="27052"/>
    <cellStyle name="Procentowy 3 13 2 5" xfId="27053"/>
    <cellStyle name="Procentowy 3 13 2 6" xfId="27054"/>
    <cellStyle name="Procentowy 3 13 2 7" xfId="27055"/>
    <cellStyle name="Procentowy 3 13 20" xfId="27056"/>
    <cellStyle name="Procentowy 3 13 20 2" xfId="27057"/>
    <cellStyle name="Procentowy 3 13 21" xfId="27058"/>
    <cellStyle name="Procentowy 3 13 21 2" xfId="27059"/>
    <cellStyle name="Procentowy 3 13 22" xfId="27060"/>
    <cellStyle name="Procentowy 3 13 22 2" xfId="27061"/>
    <cellStyle name="Procentowy 3 13 23" xfId="27062"/>
    <cellStyle name="Procentowy 3 13 23 2" xfId="27063"/>
    <cellStyle name="Procentowy 3 13 24" xfId="27064"/>
    <cellStyle name="Procentowy 3 13 24 2" xfId="27065"/>
    <cellStyle name="Procentowy 3 13 25" xfId="27066"/>
    <cellStyle name="Procentowy 3 13 25 2" xfId="27067"/>
    <cellStyle name="Procentowy 3 13 26" xfId="27068"/>
    <cellStyle name="Procentowy 3 13 26 2" xfId="27069"/>
    <cellStyle name="Procentowy 3 13 27" xfId="27070"/>
    <cellStyle name="Procentowy 3 13 27 2" xfId="27071"/>
    <cellStyle name="Procentowy 3 13 28" xfId="27072"/>
    <cellStyle name="Procentowy 3 13 28 2" xfId="27073"/>
    <cellStyle name="Procentowy 3 13 29" xfId="27074"/>
    <cellStyle name="Procentowy 3 13 29 2" xfId="27075"/>
    <cellStyle name="Procentowy 3 13 3" xfId="27076"/>
    <cellStyle name="Procentowy 3 13 3 2" xfId="27077"/>
    <cellStyle name="Procentowy 3 13 3 3" xfId="27078"/>
    <cellStyle name="Procentowy 3 13 3 4" xfId="27079"/>
    <cellStyle name="Procentowy 3 13 3 5" xfId="27080"/>
    <cellStyle name="Procentowy 3 13 3 6" xfId="27081"/>
    <cellStyle name="Procentowy 3 13 3 7" xfId="27082"/>
    <cellStyle name="Procentowy 3 13 30" xfId="27083"/>
    <cellStyle name="Procentowy 3 13 30 2" xfId="27084"/>
    <cellStyle name="Procentowy 3 13 31" xfId="27085"/>
    <cellStyle name="Procentowy 3 13 31 2" xfId="27086"/>
    <cellStyle name="Procentowy 3 13 32" xfId="27087"/>
    <cellStyle name="Procentowy 3 13 33" xfId="27088"/>
    <cellStyle name="Procentowy 3 13 34" xfId="27089"/>
    <cellStyle name="Procentowy 3 13 35" xfId="27090"/>
    <cellStyle name="Procentowy 3 13 36" xfId="27091"/>
    <cellStyle name="Procentowy 3 13 37" xfId="27092"/>
    <cellStyle name="Procentowy 3 13 38" xfId="27093"/>
    <cellStyle name="Procentowy 3 13 39" xfId="27094"/>
    <cellStyle name="Procentowy 3 13 4" xfId="27095"/>
    <cellStyle name="Procentowy 3 13 4 2" xfId="27096"/>
    <cellStyle name="Procentowy 3 13 4 3" xfId="27097"/>
    <cellStyle name="Procentowy 3 13 4 4" xfId="27098"/>
    <cellStyle name="Procentowy 3 13 4 5" xfId="27099"/>
    <cellStyle name="Procentowy 3 13 4 6" xfId="27100"/>
    <cellStyle name="Procentowy 3 13 4 7" xfId="27101"/>
    <cellStyle name="Procentowy 3 13 40" xfId="27102"/>
    <cellStyle name="Procentowy 3 13 41" xfId="27103"/>
    <cellStyle name="Procentowy 3 13 42" xfId="27104"/>
    <cellStyle name="Procentowy 3 13 43" xfId="27105"/>
    <cellStyle name="Procentowy 3 13 44" xfId="27106"/>
    <cellStyle name="Procentowy 3 13 45" xfId="27107"/>
    <cellStyle name="Procentowy 3 13 46" xfId="27108"/>
    <cellStyle name="Procentowy 3 13 47" xfId="27109"/>
    <cellStyle name="Procentowy 3 13 48" xfId="27110"/>
    <cellStyle name="Procentowy 3 13 49" xfId="27111"/>
    <cellStyle name="Procentowy 3 13 5" xfId="27112"/>
    <cellStyle name="Procentowy 3 13 5 2" xfId="27113"/>
    <cellStyle name="Procentowy 3 13 5 3" xfId="27114"/>
    <cellStyle name="Procentowy 3 13 5 4" xfId="27115"/>
    <cellStyle name="Procentowy 3 13 5 5" xfId="27116"/>
    <cellStyle name="Procentowy 3 13 5 6" xfId="27117"/>
    <cellStyle name="Procentowy 3 13 5 7" xfId="27118"/>
    <cellStyle name="Procentowy 3 13 50" xfId="27119"/>
    <cellStyle name="Procentowy 3 13 51" xfId="27120"/>
    <cellStyle name="Procentowy 3 13 52" xfId="27121"/>
    <cellStyle name="Procentowy 3 13 53" xfId="27122"/>
    <cellStyle name="Procentowy 3 13 54" xfId="27123"/>
    <cellStyle name="Procentowy 3 13 55" xfId="27124"/>
    <cellStyle name="Procentowy 3 13 56" xfId="27125"/>
    <cellStyle name="Procentowy 3 13 57" xfId="27126"/>
    <cellStyle name="Procentowy 3 13 58" xfId="27127"/>
    <cellStyle name="Procentowy 3 13 59" xfId="27128"/>
    <cellStyle name="Procentowy 3 13 6" xfId="27129"/>
    <cellStyle name="Procentowy 3 13 6 2" xfId="27130"/>
    <cellStyle name="Procentowy 3 13 60" xfId="27131"/>
    <cellStyle name="Procentowy 3 13 61" xfId="27132"/>
    <cellStyle name="Procentowy 3 13 62" xfId="27133"/>
    <cellStyle name="Procentowy 3 13 63" xfId="27134"/>
    <cellStyle name="Procentowy 3 13 64" xfId="27135"/>
    <cellStyle name="Procentowy 3 13 65" xfId="27136"/>
    <cellStyle name="Procentowy 3 13 66" xfId="27137"/>
    <cellStyle name="Procentowy 3 13 67" xfId="27138"/>
    <cellStyle name="Procentowy 3 13 68" xfId="27139"/>
    <cellStyle name="Procentowy 3 13 69" xfId="27140"/>
    <cellStyle name="Procentowy 3 13 7" xfId="27141"/>
    <cellStyle name="Procentowy 3 13 7 2" xfId="27142"/>
    <cellStyle name="Procentowy 3 13 70" xfId="27143"/>
    <cellStyle name="Procentowy 3 13 71" xfId="27144"/>
    <cellStyle name="Procentowy 3 13 72" xfId="27145"/>
    <cellStyle name="Procentowy 3 13 73" xfId="27146"/>
    <cellStyle name="Procentowy 3 13 74" xfId="27147"/>
    <cellStyle name="Procentowy 3 13 8" xfId="27148"/>
    <cellStyle name="Procentowy 3 13 8 2" xfId="27149"/>
    <cellStyle name="Procentowy 3 13 9" xfId="27150"/>
    <cellStyle name="Procentowy 3 13 9 2" xfId="27151"/>
    <cellStyle name="Procentowy 3 14" xfId="27152"/>
    <cellStyle name="Procentowy 3 14 10" xfId="27153"/>
    <cellStyle name="Procentowy 3 14 10 2" xfId="27154"/>
    <cellStyle name="Procentowy 3 14 11" xfId="27155"/>
    <cellStyle name="Procentowy 3 14 11 2" xfId="27156"/>
    <cellStyle name="Procentowy 3 14 12" xfId="27157"/>
    <cellStyle name="Procentowy 3 14 12 2" xfId="27158"/>
    <cellStyle name="Procentowy 3 14 13" xfId="27159"/>
    <cellStyle name="Procentowy 3 14 13 2" xfId="27160"/>
    <cellStyle name="Procentowy 3 14 14" xfId="27161"/>
    <cellStyle name="Procentowy 3 14 14 2" xfId="27162"/>
    <cellStyle name="Procentowy 3 14 15" xfId="27163"/>
    <cellStyle name="Procentowy 3 14 15 2" xfId="27164"/>
    <cellStyle name="Procentowy 3 14 16" xfId="27165"/>
    <cellStyle name="Procentowy 3 14 16 2" xfId="27166"/>
    <cellStyle name="Procentowy 3 14 17" xfId="27167"/>
    <cellStyle name="Procentowy 3 14 17 2" xfId="27168"/>
    <cellStyle name="Procentowy 3 14 18" xfId="27169"/>
    <cellStyle name="Procentowy 3 14 18 2" xfId="27170"/>
    <cellStyle name="Procentowy 3 14 19" xfId="27171"/>
    <cellStyle name="Procentowy 3 14 19 2" xfId="27172"/>
    <cellStyle name="Procentowy 3 14 2" xfId="27173"/>
    <cellStyle name="Procentowy 3 14 2 2" xfId="27174"/>
    <cellStyle name="Procentowy 3 14 2 3" xfId="27175"/>
    <cellStyle name="Procentowy 3 14 2 4" xfId="27176"/>
    <cellStyle name="Procentowy 3 14 2 5" xfId="27177"/>
    <cellStyle name="Procentowy 3 14 2 6" xfId="27178"/>
    <cellStyle name="Procentowy 3 14 2 7" xfId="27179"/>
    <cellStyle name="Procentowy 3 14 20" xfId="27180"/>
    <cellStyle name="Procentowy 3 14 20 2" xfId="27181"/>
    <cellStyle name="Procentowy 3 14 21" xfId="27182"/>
    <cellStyle name="Procentowy 3 14 21 2" xfId="27183"/>
    <cellStyle name="Procentowy 3 14 22" xfId="27184"/>
    <cellStyle name="Procentowy 3 14 22 2" xfId="27185"/>
    <cellStyle name="Procentowy 3 14 23" xfId="27186"/>
    <cellStyle name="Procentowy 3 14 23 2" xfId="27187"/>
    <cellStyle name="Procentowy 3 14 24" xfId="27188"/>
    <cellStyle name="Procentowy 3 14 24 2" xfId="27189"/>
    <cellStyle name="Procentowy 3 14 25" xfId="27190"/>
    <cellStyle name="Procentowy 3 14 25 2" xfId="27191"/>
    <cellStyle name="Procentowy 3 14 26" xfId="27192"/>
    <cellStyle name="Procentowy 3 14 26 2" xfId="27193"/>
    <cellStyle name="Procentowy 3 14 27" xfId="27194"/>
    <cellStyle name="Procentowy 3 14 27 2" xfId="27195"/>
    <cellStyle name="Procentowy 3 14 28" xfId="27196"/>
    <cellStyle name="Procentowy 3 14 28 2" xfId="27197"/>
    <cellStyle name="Procentowy 3 14 29" xfId="27198"/>
    <cellStyle name="Procentowy 3 14 29 2" xfId="27199"/>
    <cellStyle name="Procentowy 3 14 3" xfId="27200"/>
    <cellStyle name="Procentowy 3 14 3 2" xfId="27201"/>
    <cellStyle name="Procentowy 3 14 3 3" xfId="27202"/>
    <cellStyle name="Procentowy 3 14 3 4" xfId="27203"/>
    <cellStyle name="Procentowy 3 14 3 5" xfId="27204"/>
    <cellStyle name="Procentowy 3 14 3 6" xfId="27205"/>
    <cellStyle name="Procentowy 3 14 3 7" xfId="27206"/>
    <cellStyle name="Procentowy 3 14 30" xfId="27207"/>
    <cellStyle name="Procentowy 3 14 30 2" xfId="27208"/>
    <cellStyle name="Procentowy 3 14 31" xfId="27209"/>
    <cellStyle name="Procentowy 3 14 31 2" xfId="27210"/>
    <cellStyle name="Procentowy 3 14 32" xfId="27211"/>
    <cellStyle name="Procentowy 3 14 33" xfId="27212"/>
    <cellStyle name="Procentowy 3 14 34" xfId="27213"/>
    <cellStyle name="Procentowy 3 14 35" xfId="27214"/>
    <cellStyle name="Procentowy 3 14 36" xfId="27215"/>
    <cellStyle name="Procentowy 3 14 37" xfId="27216"/>
    <cellStyle name="Procentowy 3 14 38" xfId="27217"/>
    <cellStyle name="Procentowy 3 14 39" xfId="27218"/>
    <cellStyle name="Procentowy 3 14 4" xfId="27219"/>
    <cellStyle name="Procentowy 3 14 4 2" xfId="27220"/>
    <cellStyle name="Procentowy 3 14 4 3" xfId="27221"/>
    <cellStyle name="Procentowy 3 14 4 4" xfId="27222"/>
    <cellStyle name="Procentowy 3 14 4 5" xfId="27223"/>
    <cellStyle name="Procentowy 3 14 4 6" xfId="27224"/>
    <cellStyle name="Procentowy 3 14 4 7" xfId="27225"/>
    <cellStyle name="Procentowy 3 14 40" xfId="27226"/>
    <cellStyle name="Procentowy 3 14 41" xfId="27227"/>
    <cellStyle name="Procentowy 3 14 42" xfId="27228"/>
    <cellStyle name="Procentowy 3 14 43" xfId="27229"/>
    <cellStyle name="Procentowy 3 14 44" xfId="27230"/>
    <cellStyle name="Procentowy 3 14 45" xfId="27231"/>
    <cellStyle name="Procentowy 3 14 46" xfId="27232"/>
    <cellStyle name="Procentowy 3 14 47" xfId="27233"/>
    <cellStyle name="Procentowy 3 14 48" xfId="27234"/>
    <cellStyle name="Procentowy 3 14 49" xfId="27235"/>
    <cellStyle name="Procentowy 3 14 5" xfId="27236"/>
    <cellStyle name="Procentowy 3 14 5 2" xfId="27237"/>
    <cellStyle name="Procentowy 3 14 5 3" xfId="27238"/>
    <cellStyle name="Procentowy 3 14 5 4" xfId="27239"/>
    <cellStyle name="Procentowy 3 14 5 5" xfId="27240"/>
    <cellStyle name="Procentowy 3 14 5 6" xfId="27241"/>
    <cellStyle name="Procentowy 3 14 5 7" xfId="27242"/>
    <cellStyle name="Procentowy 3 14 50" xfId="27243"/>
    <cellStyle name="Procentowy 3 14 51" xfId="27244"/>
    <cellStyle name="Procentowy 3 14 52" xfId="27245"/>
    <cellStyle name="Procentowy 3 14 53" xfId="27246"/>
    <cellStyle name="Procentowy 3 14 54" xfId="27247"/>
    <cellStyle name="Procentowy 3 14 55" xfId="27248"/>
    <cellStyle name="Procentowy 3 14 56" xfId="27249"/>
    <cellStyle name="Procentowy 3 14 57" xfId="27250"/>
    <cellStyle name="Procentowy 3 14 58" xfId="27251"/>
    <cellStyle name="Procentowy 3 14 59" xfId="27252"/>
    <cellStyle name="Procentowy 3 14 6" xfId="27253"/>
    <cellStyle name="Procentowy 3 14 6 2" xfId="27254"/>
    <cellStyle name="Procentowy 3 14 60" xfId="27255"/>
    <cellStyle name="Procentowy 3 14 61" xfId="27256"/>
    <cellStyle name="Procentowy 3 14 62" xfId="27257"/>
    <cellStyle name="Procentowy 3 14 63" xfId="27258"/>
    <cellStyle name="Procentowy 3 14 64" xfId="27259"/>
    <cellStyle name="Procentowy 3 14 65" xfId="27260"/>
    <cellStyle name="Procentowy 3 14 66" xfId="27261"/>
    <cellStyle name="Procentowy 3 14 67" xfId="27262"/>
    <cellStyle name="Procentowy 3 14 68" xfId="27263"/>
    <cellStyle name="Procentowy 3 14 69" xfId="27264"/>
    <cellStyle name="Procentowy 3 14 7" xfId="27265"/>
    <cellStyle name="Procentowy 3 14 7 2" xfId="27266"/>
    <cellStyle name="Procentowy 3 14 70" xfId="27267"/>
    <cellStyle name="Procentowy 3 14 71" xfId="27268"/>
    <cellStyle name="Procentowy 3 14 72" xfId="27269"/>
    <cellStyle name="Procentowy 3 14 73" xfId="27270"/>
    <cellStyle name="Procentowy 3 14 74" xfId="27271"/>
    <cellStyle name="Procentowy 3 14 8" xfId="27272"/>
    <cellStyle name="Procentowy 3 14 8 2" xfId="27273"/>
    <cellStyle name="Procentowy 3 14 9" xfId="27274"/>
    <cellStyle name="Procentowy 3 14 9 2" xfId="27275"/>
    <cellStyle name="Procentowy 3 15" xfId="27276"/>
    <cellStyle name="Procentowy 3 15 10" xfId="27277"/>
    <cellStyle name="Procentowy 3 15 10 2" xfId="27278"/>
    <cellStyle name="Procentowy 3 15 11" xfId="27279"/>
    <cellStyle name="Procentowy 3 15 11 2" xfId="27280"/>
    <cellStyle name="Procentowy 3 15 12" xfId="27281"/>
    <cellStyle name="Procentowy 3 15 12 2" xfId="27282"/>
    <cellStyle name="Procentowy 3 15 13" xfId="27283"/>
    <cellStyle name="Procentowy 3 15 13 2" xfId="27284"/>
    <cellStyle name="Procentowy 3 15 14" xfId="27285"/>
    <cellStyle name="Procentowy 3 15 14 2" xfId="27286"/>
    <cellStyle name="Procentowy 3 15 15" xfId="27287"/>
    <cellStyle name="Procentowy 3 15 15 2" xfId="27288"/>
    <cellStyle name="Procentowy 3 15 16" xfId="27289"/>
    <cellStyle name="Procentowy 3 15 16 2" xfId="27290"/>
    <cellStyle name="Procentowy 3 15 17" xfId="27291"/>
    <cellStyle name="Procentowy 3 15 17 2" xfId="27292"/>
    <cellStyle name="Procentowy 3 15 18" xfId="27293"/>
    <cellStyle name="Procentowy 3 15 18 2" xfId="27294"/>
    <cellStyle name="Procentowy 3 15 19" xfId="27295"/>
    <cellStyle name="Procentowy 3 15 19 2" xfId="27296"/>
    <cellStyle name="Procentowy 3 15 2" xfId="27297"/>
    <cellStyle name="Procentowy 3 15 2 2" xfId="27298"/>
    <cellStyle name="Procentowy 3 15 2 3" xfId="27299"/>
    <cellStyle name="Procentowy 3 15 2 4" xfId="27300"/>
    <cellStyle name="Procentowy 3 15 2 5" xfId="27301"/>
    <cellStyle name="Procentowy 3 15 2 6" xfId="27302"/>
    <cellStyle name="Procentowy 3 15 2 7" xfId="27303"/>
    <cellStyle name="Procentowy 3 15 20" xfId="27304"/>
    <cellStyle name="Procentowy 3 15 20 2" xfId="27305"/>
    <cellStyle name="Procentowy 3 15 21" xfId="27306"/>
    <cellStyle name="Procentowy 3 15 21 2" xfId="27307"/>
    <cellStyle name="Procentowy 3 15 22" xfId="27308"/>
    <cellStyle name="Procentowy 3 15 22 2" xfId="27309"/>
    <cellStyle name="Procentowy 3 15 23" xfId="27310"/>
    <cellStyle name="Procentowy 3 15 23 2" xfId="27311"/>
    <cellStyle name="Procentowy 3 15 24" xfId="27312"/>
    <cellStyle name="Procentowy 3 15 24 2" xfId="27313"/>
    <cellStyle name="Procentowy 3 15 25" xfId="27314"/>
    <cellStyle name="Procentowy 3 15 25 2" xfId="27315"/>
    <cellStyle name="Procentowy 3 15 26" xfId="27316"/>
    <cellStyle name="Procentowy 3 15 26 2" xfId="27317"/>
    <cellStyle name="Procentowy 3 15 27" xfId="27318"/>
    <cellStyle name="Procentowy 3 15 27 2" xfId="27319"/>
    <cellStyle name="Procentowy 3 15 28" xfId="27320"/>
    <cellStyle name="Procentowy 3 15 28 2" xfId="27321"/>
    <cellStyle name="Procentowy 3 15 29" xfId="27322"/>
    <cellStyle name="Procentowy 3 15 29 2" xfId="27323"/>
    <cellStyle name="Procentowy 3 15 3" xfId="27324"/>
    <cellStyle name="Procentowy 3 15 3 2" xfId="27325"/>
    <cellStyle name="Procentowy 3 15 3 3" xfId="27326"/>
    <cellStyle name="Procentowy 3 15 3 4" xfId="27327"/>
    <cellStyle name="Procentowy 3 15 3 5" xfId="27328"/>
    <cellStyle name="Procentowy 3 15 3 6" xfId="27329"/>
    <cellStyle name="Procentowy 3 15 3 7" xfId="27330"/>
    <cellStyle name="Procentowy 3 15 30" xfId="27331"/>
    <cellStyle name="Procentowy 3 15 30 2" xfId="27332"/>
    <cellStyle name="Procentowy 3 15 31" xfId="27333"/>
    <cellStyle name="Procentowy 3 15 31 2" xfId="27334"/>
    <cellStyle name="Procentowy 3 15 32" xfId="27335"/>
    <cellStyle name="Procentowy 3 15 33" xfId="27336"/>
    <cellStyle name="Procentowy 3 15 34" xfId="27337"/>
    <cellStyle name="Procentowy 3 15 35" xfId="27338"/>
    <cellStyle name="Procentowy 3 15 36" xfId="27339"/>
    <cellStyle name="Procentowy 3 15 37" xfId="27340"/>
    <cellStyle name="Procentowy 3 15 38" xfId="27341"/>
    <cellStyle name="Procentowy 3 15 39" xfId="27342"/>
    <cellStyle name="Procentowy 3 15 4" xfId="27343"/>
    <cellStyle name="Procentowy 3 15 4 2" xfId="27344"/>
    <cellStyle name="Procentowy 3 15 4 3" xfId="27345"/>
    <cellStyle name="Procentowy 3 15 4 4" xfId="27346"/>
    <cellStyle name="Procentowy 3 15 4 5" xfId="27347"/>
    <cellStyle name="Procentowy 3 15 4 6" xfId="27348"/>
    <cellStyle name="Procentowy 3 15 4 7" xfId="27349"/>
    <cellStyle name="Procentowy 3 15 40" xfId="27350"/>
    <cellStyle name="Procentowy 3 15 41" xfId="27351"/>
    <cellStyle name="Procentowy 3 15 42" xfId="27352"/>
    <cellStyle name="Procentowy 3 15 43" xfId="27353"/>
    <cellStyle name="Procentowy 3 15 44" xfId="27354"/>
    <cellStyle name="Procentowy 3 15 45" xfId="27355"/>
    <cellStyle name="Procentowy 3 15 46" xfId="27356"/>
    <cellStyle name="Procentowy 3 15 47" xfId="27357"/>
    <cellStyle name="Procentowy 3 15 48" xfId="27358"/>
    <cellStyle name="Procentowy 3 15 49" xfId="27359"/>
    <cellStyle name="Procentowy 3 15 5" xfId="27360"/>
    <cellStyle name="Procentowy 3 15 5 2" xfId="27361"/>
    <cellStyle name="Procentowy 3 15 5 3" xfId="27362"/>
    <cellStyle name="Procentowy 3 15 5 4" xfId="27363"/>
    <cellStyle name="Procentowy 3 15 5 5" xfId="27364"/>
    <cellStyle name="Procentowy 3 15 5 6" xfId="27365"/>
    <cellStyle name="Procentowy 3 15 5 7" xfId="27366"/>
    <cellStyle name="Procentowy 3 15 50" xfId="27367"/>
    <cellStyle name="Procentowy 3 15 51" xfId="27368"/>
    <cellStyle name="Procentowy 3 15 52" xfId="27369"/>
    <cellStyle name="Procentowy 3 15 53" xfId="27370"/>
    <cellStyle name="Procentowy 3 15 54" xfId="27371"/>
    <cellStyle name="Procentowy 3 15 55" xfId="27372"/>
    <cellStyle name="Procentowy 3 15 56" xfId="27373"/>
    <cellStyle name="Procentowy 3 15 57" xfId="27374"/>
    <cellStyle name="Procentowy 3 15 58" xfId="27375"/>
    <cellStyle name="Procentowy 3 15 59" xfId="27376"/>
    <cellStyle name="Procentowy 3 15 6" xfId="27377"/>
    <cellStyle name="Procentowy 3 15 6 2" xfId="27378"/>
    <cellStyle name="Procentowy 3 15 60" xfId="27379"/>
    <cellStyle name="Procentowy 3 15 61" xfId="27380"/>
    <cellStyle name="Procentowy 3 15 62" xfId="27381"/>
    <cellStyle name="Procentowy 3 15 63" xfId="27382"/>
    <cellStyle name="Procentowy 3 15 64" xfId="27383"/>
    <cellStyle name="Procentowy 3 15 65" xfId="27384"/>
    <cellStyle name="Procentowy 3 15 66" xfId="27385"/>
    <cellStyle name="Procentowy 3 15 67" xfId="27386"/>
    <cellStyle name="Procentowy 3 15 68" xfId="27387"/>
    <cellStyle name="Procentowy 3 15 69" xfId="27388"/>
    <cellStyle name="Procentowy 3 15 7" xfId="27389"/>
    <cellStyle name="Procentowy 3 15 7 2" xfId="27390"/>
    <cellStyle name="Procentowy 3 15 70" xfId="27391"/>
    <cellStyle name="Procentowy 3 15 71" xfId="27392"/>
    <cellStyle name="Procentowy 3 15 72" xfId="27393"/>
    <cellStyle name="Procentowy 3 15 73" xfId="27394"/>
    <cellStyle name="Procentowy 3 15 74" xfId="27395"/>
    <cellStyle name="Procentowy 3 15 8" xfId="27396"/>
    <cellStyle name="Procentowy 3 15 8 2" xfId="27397"/>
    <cellStyle name="Procentowy 3 15 9" xfId="27398"/>
    <cellStyle name="Procentowy 3 15 9 2" xfId="27399"/>
    <cellStyle name="Procentowy 3 16" xfId="27400"/>
    <cellStyle name="Procentowy 3 16 10" xfId="27401"/>
    <cellStyle name="Procentowy 3 16 10 2" xfId="27402"/>
    <cellStyle name="Procentowy 3 16 11" xfId="27403"/>
    <cellStyle name="Procentowy 3 16 11 2" xfId="27404"/>
    <cellStyle name="Procentowy 3 16 12" xfId="27405"/>
    <cellStyle name="Procentowy 3 16 12 2" xfId="27406"/>
    <cellStyle name="Procentowy 3 16 13" xfId="27407"/>
    <cellStyle name="Procentowy 3 16 13 2" xfId="27408"/>
    <cellStyle name="Procentowy 3 16 14" xfId="27409"/>
    <cellStyle name="Procentowy 3 16 14 2" xfId="27410"/>
    <cellStyle name="Procentowy 3 16 15" xfId="27411"/>
    <cellStyle name="Procentowy 3 16 15 2" xfId="27412"/>
    <cellStyle name="Procentowy 3 16 16" xfId="27413"/>
    <cellStyle name="Procentowy 3 16 16 2" xfId="27414"/>
    <cellStyle name="Procentowy 3 16 17" xfId="27415"/>
    <cellStyle name="Procentowy 3 16 17 2" xfId="27416"/>
    <cellStyle name="Procentowy 3 16 18" xfId="27417"/>
    <cellStyle name="Procentowy 3 16 18 2" xfId="27418"/>
    <cellStyle name="Procentowy 3 16 19" xfId="27419"/>
    <cellStyle name="Procentowy 3 16 19 2" xfId="27420"/>
    <cellStyle name="Procentowy 3 16 2" xfId="27421"/>
    <cellStyle name="Procentowy 3 16 2 2" xfId="27422"/>
    <cellStyle name="Procentowy 3 16 2 3" xfId="27423"/>
    <cellStyle name="Procentowy 3 16 2 4" xfId="27424"/>
    <cellStyle name="Procentowy 3 16 2 5" xfId="27425"/>
    <cellStyle name="Procentowy 3 16 2 6" xfId="27426"/>
    <cellStyle name="Procentowy 3 16 2 7" xfId="27427"/>
    <cellStyle name="Procentowy 3 16 20" xfId="27428"/>
    <cellStyle name="Procentowy 3 16 20 2" xfId="27429"/>
    <cellStyle name="Procentowy 3 16 21" xfId="27430"/>
    <cellStyle name="Procentowy 3 16 21 2" xfId="27431"/>
    <cellStyle name="Procentowy 3 16 22" xfId="27432"/>
    <cellStyle name="Procentowy 3 16 22 2" xfId="27433"/>
    <cellStyle name="Procentowy 3 16 23" xfId="27434"/>
    <cellStyle name="Procentowy 3 16 23 2" xfId="27435"/>
    <cellStyle name="Procentowy 3 16 24" xfId="27436"/>
    <cellStyle name="Procentowy 3 16 24 2" xfId="27437"/>
    <cellStyle name="Procentowy 3 16 25" xfId="27438"/>
    <cellStyle name="Procentowy 3 16 25 2" xfId="27439"/>
    <cellStyle name="Procentowy 3 16 26" xfId="27440"/>
    <cellStyle name="Procentowy 3 16 26 2" xfId="27441"/>
    <cellStyle name="Procentowy 3 16 27" xfId="27442"/>
    <cellStyle name="Procentowy 3 16 27 2" xfId="27443"/>
    <cellStyle name="Procentowy 3 16 28" xfId="27444"/>
    <cellStyle name="Procentowy 3 16 28 2" xfId="27445"/>
    <cellStyle name="Procentowy 3 16 29" xfId="27446"/>
    <cellStyle name="Procentowy 3 16 29 2" xfId="27447"/>
    <cellStyle name="Procentowy 3 16 3" xfId="27448"/>
    <cellStyle name="Procentowy 3 16 3 2" xfId="27449"/>
    <cellStyle name="Procentowy 3 16 3 3" xfId="27450"/>
    <cellStyle name="Procentowy 3 16 3 4" xfId="27451"/>
    <cellStyle name="Procentowy 3 16 3 5" xfId="27452"/>
    <cellStyle name="Procentowy 3 16 3 6" xfId="27453"/>
    <cellStyle name="Procentowy 3 16 3 7" xfId="27454"/>
    <cellStyle name="Procentowy 3 16 30" xfId="27455"/>
    <cellStyle name="Procentowy 3 16 30 2" xfId="27456"/>
    <cellStyle name="Procentowy 3 16 31" xfId="27457"/>
    <cellStyle name="Procentowy 3 16 31 2" xfId="27458"/>
    <cellStyle name="Procentowy 3 16 32" xfId="27459"/>
    <cellStyle name="Procentowy 3 16 33" xfId="27460"/>
    <cellStyle name="Procentowy 3 16 34" xfId="27461"/>
    <cellStyle name="Procentowy 3 16 35" xfId="27462"/>
    <cellStyle name="Procentowy 3 16 36" xfId="27463"/>
    <cellStyle name="Procentowy 3 16 37" xfId="27464"/>
    <cellStyle name="Procentowy 3 16 38" xfId="27465"/>
    <cellStyle name="Procentowy 3 16 39" xfId="27466"/>
    <cellStyle name="Procentowy 3 16 4" xfId="27467"/>
    <cellStyle name="Procentowy 3 16 4 2" xfId="27468"/>
    <cellStyle name="Procentowy 3 16 4 3" xfId="27469"/>
    <cellStyle name="Procentowy 3 16 4 4" xfId="27470"/>
    <cellStyle name="Procentowy 3 16 4 5" xfId="27471"/>
    <cellStyle name="Procentowy 3 16 4 6" xfId="27472"/>
    <cellStyle name="Procentowy 3 16 4 7" xfId="27473"/>
    <cellStyle name="Procentowy 3 16 40" xfId="27474"/>
    <cellStyle name="Procentowy 3 16 41" xfId="27475"/>
    <cellStyle name="Procentowy 3 16 42" xfId="27476"/>
    <cellStyle name="Procentowy 3 16 43" xfId="27477"/>
    <cellStyle name="Procentowy 3 16 44" xfId="27478"/>
    <cellStyle name="Procentowy 3 16 45" xfId="27479"/>
    <cellStyle name="Procentowy 3 16 46" xfId="27480"/>
    <cellStyle name="Procentowy 3 16 47" xfId="27481"/>
    <cellStyle name="Procentowy 3 16 48" xfId="27482"/>
    <cellStyle name="Procentowy 3 16 49" xfId="27483"/>
    <cellStyle name="Procentowy 3 16 5" xfId="27484"/>
    <cellStyle name="Procentowy 3 16 5 2" xfId="27485"/>
    <cellStyle name="Procentowy 3 16 5 3" xfId="27486"/>
    <cellStyle name="Procentowy 3 16 5 4" xfId="27487"/>
    <cellStyle name="Procentowy 3 16 5 5" xfId="27488"/>
    <cellStyle name="Procentowy 3 16 5 6" xfId="27489"/>
    <cellStyle name="Procentowy 3 16 5 7" xfId="27490"/>
    <cellStyle name="Procentowy 3 16 50" xfId="27491"/>
    <cellStyle name="Procentowy 3 16 51" xfId="27492"/>
    <cellStyle name="Procentowy 3 16 52" xfId="27493"/>
    <cellStyle name="Procentowy 3 16 53" xfId="27494"/>
    <cellStyle name="Procentowy 3 16 54" xfId="27495"/>
    <cellStyle name="Procentowy 3 16 55" xfId="27496"/>
    <cellStyle name="Procentowy 3 16 56" xfId="27497"/>
    <cellStyle name="Procentowy 3 16 57" xfId="27498"/>
    <cellStyle name="Procentowy 3 16 58" xfId="27499"/>
    <cellStyle name="Procentowy 3 16 59" xfId="27500"/>
    <cellStyle name="Procentowy 3 16 6" xfId="27501"/>
    <cellStyle name="Procentowy 3 16 6 2" xfId="27502"/>
    <cellStyle name="Procentowy 3 16 60" xfId="27503"/>
    <cellStyle name="Procentowy 3 16 61" xfId="27504"/>
    <cellStyle name="Procentowy 3 16 62" xfId="27505"/>
    <cellStyle name="Procentowy 3 16 63" xfId="27506"/>
    <cellStyle name="Procentowy 3 16 64" xfId="27507"/>
    <cellStyle name="Procentowy 3 16 65" xfId="27508"/>
    <cellStyle name="Procentowy 3 16 66" xfId="27509"/>
    <cellStyle name="Procentowy 3 16 67" xfId="27510"/>
    <cellStyle name="Procentowy 3 16 68" xfId="27511"/>
    <cellStyle name="Procentowy 3 16 69" xfId="27512"/>
    <cellStyle name="Procentowy 3 16 7" xfId="27513"/>
    <cellStyle name="Procentowy 3 16 7 2" xfId="27514"/>
    <cellStyle name="Procentowy 3 16 70" xfId="27515"/>
    <cellStyle name="Procentowy 3 16 71" xfId="27516"/>
    <cellStyle name="Procentowy 3 16 72" xfId="27517"/>
    <cellStyle name="Procentowy 3 16 73" xfId="27518"/>
    <cellStyle name="Procentowy 3 16 74" xfId="27519"/>
    <cellStyle name="Procentowy 3 16 8" xfId="27520"/>
    <cellStyle name="Procentowy 3 16 8 2" xfId="27521"/>
    <cellStyle name="Procentowy 3 16 9" xfId="27522"/>
    <cellStyle name="Procentowy 3 16 9 2" xfId="27523"/>
    <cellStyle name="Procentowy 3 17" xfId="27524"/>
    <cellStyle name="Procentowy 3 17 10" xfId="27525"/>
    <cellStyle name="Procentowy 3 17 10 2" xfId="27526"/>
    <cellStyle name="Procentowy 3 17 11" xfId="27527"/>
    <cellStyle name="Procentowy 3 17 11 2" xfId="27528"/>
    <cellStyle name="Procentowy 3 17 12" xfId="27529"/>
    <cellStyle name="Procentowy 3 17 12 2" xfId="27530"/>
    <cellStyle name="Procentowy 3 17 13" xfId="27531"/>
    <cellStyle name="Procentowy 3 17 13 2" xfId="27532"/>
    <cellStyle name="Procentowy 3 17 14" xfId="27533"/>
    <cellStyle name="Procentowy 3 17 14 2" xfId="27534"/>
    <cellStyle name="Procentowy 3 17 15" xfId="27535"/>
    <cellStyle name="Procentowy 3 17 15 2" xfId="27536"/>
    <cellStyle name="Procentowy 3 17 16" xfId="27537"/>
    <cellStyle name="Procentowy 3 17 16 2" xfId="27538"/>
    <cellStyle name="Procentowy 3 17 17" xfId="27539"/>
    <cellStyle name="Procentowy 3 17 17 2" xfId="27540"/>
    <cellStyle name="Procentowy 3 17 18" xfId="27541"/>
    <cellStyle name="Procentowy 3 17 18 2" xfId="27542"/>
    <cellStyle name="Procentowy 3 17 19" xfId="27543"/>
    <cellStyle name="Procentowy 3 17 19 2" xfId="27544"/>
    <cellStyle name="Procentowy 3 17 2" xfId="27545"/>
    <cellStyle name="Procentowy 3 17 2 2" xfId="27546"/>
    <cellStyle name="Procentowy 3 17 2 3" xfId="27547"/>
    <cellStyle name="Procentowy 3 17 2 4" xfId="27548"/>
    <cellStyle name="Procentowy 3 17 2 5" xfId="27549"/>
    <cellStyle name="Procentowy 3 17 2 6" xfId="27550"/>
    <cellStyle name="Procentowy 3 17 2 7" xfId="27551"/>
    <cellStyle name="Procentowy 3 17 20" xfId="27552"/>
    <cellStyle name="Procentowy 3 17 20 2" xfId="27553"/>
    <cellStyle name="Procentowy 3 17 21" xfId="27554"/>
    <cellStyle name="Procentowy 3 17 21 2" xfId="27555"/>
    <cellStyle name="Procentowy 3 17 22" xfId="27556"/>
    <cellStyle name="Procentowy 3 17 22 2" xfId="27557"/>
    <cellStyle name="Procentowy 3 17 23" xfId="27558"/>
    <cellStyle name="Procentowy 3 17 23 2" xfId="27559"/>
    <cellStyle name="Procentowy 3 17 24" xfId="27560"/>
    <cellStyle name="Procentowy 3 17 24 2" xfId="27561"/>
    <cellStyle name="Procentowy 3 17 25" xfId="27562"/>
    <cellStyle name="Procentowy 3 17 25 2" xfId="27563"/>
    <cellStyle name="Procentowy 3 17 26" xfId="27564"/>
    <cellStyle name="Procentowy 3 17 26 2" xfId="27565"/>
    <cellStyle name="Procentowy 3 17 27" xfId="27566"/>
    <cellStyle name="Procentowy 3 17 27 2" xfId="27567"/>
    <cellStyle name="Procentowy 3 17 28" xfId="27568"/>
    <cellStyle name="Procentowy 3 17 28 2" xfId="27569"/>
    <cellStyle name="Procentowy 3 17 29" xfId="27570"/>
    <cellStyle name="Procentowy 3 17 29 2" xfId="27571"/>
    <cellStyle name="Procentowy 3 17 3" xfId="27572"/>
    <cellStyle name="Procentowy 3 17 3 2" xfId="27573"/>
    <cellStyle name="Procentowy 3 17 3 3" xfId="27574"/>
    <cellStyle name="Procentowy 3 17 3 4" xfId="27575"/>
    <cellStyle name="Procentowy 3 17 3 5" xfId="27576"/>
    <cellStyle name="Procentowy 3 17 3 6" xfId="27577"/>
    <cellStyle name="Procentowy 3 17 3 7" xfId="27578"/>
    <cellStyle name="Procentowy 3 17 30" xfId="27579"/>
    <cellStyle name="Procentowy 3 17 30 2" xfId="27580"/>
    <cellStyle name="Procentowy 3 17 31" xfId="27581"/>
    <cellStyle name="Procentowy 3 17 31 2" xfId="27582"/>
    <cellStyle name="Procentowy 3 17 32" xfId="27583"/>
    <cellStyle name="Procentowy 3 17 33" xfId="27584"/>
    <cellStyle name="Procentowy 3 17 34" xfId="27585"/>
    <cellStyle name="Procentowy 3 17 35" xfId="27586"/>
    <cellStyle name="Procentowy 3 17 36" xfId="27587"/>
    <cellStyle name="Procentowy 3 17 37" xfId="27588"/>
    <cellStyle name="Procentowy 3 17 38" xfId="27589"/>
    <cellStyle name="Procentowy 3 17 39" xfId="27590"/>
    <cellStyle name="Procentowy 3 17 4" xfId="27591"/>
    <cellStyle name="Procentowy 3 17 4 2" xfId="27592"/>
    <cellStyle name="Procentowy 3 17 4 3" xfId="27593"/>
    <cellStyle name="Procentowy 3 17 4 4" xfId="27594"/>
    <cellStyle name="Procentowy 3 17 4 5" xfId="27595"/>
    <cellStyle name="Procentowy 3 17 4 6" xfId="27596"/>
    <cellStyle name="Procentowy 3 17 4 7" xfId="27597"/>
    <cellStyle name="Procentowy 3 17 40" xfId="27598"/>
    <cellStyle name="Procentowy 3 17 41" xfId="27599"/>
    <cellStyle name="Procentowy 3 17 42" xfId="27600"/>
    <cellStyle name="Procentowy 3 17 43" xfId="27601"/>
    <cellStyle name="Procentowy 3 17 44" xfId="27602"/>
    <cellStyle name="Procentowy 3 17 45" xfId="27603"/>
    <cellStyle name="Procentowy 3 17 46" xfId="27604"/>
    <cellStyle name="Procentowy 3 17 47" xfId="27605"/>
    <cellStyle name="Procentowy 3 17 48" xfId="27606"/>
    <cellStyle name="Procentowy 3 17 49" xfId="27607"/>
    <cellStyle name="Procentowy 3 17 5" xfId="27608"/>
    <cellStyle name="Procentowy 3 17 5 2" xfId="27609"/>
    <cellStyle name="Procentowy 3 17 5 3" xfId="27610"/>
    <cellStyle name="Procentowy 3 17 5 4" xfId="27611"/>
    <cellStyle name="Procentowy 3 17 5 5" xfId="27612"/>
    <cellStyle name="Procentowy 3 17 5 6" xfId="27613"/>
    <cellStyle name="Procentowy 3 17 5 7" xfId="27614"/>
    <cellStyle name="Procentowy 3 17 50" xfId="27615"/>
    <cellStyle name="Procentowy 3 17 51" xfId="27616"/>
    <cellStyle name="Procentowy 3 17 52" xfId="27617"/>
    <cellStyle name="Procentowy 3 17 53" xfId="27618"/>
    <cellStyle name="Procentowy 3 17 54" xfId="27619"/>
    <cellStyle name="Procentowy 3 17 55" xfId="27620"/>
    <cellStyle name="Procentowy 3 17 56" xfId="27621"/>
    <cellStyle name="Procentowy 3 17 57" xfId="27622"/>
    <cellStyle name="Procentowy 3 17 58" xfId="27623"/>
    <cellStyle name="Procentowy 3 17 59" xfId="27624"/>
    <cellStyle name="Procentowy 3 17 6" xfId="27625"/>
    <cellStyle name="Procentowy 3 17 6 2" xfId="27626"/>
    <cellStyle name="Procentowy 3 17 60" xfId="27627"/>
    <cellStyle name="Procentowy 3 17 61" xfId="27628"/>
    <cellStyle name="Procentowy 3 17 62" xfId="27629"/>
    <cellStyle name="Procentowy 3 17 63" xfId="27630"/>
    <cellStyle name="Procentowy 3 17 64" xfId="27631"/>
    <cellStyle name="Procentowy 3 17 65" xfId="27632"/>
    <cellStyle name="Procentowy 3 17 66" xfId="27633"/>
    <cellStyle name="Procentowy 3 17 67" xfId="27634"/>
    <cellStyle name="Procentowy 3 17 68" xfId="27635"/>
    <cellStyle name="Procentowy 3 17 69" xfId="27636"/>
    <cellStyle name="Procentowy 3 17 7" xfId="27637"/>
    <cellStyle name="Procentowy 3 17 7 2" xfId="27638"/>
    <cellStyle name="Procentowy 3 17 70" xfId="27639"/>
    <cellStyle name="Procentowy 3 17 71" xfId="27640"/>
    <cellStyle name="Procentowy 3 17 72" xfId="27641"/>
    <cellStyle name="Procentowy 3 17 73" xfId="27642"/>
    <cellStyle name="Procentowy 3 17 74" xfId="27643"/>
    <cellStyle name="Procentowy 3 17 8" xfId="27644"/>
    <cellStyle name="Procentowy 3 17 8 2" xfId="27645"/>
    <cellStyle name="Procentowy 3 17 9" xfId="27646"/>
    <cellStyle name="Procentowy 3 17 9 2" xfId="27647"/>
    <cellStyle name="Procentowy 3 18" xfId="27648"/>
    <cellStyle name="Procentowy 3 18 10" xfId="27649"/>
    <cellStyle name="Procentowy 3 18 10 2" xfId="27650"/>
    <cellStyle name="Procentowy 3 18 11" xfId="27651"/>
    <cellStyle name="Procentowy 3 18 11 2" xfId="27652"/>
    <cellStyle name="Procentowy 3 18 12" xfId="27653"/>
    <cellStyle name="Procentowy 3 18 12 2" xfId="27654"/>
    <cellStyle name="Procentowy 3 18 13" xfId="27655"/>
    <cellStyle name="Procentowy 3 18 13 2" xfId="27656"/>
    <cellStyle name="Procentowy 3 18 14" xfId="27657"/>
    <cellStyle name="Procentowy 3 18 14 2" xfId="27658"/>
    <cellStyle name="Procentowy 3 18 15" xfId="27659"/>
    <cellStyle name="Procentowy 3 18 15 2" xfId="27660"/>
    <cellStyle name="Procentowy 3 18 16" xfId="27661"/>
    <cellStyle name="Procentowy 3 18 16 2" xfId="27662"/>
    <cellStyle name="Procentowy 3 18 17" xfId="27663"/>
    <cellStyle name="Procentowy 3 18 17 2" xfId="27664"/>
    <cellStyle name="Procentowy 3 18 18" xfId="27665"/>
    <cellStyle name="Procentowy 3 18 18 2" xfId="27666"/>
    <cellStyle name="Procentowy 3 18 19" xfId="27667"/>
    <cellStyle name="Procentowy 3 18 19 2" xfId="27668"/>
    <cellStyle name="Procentowy 3 18 2" xfId="27669"/>
    <cellStyle name="Procentowy 3 18 2 2" xfId="27670"/>
    <cellStyle name="Procentowy 3 18 2 3" xfId="27671"/>
    <cellStyle name="Procentowy 3 18 2 4" xfId="27672"/>
    <cellStyle name="Procentowy 3 18 2 5" xfId="27673"/>
    <cellStyle name="Procentowy 3 18 2 6" xfId="27674"/>
    <cellStyle name="Procentowy 3 18 2 7" xfId="27675"/>
    <cellStyle name="Procentowy 3 18 20" xfId="27676"/>
    <cellStyle name="Procentowy 3 18 20 2" xfId="27677"/>
    <cellStyle name="Procentowy 3 18 21" xfId="27678"/>
    <cellStyle name="Procentowy 3 18 21 2" xfId="27679"/>
    <cellStyle name="Procentowy 3 18 22" xfId="27680"/>
    <cellStyle name="Procentowy 3 18 22 2" xfId="27681"/>
    <cellStyle name="Procentowy 3 18 23" xfId="27682"/>
    <cellStyle name="Procentowy 3 18 23 2" xfId="27683"/>
    <cellStyle name="Procentowy 3 18 24" xfId="27684"/>
    <cellStyle name="Procentowy 3 18 24 2" xfId="27685"/>
    <cellStyle name="Procentowy 3 18 25" xfId="27686"/>
    <cellStyle name="Procentowy 3 18 25 2" xfId="27687"/>
    <cellStyle name="Procentowy 3 18 26" xfId="27688"/>
    <cellStyle name="Procentowy 3 18 26 2" xfId="27689"/>
    <cellStyle name="Procentowy 3 18 27" xfId="27690"/>
    <cellStyle name="Procentowy 3 18 27 2" xfId="27691"/>
    <cellStyle name="Procentowy 3 18 28" xfId="27692"/>
    <cellStyle name="Procentowy 3 18 28 2" xfId="27693"/>
    <cellStyle name="Procentowy 3 18 29" xfId="27694"/>
    <cellStyle name="Procentowy 3 18 29 2" xfId="27695"/>
    <cellStyle name="Procentowy 3 18 3" xfId="27696"/>
    <cellStyle name="Procentowy 3 18 3 2" xfId="27697"/>
    <cellStyle name="Procentowy 3 18 3 3" xfId="27698"/>
    <cellStyle name="Procentowy 3 18 3 4" xfId="27699"/>
    <cellStyle name="Procentowy 3 18 3 5" xfId="27700"/>
    <cellStyle name="Procentowy 3 18 3 6" xfId="27701"/>
    <cellStyle name="Procentowy 3 18 3 7" xfId="27702"/>
    <cellStyle name="Procentowy 3 18 30" xfId="27703"/>
    <cellStyle name="Procentowy 3 18 30 2" xfId="27704"/>
    <cellStyle name="Procentowy 3 18 31" xfId="27705"/>
    <cellStyle name="Procentowy 3 18 31 2" xfId="27706"/>
    <cellStyle name="Procentowy 3 18 32" xfId="27707"/>
    <cellStyle name="Procentowy 3 18 33" xfId="27708"/>
    <cellStyle name="Procentowy 3 18 34" xfId="27709"/>
    <cellStyle name="Procentowy 3 18 35" xfId="27710"/>
    <cellStyle name="Procentowy 3 18 36" xfId="27711"/>
    <cellStyle name="Procentowy 3 18 37" xfId="27712"/>
    <cellStyle name="Procentowy 3 18 38" xfId="27713"/>
    <cellStyle name="Procentowy 3 18 39" xfId="27714"/>
    <cellStyle name="Procentowy 3 18 4" xfId="27715"/>
    <cellStyle name="Procentowy 3 18 4 2" xfId="27716"/>
    <cellStyle name="Procentowy 3 18 4 3" xfId="27717"/>
    <cellStyle name="Procentowy 3 18 4 4" xfId="27718"/>
    <cellStyle name="Procentowy 3 18 4 5" xfId="27719"/>
    <cellStyle name="Procentowy 3 18 4 6" xfId="27720"/>
    <cellStyle name="Procentowy 3 18 4 7" xfId="27721"/>
    <cellStyle name="Procentowy 3 18 40" xfId="27722"/>
    <cellStyle name="Procentowy 3 18 41" xfId="27723"/>
    <cellStyle name="Procentowy 3 18 42" xfId="27724"/>
    <cellStyle name="Procentowy 3 18 43" xfId="27725"/>
    <cellStyle name="Procentowy 3 18 44" xfId="27726"/>
    <cellStyle name="Procentowy 3 18 45" xfId="27727"/>
    <cellStyle name="Procentowy 3 18 46" xfId="27728"/>
    <cellStyle name="Procentowy 3 18 47" xfId="27729"/>
    <cellStyle name="Procentowy 3 18 48" xfId="27730"/>
    <cellStyle name="Procentowy 3 18 49" xfId="27731"/>
    <cellStyle name="Procentowy 3 18 5" xfId="27732"/>
    <cellStyle name="Procentowy 3 18 5 2" xfId="27733"/>
    <cellStyle name="Procentowy 3 18 5 3" xfId="27734"/>
    <cellStyle name="Procentowy 3 18 5 4" xfId="27735"/>
    <cellStyle name="Procentowy 3 18 5 5" xfId="27736"/>
    <cellStyle name="Procentowy 3 18 5 6" xfId="27737"/>
    <cellStyle name="Procentowy 3 18 5 7" xfId="27738"/>
    <cellStyle name="Procentowy 3 18 50" xfId="27739"/>
    <cellStyle name="Procentowy 3 18 51" xfId="27740"/>
    <cellStyle name="Procentowy 3 18 52" xfId="27741"/>
    <cellStyle name="Procentowy 3 18 53" xfId="27742"/>
    <cellStyle name="Procentowy 3 18 54" xfId="27743"/>
    <cellStyle name="Procentowy 3 18 55" xfId="27744"/>
    <cellStyle name="Procentowy 3 18 56" xfId="27745"/>
    <cellStyle name="Procentowy 3 18 57" xfId="27746"/>
    <cellStyle name="Procentowy 3 18 58" xfId="27747"/>
    <cellStyle name="Procentowy 3 18 59" xfId="27748"/>
    <cellStyle name="Procentowy 3 18 6" xfId="27749"/>
    <cellStyle name="Procentowy 3 18 6 2" xfId="27750"/>
    <cellStyle name="Procentowy 3 18 60" xfId="27751"/>
    <cellStyle name="Procentowy 3 18 61" xfId="27752"/>
    <cellStyle name="Procentowy 3 18 62" xfId="27753"/>
    <cellStyle name="Procentowy 3 18 63" xfId="27754"/>
    <cellStyle name="Procentowy 3 18 64" xfId="27755"/>
    <cellStyle name="Procentowy 3 18 65" xfId="27756"/>
    <cellStyle name="Procentowy 3 18 66" xfId="27757"/>
    <cellStyle name="Procentowy 3 18 67" xfId="27758"/>
    <cellStyle name="Procentowy 3 18 68" xfId="27759"/>
    <cellStyle name="Procentowy 3 18 69" xfId="27760"/>
    <cellStyle name="Procentowy 3 18 7" xfId="27761"/>
    <cellStyle name="Procentowy 3 18 7 2" xfId="27762"/>
    <cellStyle name="Procentowy 3 18 70" xfId="27763"/>
    <cellStyle name="Procentowy 3 18 71" xfId="27764"/>
    <cellStyle name="Procentowy 3 18 72" xfId="27765"/>
    <cellStyle name="Procentowy 3 18 73" xfId="27766"/>
    <cellStyle name="Procentowy 3 18 74" xfId="27767"/>
    <cellStyle name="Procentowy 3 18 8" xfId="27768"/>
    <cellStyle name="Procentowy 3 18 8 2" xfId="27769"/>
    <cellStyle name="Procentowy 3 18 9" xfId="27770"/>
    <cellStyle name="Procentowy 3 18 9 2" xfId="27771"/>
    <cellStyle name="Procentowy 3 19" xfId="27772"/>
    <cellStyle name="Procentowy 3 19 10" xfId="27773"/>
    <cellStyle name="Procentowy 3 19 10 2" xfId="27774"/>
    <cellStyle name="Procentowy 3 19 11" xfId="27775"/>
    <cellStyle name="Procentowy 3 19 11 2" xfId="27776"/>
    <cellStyle name="Procentowy 3 19 12" xfId="27777"/>
    <cellStyle name="Procentowy 3 19 12 2" xfId="27778"/>
    <cellStyle name="Procentowy 3 19 13" xfId="27779"/>
    <cellStyle name="Procentowy 3 19 13 2" xfId="27780"/>
    <cellStyle name="Procentowy 3 19 14" xfId="27781"/>
    <cellStyle name="Procentowy 3 19 14 2" xfId="27782"/>
    <cellStyle name="Procentowy 3 19 15" xfId="27783"/>
    <cellStyle name="Procentowy 3 19 15 2" xfId="27784"/>
    <cellStyle name="Procentowy 3 19 16" xfId="27785"/>
    <cellStyle name="Procentowy 3 19 16 2" xfId="27786"/>
    <cellStyle name="Procentowy 3 19 17" xfId="27787"/>
    <cellStyle name="Procentowy 3 19 17 2" xfId="27788"/>
    <cellStyle name="Procentowy 3 19 18" xfId="27789"/>
    <cellStyle name="Procentowy 3 19 18 2" xfId="27790"/>
    <cellStyle name="Procentowy 3 19 19" xfId="27791"/>
    <cellStyle name="Procentowy 3 19 19 2" xfId="27792"/>
    <cellStyle name="Procentowy 3 19 2" xfId="27793"/>
    <cellStyle name="Procentowy 3 19 2 2" xfId="27794"/>
    <cellStyle name="Procentowy 3 19 2 3" xfId="27795"/>
    <cellStyle name="Procentowy 3 19 2 4" xfId="27796"/>
    <cellStyle name="Procentowy 3 19 2 5" xfId="27797"/>
    <cellStyle name="Procentowy 3 19 2 6" xfId="27798"/>
    <cellStyle name="Procentowy 3 19 2 7" xfId="27799"/>
    <cellStyle name="Procentowy 3 19 20" xfId="27800"/>
    <cellStyle name="Procentowy 3 19 20 2" xfId="27801"/>
    <cellStyle name="Procentowy 3 19 21" xfId="27802"/>
    <cellStyle name="Procentowy 3 19 21 2" xfId="27803"/>
    <cellStyle name="Procentowy 3 19 22" xfId="27804"/>
    <cellStyle name="Procentowy 3 19 22 2" xfId="27805"/>
    <cellStyle name="Procentowy 3 19 23" xfId="27806"/>
    <cellStyle name="Procentowy 3 19 23 2" xfId="27807"/>
    <cellStyle name="Procentowy 3 19 24" xfId="27808"/>
    <cellStyle name="Procentowy 3 19 24 2" xfId="27809"/>
    <cellStyle name="Procentowy 3 19 25" xfId="27810"/>
    <cellStyle name="Procentowy 3 19 25 2" xfId="27811"/>
    <cellStyle name="Procentowy 3 19 26" xfId="27812"/>
    <cellStyle name="Procentowy 3 19 26 2" xfId="27813"/>
    <cellStyle name="Procentowy 3 19 27" xfId="27814"/>
    <cellStyle name="Procentowy 3 19 27 2" xfId="27815"/>
    <cellStyle name="Procentowy 3 19 28" xfId="27816"/>
    <cellStyle name="Procentowy 3 19 28 2" xfId="27817"/>
    <cellStyle name="Procentowy 3 19 29" xfId="27818"/>
    <cellStyle name="Procentowy 3 19 29 2" xfId="27819"/>
    <cellStyle name="Procentowy 3 19 3" xfId="27820"/>
    <cellStyle name="Procentowy 3 19 3 2" xfId="27821"/>
    <cellStyle name="Procentowy 3 19 3 3" xfId="27822"/>
    <cellStyle name="Procentowy 3 19 3 4" xfId="27823"/>
    <cellStyle name="Procentowy 3 19 3 5" xfId="27824"/>
    <cellStyle name="Procentowy 3 19 3 6" xfId="27825"/>
    <cellStyle name="Procentowy 3 19 3 7" xfId="27826"/>
    <cellStyle name="Procentowy 3 19 30" xfId="27827"/>
    <cellStyle name="Procentowy 3 19 30 2" xfId="27828"/>
    <cellStyle name="Procentowy 3 19 31" xfId="27829"/>
    <cellStyle name="Procentowy 3 19 31 2" xfId="27830"/>
    <cellStyle name="Procentowy 3 19 32" xfId="27831"/>
    <cellStyle name="Procentowy 3 19 33" xfId="27832"/>
    <cellStyle name="Procentowy 3 19 34" xfId="27833"/>
    <cellStyle name="Procentowy 3 19 35" xfId="27834"/>
    <cellStyle name="Procentowy 3 19 36" xfId="27835"/>
    <cellStyle name="Procentowy 3 19 37" xfId="27836"/>
    <cellStyle name="Procentowy 3 19 38" xfId="27837"/>
    <cellStyle name="Procentowy 3 19 39" xfId="27838"/>
    <cellStyle name="Procentowy 3 19 4" xfId="27839"/>
    <cellStyle name="Procentowy 3 19 4 2" xfId="27840"/>
    <cellStyle name="Procentowy 3 19 4 3" xfId="27841"/>
    <cellStyle name="Procentowy 3 19 4 4" xfId="27842"/>
    <cellStyle name="Procentowy 3 19 4 5" xfId="27843"/>
    <cellStyle name="Procentowy 3 19 4 6" xfId="27844"/>
    <cellStyle name="Procentowy 3 19 4 7" xfId="27845"/>
    <cellStyle name="Procentowy 3 19 40" xfId="27846"/>
    <cellStyle name="Procentowy 3 19 41" xfId="27847"/>
    <cellStyle name="Procentowy 3 19 42" xfId="27848"/>
    <cellStyle name="Procentowy 3 19 43" xfId="27849"/>
    <cellStyle name="Procentowy 3 19 44" xfId="27850"/>
    <cellStyle name="Procentowy 3 19 45" xfId="27851"/>
    <cellStyle name="Procentowy 3 19 46" xfId="27852"/>
    <cellStyle name="Procentowy 3 19 47" xfId="27853"/>
    <cellStyle name="Procentowy 3 19 48" xfId="27854"/>
    <cellStyle name="Procentowy 3 19 49" xfId="27855"/>
    <cellStyle name="Procentowy 3 19 5" xfId="27856"/>
    <cellStyle name="Procentowy 3 19 5 2" xfId="27857"/>
    <cellStyle name="Procentowy 3 19 5 3" xfId="27858"/>
    <cellStyle name="Procentowy 3 19 5 4" xfId="27859"/>
    <cellStyle name="Procentowy 3 19 5 5" xfId="27860"/>
    <cellStyle name="Procentowy 3 19 5 6" xfId="27861"/>
    <cellStyle name="Procentowy 3 19 5 7" xfId="27862"/>
    <cellStyle name="Procentowy 3 19 50" xfId="27863"/>
    <cellStyle name="Procentowy 3 19 51" xfId="27864"/>
    <cellStyle name="Procentowy 3 19 52" xfId="27865"/>
    <cellStyle name="Procentowy 3 19 53" xfId="27866"/>
    <cellStyle name="Procentowy 3 19 54" xfId="27867"/>
    <cellStyle name="Procentowy 3 19 55" xfId="27868"/>
    <cellStyle name="Procentowy 3 19 56" xfId="27869"/>
    <cellStyle name="Procentowy 3 19 57" xfId="27870"/>
    <cellStyle name="Procentowy 3 19 58" xfId="27871"/>
    <cellStyle name="Procentowy 3 19 59" xfId="27872"/>
    <cellStyle name="Procentowy 3 19 6" xfId="27873"/>
    <cellStyle name="Procentowy 3 19 6 2" xfId="27874"/>
    <cellStyle name="Procentowy 3 19 60" xfId="27875"/>
    <cellStyle name="Procentowy 3 19 61" xfId="27876"/>
    <cellStyle name="Procentowy 3 19 62" xfId="27877"/>
    <cellStyle name="Procentowy 3 19 63" xfId="27878"/>
    <cellStyle name="Procentowy 3 19 64" xfId="27879"/>
    <cellStyle name="Procentowy 3 19 65" xfId="27880"/>
    <cellStyle name="Procentowy 3 19 66" xfId="27881"/>
    <cellStyle name="Procentowy 3 19 67" xfId="27882"/>
    <cellStyle name="Procentowy 3 19 68" xfId="27883"/>
    <cellStyle name="Procentowy 3 19 69" xfId="27884"/>
    <cellStyle name="Procentowy 3 19 7" xfId="27885"/>
    <cellStyle name="Procentowy 3 19 7 2" xfId="27886"/>
    <cellStyle name="Procentowy 3 19 70" xfId="27887"/>
    <cellStyle name="Procentowy 3 19 71" xfId="27888"/>
    <cellStyle name="Procentowy 3 19 72" xfId="27889"/>
    <cellStyle name="Procentowy 3 19 73" xfId="27890"/>
    <cellStyle name="Procentowy 3 19 74" xfId="27891"/>
    <cellStyle name="Procentowy 3 19 8" xfId="27892"/>
    <cellStyle name="Procentowy 3 19 8 2" xfId="27893"/>
    <cellStyle name="Procentowy 3 19 9" xfId="27894"/>
    <cellStyle name="Procentowy 3 19 9 2" xfId="27895"/>
    <cellStyle name="Procentowy 3 2" xfId="27896"/>
    <cellStyle name="Procentowy 3 2 10" xfId="27897"/>
    <cellStyle name="Procentowy 3 2 10 2" xfId="27898"/>
    <cellStyle name="Procentowy 3 2 11" xfId="27899"/>
    <cellStyle name="Procentowy 3 2 11 2" xfId="27900"/>
    <cellStyle name="Procentowy 3 2 12" xfId="27901"/>
    <cellStyle name="Procentowy 3 2 12 2" xfId="27902"/>
    <cellStyle name="Procentowy 3 2 13" xfId="27903"/>
    <cellStyle name="Procentowy 3 2 13 2" xfId="27904"/>
    <cellStyle name="Procentowy 3 2 14" xfId="27905"/>
    <cellStyle name="Procentowy 3 2 14 2" xfId="27906"/>
    <cellStyle name="Procentowy 3 2 15" xfId="27907"/>
    <cellStyle name="Procentowy 3 2 15 2" xfId="27908"/>
    <cellStyle name="Procentowy 3 2 16" xfId="27909"/>
    <cellStyle name="Procentowy 3 2 16 2" xfId="27910"/>
    <cellStyle name="Procentowy 3 2 17" xfId="27911"/>
    <cellStyle name="Procentowy 3 2 17 2" xfId="27912"/>
    <cellStyle name="Procentowy 3 2 18" xfId="27913"/>
    <cellStyle name="Procentowy 3 2 18 2" xfId="27914"/>
    <cellStyle name="Procentowy 3 2 19" xfId="27915"/>
    <cellStyle name="Procentowy 3 2 19 2" xfId="27916"/>
    <cellStyle name="Procentowy 3 2 2" xfId="27917"/>
    <cellStyle name="Procentowy 3 2 2 2" xfId="27918"/>
    <cellStyle name="Procentowy 3 2 2 2 2" xfId="27919"/>
    <cellStyle name="Procentowy 3 2 2 3" xfId="27920"/>
    <cellStyle name="Procentowy 3 2 2 4" xfId="27921"/>
    <cellStyle name="Procentowy 3 2 2 5" xfId="27922"/>
    <cellStyle name="Procentowy 3 2 2 6" xfId="27923"/>
    <cellStyle name="Procentowy 3 2 2 7" xfId="27924"/>
    <cellStyle name="Procentowy 3 2 2 8" xfId="27925"/>
    <cellStyle name="Procentowy 3 2 20" xfId="27926"/>
    <cellStyle name="Procentowy 3 2 20 2" xfId="27927"/>
    <cellStyle name="Procentowy 3 2 21" xfId="27928"/>
    <cellStyle name="Procentowy 3 2 21 2" xfId="27929"/>
    <cellStyle name="Procentowy 3 2 22" xfId="27930"/>
    <cellStyle name="Procentowy 3 2 22 2" xfId="27931"/>
    <cellStyle name="Procentowy 3 2 23" xfId="27932"/>
    <cellStyle name="Procentowy 3 2 23 2" xfId="27933"/>
    <cellStyle name="Procentowy 3 2 24" xfId="27934"/>
    <cellStyle name="Procentowy 3 2 24 2" xfId="27935"/>
    <cellStyle name="Procentowy 3 2 25" xfId="27936"/>
    <cellStyle name="Procentowy 3 2 25 2" xfId="27937"/>
    <cellStyle name="Procentowy 3 2 26" xfId="27938"/>
    <cellStyle name="Procentowy 3 2 26 2" xfId="27939"/>
    <cellStyle name="Procentowy 3 2 27" xfId="27940"/>
    <cellStyle name="Procentowy 3 2 27 2" xfId="27941"/>
    <cellStyle name="Procentowy 3 2 28" xfId="27942"/>
    <cellStyle name="Procentowy 3 2 28 2" xfId="27943"/>
    <cellStyle name="Procentowy 3 2 29" xfId="27944"/>
    <cellStyle name="Procentowy 3 2 29 2" xfId="27945"/>
    <cellStyle name="Procentowy 3 2 3" xfId="27946"/>
    <cellStyle name="Procentowy 3 2 3 2" xfId="27947"/>
    <cellStyle name="Procentowy 3 2 3 2 2" xfId="27948"/>
    <cellStyle name="Procentowy 3 2 3 3" xfId="27949"/>
    <cellStyle name="Procentowy 3 2 3 4" xfId="27950"/>
    <cellStyle name="Procentowy 3 2 3 5" xfId="27951"/>
    <cellStyle name="Procentowy 3 2 3 6" xfId="27952"/>
    <cellStyle name="Procentowy 3 2 3 7" xfId="27953"/>
    <cellStyle name="Procentowy 3 2 3 8" xfId="27954"/>
    <cellStyle name="Procentowy 3 2 30" xfId="27955"/>
    <cellStyle name="Procentowy 3 2 30 2" xfId="27956"/>
    <cellStyle name="Procentowy 3 2 31" xfId="27957"/>
    <cellStyle name="Procentowy 3 2 31 2" xfId="27958"/>
    <cellStyle name="Procentowy 3 2 32" xfId="27959"/>
    <cellStyle name="Procentowy 3 2 33" xfId="27960"/>
    <cellStyle name="Procentowy 3 2 34" xfId="27961"/>
    <cellStyle name="Procentowy 3 2 35" xfId="27962"/>
    <cellStyle name="Procentowy 3 2 36" xfId="27963"/>
    <cellStyle name="Procentowy 3 2 37" xfId="27964"/>
    <cellStyle name="Procentowy 3 2 38" xfId="27965"/>
    <cellStyle name="Procentowy 3 2 39" xfId="27966"/>
    <cellStyle name="Procentowy 3 2 4" xfId="27967"/>
    <cellStyle name="Procentowy 3 2 4 2" xfId="27968"/>
    <cellStyle name="Procentowy 3 2 4 2 2" xfId="27969"/>
    <cellStyle name="Procentowy 3 2 4 3" xfId="27970"/>
    <cellStyle name="Procentowy 3 2 4 4" xfId="27971"/>
    <cellStyle name="Procentowy 3 2 4 5" xfId="27972"/>
    <cellStyle name="Procentowy 3 2 4 6" xfId="27973"/>
    <cellStyle name="Procentowy 3 2 4 7" xfId="27974"/>
    <cellStyle name="Procentowy 3 2 4 8" xfId="27975"/>
    <cellStyle name="Procentowy 3 2 40" xfId="27976"/>
    <cellStyle name="Procentowy 3 2 41" xfId="27977"/>
    <cellStyle name="Procentowy 3 2 42" xfId="27978"/>
    <cellStyle name="Procentowy 3 2 43" xfId="27979"/>
    <cellStyle name="Procentowy 3 2 44" xfId="27980"/>
    <cellStyle name="Procentowy 3 2 45" xfId="27981"/>
    <cellStyle name="Procentowy 3 2 46" xfId="27982"/>
    <cellStyle name="Procentowy 3 2 47" xfId="27983"/>
    <cellStyle name="Procentowy 3 2 48" xfId="27984"/>
    <cellStyle name="Procentowy 3 2 49" xfId="27985"/>
    <cellStyle name="Procentowy 3 2 5" xfId="27986"/>
    <cellStyle name="Procentowy 3 2 5 2" xfId="27987"/>
    <cellStyle name="Procentowy 3 2 5 2 2" xfId="27988"/>
    <cellStyle name="Procentowy 3 2 5 3" xfId="27989"/>
    <cellStyle name="Procentowy 3 2 5 4" xfId="27990"/>
    <cellStyle name="Procentowy 3 2 5 5" xfId="27991"/>
    <cellStyle name="Procentowy 3 2 5 6" xfId="27992"/>
    <cellStyle name="Procentowy 3 2 5 7" xfId="27993"/>
    <cellStyle name="Procentowy 3 2 5 8" xfId="27994"/>
    <cellStyle name="Procentowy 3 2 50" xfId="27995"/>
    <cellStyle name="Procentowy 3 2 51" xfId="27996"/>
    <cellStyle name="Procentowy 3 2 52" xfId="27997"/>
    <cellStyle name="Procentowy 3 2 53" xfId="27998"/>
    <cellStyle name="Procentowy 3 2 54" xfId="27999"/>
    <cellStyle name="Procentowy 3 2 55" xfId="28000"/>
    <cellStyle name="Procentowy 3 2 56" xfId="28001"/>
    <cellStyle name="Procentowy 3 2 57" xfId="28002"/>
    <cellStyle name="Procentowy 3 2 58" xfId="28003"/>
    <cellStyle name="Procentowy 3 2 59" xfId="28004"/>
    <cellStyle name="Procentowy 3 2 6" xfId="28005"/>
    <cellStyle name="Procentowy 3 2 6 2" xfId="28006"/>
    <cellStyle name="Procentowy 3 2 6 3" xfId="28007"/>
    <cellStyle name="Procentowy 3 2 60" xfId="28008"/>
    <cellStyle name="Procentowy 3 2 61" xfId="28009"/>
    <cellStyle name="Procentowy 3 2 62" xfId="28010"/>
    <cellStyle name="Procentowy 3 2 63" xfId="28011"/>
    <cellStyle name="Procentowy 3 2 64" xfId="28012"/>
    <cellStyle name="Procentowy 3 2 65" xfId="28013"/>
    <cellStyle name="Procentowy 3 2 66" xfId="28014"/>
    <cellStyle name="Procentowy 3 2 67" xfId="28015"/>
    <cellStyle name="Procentowy 3 2 68" xfId="28016"/>
    <cellStyle name="Procentowy 3 2 69" xfId="28017"/>
    <cellStyle name="Procentowy 3 2 7" xfId="28018"/>
    <cellStyle name="Procentowy 3 2 7 2" xfId="28019"/>
    <cellStyle name="Procentowy 3 2 70" xfId="28020"/>
    <cellStyle name="Procentowy 3 2 71" xfId="28021"/>
    <cellStyle name="Procentowy 3 2 72" xfId="28022"/>
    <cellStyle name="Procentowy 3 2 73" xfId="28023"/>
    <cellStyle name="Procentowy 3 2 74" xfId="28024"/>
    <cellStyle name="Procentowy 3 2 75" xfId="28025"/>
    <cellStyle name="Procentowy 3 2 8" xfId="28026"/>
    <cellStyle name="Procentowy 3 2 8 2" xfId="28027"/>
    <cellStyle name="Procentowy 3 2 9" xfId="28028"/>
    <cellStyle name="Procentowy 3 2 9 2" xfId="28029"/>
    <cellStyle name="Procentowy 3 20" xfId="28030"/>
    <cellStyle name="Procentowy 3 20 10" xfId="28031"/>
    <cellStyle name="Procentowy 3 20 10 2" xfId="28032"/>
    <cellStyle name="Procentowy 3 20 11" xfId="28033"/>
    <cellStyle name="Procentowy 3 20 11 2" xfId="28034"/>
    <cellStyle name="Procentowy 3 20 12" xfId="28035"/>
    <cellStyle name="Procentowy 3 20 12 2" xfId="28036"/>
    <cellStyle name="Procentowy 3 20 13" xfId="28037"/>
    <cellStyle name="Procentowy 3 20 13 2" xfId="28038"/>
    <cellStyle name="Procentowy 3 20 14" xfId="28039"/>
    <cellStyle name="Procentowy 3 20 14 2" xfId="28040"/>
    <cellStyle name="Procentowy 3 20 15" xfId="28041"/>
    <cellStyle name="Procentowy 3 20 15 2" xfId="28042"/>
    <cellStyle name="Procentowy 3 20 16" xfId="28043"/>
    <cellStyle name="Procentowy 3 20 16 2" xfId="28044"/>
    <cellStyle name="Procentowy 3 20 17" xfId="28045"/>
    <cellStyle name="Procentowy 3 20 17 2" xfId="28046"/>
    <cellStyle name="Procentowy 3 20 18" xfId="28047"/>
    <cellStyle name="Procentowy 3 20 18 2" xfId="28048"/>
    <cellStyle name="Procentowy 3 20 19" xfId="28049"/>
    <cellStyle name="Procentowy 3 20 19 2" xfId="28050"/>
    <cellStyle name="Procentowy 3 20 2" xfId="28051"/>
    <cellStyle name="Procentowy 3 20 2 2" xfId="28052"/>
    <cellStyle name="Procentowy 3 20 2 3" xfId="28053"/>
    <cellStyle name="Procentowy 3 20 2 4" xfId="28054"/>
    <cellStyle name="Procentowy 3 20 2 5" xfId="28055"/>
    <cellStyle name="Procentowy 3 20 2 6" xfId="28056"/>
    <cellStyle name="Procentowy 3 20 2 7" xfId="28057"/>
    <cellStyle name="Procentowy 3 20 20" xfId="28058"/>
    <cellStyle name="Procentowy 3 20 20 2" xfId="28059"/>
    <cellStyle name="Procentowy 3 20 21" xfId="28060"/>
    <cellStyle name="Procentowy 3 20 21 2" xfId="28061"/>
    <cellStyle name="Procentowy 3 20 22" xfId="28062"/>
    <cellStyle name="Procentowy 3 20 22 2" xfId="28063"/>
    <cellStyle name="Procentowy 3 20 23" xfId="28064"/>
    <cellStyle name="Procentowy 3 20 23 2" xfId="28065"/>
    <cellStyle name="Procentowy 3 20 24" xfId="28066"/>
    <cellStyle name="Procentowy 3 20 24 2" xfId="28067"/>
    <cellStyle name="Procentowy 3 20 25" xfId="28068"/>
    <cellStyle name="Procentowy 3 20 25 2" xfId="28069"/>
    <cellStyle name="Procentowy 3 20 26" xfId="28070"/>
    <cellStyle name="Procentowy 3 20 26 2" xfId="28071"/>
    <cellStyle name="Procentowy 3 20 27" xfId="28072"/>
    <cellStyle name="Procentowy 3 20 27 2" xfId="28073"/>
    <cellStyle name="Procentowy 3 20 28" xfId="28074"/>
    <cellStyle name="Procentowy 3 20 28 2" xfId="28075"/>
    <cellStyle name="Procentowy 3 20 29" xfId="28076"/>
    <cellStyle name="Procentowy 3 20 29 2" xfId="28077"/>
    <cellStyle name="Procentowy 3 20 3" xfId="28078"/>
    <cellStyle name="Procentowy 3 20 3 2" xfId="28079"/>
    <cellStyle name="Procentowy 3 20 3 3" xfId="28080"/>
    <cellStyle name="Procentowy 3 20 3 4" xfId="28081"/>
    <cellStyle name="Procentowy 3 20 3 5" xfId="28082"/>
    <cellStyle name="Procentowy 3 20 3 6" xfId="28083"/>
    <cellStyle name="Procentowy 3 20 3 7" xfId="28084"/>
    <cellStyle name="Procentowy 3 20 30" xfId="28085"/>
    <cellStyle name="Procentowy 3 20 30 2" xfId="28086"/>
    <cellStyle name="Procentowy 3 20 31" xfId="28087"/>
    <cellStyle name="Procentowy 3 20 31 2" xfId="28088"/>
    <cellStyle name="Procentowy 3 20 32" xfId="28089"/>
    <cellStyle name="Procentowy 3 20 33" xfId="28090"/>
    <cellStyle name="Procentowy 3 20 34" xfId="28091"/>
    <cellStyle name="Procentowy 3 20 35" xfId="28092"/>
    <cellStyle name="Procentowy 3 20 36" xfId="28093"/>
    <cellStyle name="Procentowy 3 20 37" xfId="28094"/>
    <cellStyle name="Procentowy 3 20 38" xfId="28095"/>
    <cellStyle name="Procentowy 3 20 39" xfId="28096"/>
    <cellStyle name="Procentowy 3 20 4" xfId="28097"/>
    <cellStyle name="Procentowy 3 20 4 2" xfId="28098"/>
    <cellStyle name="Procentowy 3 20 4 3" xfId="28099"/>
    <cellStyle name="Procentowy 3 20 4 4" xfId="28100"/>
    <cellStyle name="Procentowy 3 20 4 5" xfId="28101"/>
    <cellStyle name="Procentowy 3 20 4 6" xfId="28102"/>
    <cellStyle name="Procentowy 3 20 4 7" xfId="28103"/>
    <cellStyle name="Procentowy 3 20 40" xfId="28104"/>
    <cellStyle name="Procentowy 3 20 41" xfId="28105"/>
    <cellStyle name="Procentowy 3 20 42" xfId="28106"/>
    <cellStyle name="Procentowy 3 20 43" xfId="28107"/>
    <cellStyle name="Procentowy 3 20 44" xfId="28108"/>
    <cellStyle name="Procentowy 3 20 45" xfId="28109"/>
    <cellStyle name="Procentowy 3 20 46" xfId="28110"/>
    <cellStyle name="Procentowy 3 20 47" xfId="28111"/>
    <cellStyle name="Procentowy 3 20 48" xfId="28112"/>
    <cellStyle name="Procentowy 3 20 49" xfId="28113"/>
    <cellStyle name="Procentowy 3 20 5" xfId="28114"/>
    <cellStyle name="Procentowy 3 20 5 2" xfId="28115"/>
    <cellStyle name="Procentowy 3 20 5 3" xfId="28116"/>
    <cellStyle name="Procentowy 3 20 5 4" xfId="28117"/>
    <cellStyle name="Procentowy 3 20 5 5" xfId="28118"/>
    <cellStyle name="Procentowy 3 20 5 6" xfId="28119"/>
    <cellStyle name="Procentowy 3 20 5 7" xfId="28120"/>
    <cellStyle name="Procentowy 3 20 50" xfId="28121"/>
    <cellStyle name="Procentowy 3 20 51" xfId="28122"/>
    <cellStyle name="Procentowy 3 20 52" xfId="28123"/>
    <cellStyle name="Procentowy 3 20 53" xfId="28124"/>
    <cellStyle name="Procentowy 3 20 54" xfId="28125"/>
    <cellStyle name="Procentowy 3 20 55" xfId="28126"/>
    <cellStyle name="Procentowy 3 20 56" xfId="28127"/>
    <cellStyle name="Procentowy 3 20 57" xfId="28128"/>
    <cellStyle name="Procentowy 3 20 58" xfId="28129"/>
    <cellStyle name="Procentowy 3 20 59" xfId="28130"/>
    <cellStyle name="Procentowy 3 20 6" xfId="28131"/>
    <cellStyle name="Procentowy 3 20 6 2" xfId="28132"/>
    <cellStyle name="Procentowy 3 20 60" xfId="28133"/>
    <cellStyle name="Procentowy 3 20 61" xfId="28134"/>
    <cellStyle name="Procentowy 3 20 62" xfId="28135"/>
    <cellStyle name="Procentowy 3 20 63" xfId="28136"/>
    <cellStyle name="Procentowy 3 20 64" xfId="28137"/>
    <cellStyle name="Procentowy 3 20 65" xfId="28138"/>
    <cellStyle name="Procentowy 3 20 66" xfId="28139"/>
    <cellStyle name="Procentowy 3 20 67" xfId="28140"/>
    <cellStyle name="Procentowy 3 20 68" xfId="28141"/>
    <cellStyle name="Procentowy 3 20 69" xfId="28142"/>
    <cellStyle name="Procentowy 3 20 7" xfId="28143"/>
    <cellStyle name="Procentowy 3 20 7 2" xfId="28144"/>
    <cellStyle name="Procentowy 3 20 70" xfId="28145"/>
    <cellStyle name="Procentowy 3 20 71" xfId="28146"/>
    <cellStyle name="Procentowy 3 20 72" xfId="28147"/>
    <cellStyle name="Procentowy 3 20 73" xfId="28148"/>
    <cellStyle name="Procentowy 3 20 74" xfId="28149"/>
    <cellStyle name="Procentowy 3 20 8" xfId="28150"/>
    <cellStyle name="Procentowy 3 20 8 2" xfId="28151"/>
    <cellStyle name="Procentowy 3 20 9" xfId="28152"/>
    <cellStyle name="Procentowy 3 20 9 2" xfId="28153"/>
    <cellStyle name="Procentowy 3 21" xfId="28154"/>
    <cellStyle name="Procentowy 3 21 10" xfId="28155"/>
    <cellStyle name="Procentowy 3 21 10 2" xfId="28156"/>
    <cellStyle name="Procentowy 3 21 11" xfId="28157"/>
    <cellStyle name="Procentowy 3 21 11 2" xfId="28158"/>
    <cellStyle name="Procentowy 3 21 12" xfId="28159"/>
    <cellStyle name="Procentowy 3 21 12 2" xfId="28160"/>
    <cellStyle name="Procentowy 3 21 13" xfId="28161"/>
    <cellStyle name="Procentowy 3 21 13 2" xfId="28162"/>
    <cellStyle name="Procentowy 3 21 14" xfId="28163"/>
    <cellStyle name="Procentowy 3 21 14 2" xfId="28164"/>
    <cellStyle name="Procentowy 3 21 15" xfId="28165"/>
    <cellStyle name="Procentowy 3 21 15 2" xfId="28166"/>
    <cellStyle name="Procentowy 3 21 16" xfId="28167"/>
    <cellStyle name="Procentowy 3 21 16 2" xfId="28168"/>
    <cellStyle name="Procentowy 3 21 17" xfId="28169"/>
    <cellStyle name="Procentowy 3 21 17 2" xfId="28170"/>
    <cellStyle name="Procentowy 3 21 18" xfId="28171"/>
    <cellStyle name="Procentowy 3 21 18 2" xfId="28172"/>
    <cellStyle name="Procentowy 3 21 19" xfId="28173"/>
    <cellStyle name="Procentowy 3 21 19 2" xfId="28174"/>
    <cellStyle name="Procentowy 3 21 2" xfId="28175"/>
    <cellStyle name="Procentowy 3 21 2 2" xfId="28176"/>
    <cellStyle name="Procentowy 3 21 2 3" xfId="28177"/>
    <cellStyle name="Procentowy 3 21 2 4" xfId="28178"/>
    <cellStyle name="Procentowy 3 21 2 5" xfId="28179"/>
    <cellStyle name="Procentowy 3 21 2 6" xfId="28180"/>
    <cellStyle name="Procentowy 3 21 2 7" xfId="28181"/>
    <cellStyle name="Procentowy 3 21 20" xfId="28182"/>
    <cellStyle name="Procentowy 3 21 20 2" xfId="28183"/>
    <cellStyle name="Procentowy 3 21 21" xfId="28184"/>
    <cellStyle name="Procentowy 3 21 21 2" xfId="28185"/>
    <cellStyle name="Procentowy 3 21 22" xfId="28186"/>
    <cellStyle name="Procentowy 3 21 22 2" xfId="28187"/>
    <cellStyle name="Procentowy 3 21 23" xfId="28188"/>
    <cellStyle name="Procentowy 3 21 23 2" xfId="28189"/>
    <cellStyle name="Procentowy 3 21 24" xfId="28190"/>
    <cellStyle name="Procentowy 3 21 24 2" xfId="28191"/>
    <cellStyle name="Procentowy 3 21 25" xfId="28192"/>
    <cellStyle name="Procentowy 3 21 25 2" xfId="28193"/>
    <cellStyle name="Procentowy 3 21 26" xfId="28194"/>
    <cellStyle name="Procentowy 3 21 26 2" xfId="28195"/>
    <cellStyle name="Procentowy 3 21 27" xfId="28196"/>
    <cellStyle name="Procentowy 3 21 27 2" xfId="28197"/>
    <cellStyle name="Procentowy 3 21 28" xfId="28198"/>
    <cellStyle name="Procentowy 3 21 28 2" xfId="28199"/>
    <cellStyle name="Procentowy 3 21 29" xfId="28200"/>
    <cellStyle name="Procentowy 3 21 29 2" xfId="28201"/>
    <cellStyle name="Procentowy 3 21 3" xfId="28202"/>
    <cellStyle name="Procentowy 3 21 3 2" xfId="28203"/>
    <cellStyle name="Procentowy 3 21 3 3" xfId="28204"/>
    <cellStyle name="Procentowy 3 21 3 4" xfId="28205"/>
    <cellStyle name="Procentowy 3 21 3 5" xfId="28206"/>
    <cellStyle name="Procentowy 3 21 3 6" xfId="28207"/>
    <cellStyle name="Procentowy 3 21 3 7" xfId="28208"/>
    <cellStyle name="Procentowy 3 21 30" xfId="28209"/>
    <cellStyle name="Procentowy 3 21 30 2" xfId="28210"/>
    <cellStyle name="Procentowy 3 21 31" xfId="28211"/>
    <cellStyle name="Procentowy 3 21 31 2" xfId="28212"/>
    <cellStyle name="Procentowy 3 21 32" xfId="28213"/>
    <cellStyle name="Procentowy 3 21 33" xfId="28214"/>
    <cellStyle name="Procentowy 3 21 34" xfId="28215"/>
    <cellStyle name="Procentowy 3 21 35" xfId="28216"/>
    <cellStyle name="Procentowy 3 21 36" xfId="28217"/>
    <cellStyle name="Procentowy 3 21 37" xfId="28218"/>
    <cellStyle name="Procentowy 3 21 38" xfId="28219"/>
    <cellStyle name="Procentowy 3 21 39" xfId="28220"/>
    <cellStyle name="Procentowy 3 21 4" xfId="28221"/>
    <cellStyle name="Procentowy 3 21 4 2" xfId="28222"/>
    <cellStyle name="Procentowy 3 21 4 3" xfId="28223"/>
    <cellStyle name="Procentowy 3 21 4 4" xfId="28224"/>
    <cellStyle name="Procentowy 3 21 4 5" xfId="28225"/>
    <cellStyle name="Procentowy 3 21 4 6" xfId="28226"/>
    <cellStyle name="Procentowy 3 21 4 7" xfId="28227"/>
    <cellStyle name="Procentowy 3 21 40" xfId="28228"/>
    <cellStyle name="Procentowy 3 21 41" xfId="28229"/>
    <cellStyle name="Procentowy 3 21 42" xfId="28230"/>
    <cellStyle name="Procentowy 3 21 43" xfId="28231"/>
    <cellStyle name="Procentowy 3 21 44" xfId="28232"/>
    <cellStyle name="Procentowy 3 21 45" xfId="28233"/>
    <cellStyle name="Procentowy 3 21 46" xfId="28234"/>
    <cellStyle name="Procentowy 3 21 47" xfId="28235"/>
    <cellStyle name="Procentowy 3 21 48" xfId="28236"/>
    <cellStyle name="Procentowy 3 21 49" xfId="28237"/>
    <cellStyle name="Procentowy 3 21 5" xfId="28238"/>
    <cellStyle name="Procentowy 3 21 5 2" xfId="28239"/>
    <cellStyle name="Procentowy 3 21 5 3" xfId="28240"/>
    <cellStyle name="Procentowy 3 21 5 4" xfId="28241"/>
    <cellStyle name="Procentowy 3 21 5 5" xfId="28242"/>
    <cellStyle name="Procentowy 3 21 5 6" xfId="28243"/>
    <cellStyle name="Procentowy 3 21 5 7" xfId="28244"/>
    <cellStyle name="Procentowy 3 21 50" xfId="28245"/>
    <cellStyle name="Procentowy 3 21 51" xfId="28246"/>
    <cellStyle name="Procentowy 3 21 52" xfId="28247"/>
    <cellStyle name="Procentowy 3 21 53" xfId="28248"/>
    <cellStyle name="Procentowy 3 21 54" xfId="28249"/>
    <cellStyle name="Procentowy 3 21 55" xfId="28250"/>
    <cellStyle name="Procentowy 3 21 56" xfId="28251"/>
    <cellStyle name="Procentowy 3 21 57" xfId="28252"/>
    <cellStyle name="Procentowy 3 21 58" xfId="28253"/>
    <cellStyle name="Procentowy 3 21 59" xfId="28254"/>
    <cellStyle name="Procentowy 3 21 6" xfId="28255"/>
    <cellStyle name="Procentowy 3 21 6 2" xfId="28256"/>
    <cellStyle name="Procentowy 3 21 60" xfId="28257"/>
    <cellStyle name="Procentowy 3 21 61" xfId="28258"/>
    <cellStyle name="Procentowy 3 21 62" xfId="28259"/>
    <cellStyle name="Procentowy 3 21 63" xfId="28260"/>
    <cellStyle name="Procentowy 3 21 64" xfId="28261"/>
    <cellStyle name="Procentowy 3 21 65" xfId="28262"/>
    <cellStyle name="Procentowy 3 21 66" xfId="28263"/>
    <cellStyle name="Procentowy 3 21 67" xfId="28264"/>
    <cellStyle name="Procentowy 3 21 68" xfId="28265"/>
    <cellStyle name="Procentowy 3 21 69" xfId="28266"/>
    <cellStyle name="Procentowy 3 21 7" xfId="28267"/>
    <cellStyle name="Procentowy 3 21 7 2" xfId="28268"/>
    <cellStyle name="Procentowy 3 21 70" xfId="28269"/>
    <cellStyle name="Procentowy 3 21 71" xfId="28270"/>
    <cellStyle name="Procentowy 3 21 72" xfId="28271"/>
    <cellStyle name="Procentowy 3 21 73" xfId="28272"/>
    <cellStyle name="Procentowy 3 21 74" xfId="28273"/>
    <cellStyle name="Procentowy 3 21 8" xfId="28274"/>
    <cellStyle name="Procentowy 3 21 8 2" xfId="28275"/>
    <cellStyle name="Procentowy 3 21 9" xfId="28276"/>
    <cellStyle name="Procentowy 3 21 9 2" xfId="28277"/>
    <cellStyle name="Procentowy 3 22" xfId="28278"/>
    <cellStyle name="Procentowy 3 22 10" xfId="28279"/>
    <cellStyle name="Procentowy 3 22 10 2" xfId="28280"/>
    <cellStyle name="Procentowy 3 22 11" xfId="28281"/>
    <cellStyle name="Procentowy 3 22 11 2" xfId="28282"/>
    <cellStyle name="Procentowy 3 22 12" xfId="28283"/>
    <cellStyle name="Procentowy 3 22 12 2" xfId="28284"/>
    <cellStyle name="Procentowy 3 22 13" xfId="28285"/>
    <cellStyle name="Procentowy 3 22 13 2" xfId="28286"/>
    <cellStyle name="Procentowy 3 22 14" xfId="28287"/>
    <cellStyle name="Procentowy 3 22 14 2" xfId="28288"/>
    <cellStyle name="Procentowy 3 22 15" xfId="28289"/>
    <cellStyle name="Procentowy 3 22 15 2" xfId="28290"/>
    <cellStyle name="Procentowy 3 22 16" xfId="28291"/>
    <cellStyle name="Procentowy 3 22 16 2" xfId="28292"/>
    <cellStyle name="Procentowy 3 22 17" xfId="28293"/>
    <cellStyle name="Procentowy 3 22 17 2" xfId="28294"/>
    <cellStyle name="Procentowy 3 22 18" xfId="28295"/>
    <cellStyle name="Procentowy 3 22 18 2" xfId="28296"/>
    <cellStyle name="Procentowy 3 22 19" xfId="28297"/>
    <cellStyle name="Procentowy 3 22 19 2" xfId="28298"/>
    <cellStyle name="Procentowy 3 22 2" xfId="28299"/>
    <cellStyle name="Procentowy 3 22 2 2" xfId="28300"/>
    <cellStyle name="Procentowy 3 22 2 3" xfId="28301"/>
    <cellStyle name="Procentowy 3 22 2 4" xfId="28302"/>
    <cellStyle name="Procentowy 3 22 2 5" xfId="28303"/>
    <cellStyle name="Procentowy 3 22 2 6" xfId="28304"/>
    <cellStyle name="Procentowy 3 22 2 7" xfId="28305"/>
    <cellStyle name="Procentowy 3 22 20" xfId="28306"/>
    <cellStyle name="Procentowy 3 22 20 2" xfId="28307"/>
    <cellStyle name="Procentowy 3 22 21" xfId="28308"/>
    <cellStyle name="Procentowy 3 22 21 2" xfId="28309"/>
    <cellStyle name="Procentowy 3 22 22" xfId="28310"/>
    <cellStyle name="Procentowy 3 22 22 2" xfId="28311"/>
    <cellStyle name="Procentowy 3 22 23" xfId="28312"/>
    <cellStyle name="Procentowy 3 22 23 2" xfId="28313"/>
    <cellStyle name="Procentowy 3 22 24" xfId="28314"/>
    <cellStyle name="Procentowy 3 22 24 2" xfId="28315"/>
    <cellStyle name="Procentowy 3 22 25" xfId="28316"/>
    <cellStyle name="Procentowy 3 22 25 2" xfId="28317"/>
    <cellStyle name="Procentowy 3 22 26" xfId="28318"/>
    <cellStyle name="Procentowy 3 22 26 2" xfId="28319"/>
    <cellStyle name="Procentowy 3 22 27" xfId="28320"/>
    <cellStyle name="Procentowy 3 22 27 2" xfId="28321"/>
    <cellStyle name="Procentowy 3 22 28" xfId="28322"/>
    <cellStyle name="Procentowy 3 22 28 2" xfId="28323"/>
    <cellStyle name="Procentowy 3 22 29" xfId="28324"/>
    <cellStyle name="Procentowy 3 22 29 2" xfId="28325"/>
    <cellStyle name="Procentowy 3 22 3" xfId="28326"/>
    <cellStyle name="Procentowy 3 22 3 2" xfId="28327"/>
    <cellStyle name="Procentowy 3 22 3 3" xfId="28328"/>
    <cellStyle name="Procentowy 3 22 3 4" xfId="28329"/>
    <cellStyle name="Procentowy 3 22 3 5" xfId="28330"/>
    <cellStyle name="Procentowy 3 22 3 6" xfId="28331"/>
    <cellStyle name="Procentowy 3 22 3 7" xfId="28332"/>
    <cellStyle name="Procentowy 3 22 30" xfId="28333"/>
    <cellStyle name="Procentowy 3 22 30 2" xfId="28334"/>
    <cellStyle name="Procentowy 3 22 31" xfId="28335"/>
    <cellStyle name="Procentowy 3 22 31 2" xfId="28336"/>
    <cellStyle name="Procentowy 3 22 32" xfId="28337"/>
    <cellStyle name="Procentowy 3 22 33" xfId="28338"/>
    <cellStyle name="Procentowy 3 22 34" xfId="28339"/>
    <cellStyle name="Procentowy 3 22 35" xfId="28340"/>
    <cellStyle name="Procentowy 3 22 36" xfId="28341"/>
    <cellStyle name="Procentowy 3 22 37" xfId="28342"/>
    <cellStyle name="Procentowy 3 22 38" xfId="28343"/>
    <cellStyle name="Procentowy 3 22 39" xfId="28344"/>
    <cellStyle name="Procentowy 3 22 4" xfId="28345"/>
    <cellStyle name="Procentowy 3 22 4 2" xfId="28346"/>
    <cellStyle name="Procentowy 3 22 4 3" xfId="28347"/>
    <cellStyle name="Procentowy 3 22 4 4" xfId="28348"/>
    <cellStyle name="Procentowy 3 22 4 5" xfId="28349"/>
    <cellStyle name="Procentowy 3 22 4 6" xfId="28350"/>
    <cellStyle name="Procentowy 3 22 4 7" xfId="28351"/>
    <cellStyle name="Procentowy 3 22 40" xfId="28352"/>
    <cellStyle name="Procentowy 3 22 41" xfId="28353"/>
    <cellStyle name="Procentowy 3 22 42" xfId="28354"/>
    <cellStyle name="Procentowy 3 22 43" xfId="28355"/>
    <cellStyle name="Procentowy 3 22 44" xfId="28356"/>
    <cellStyle name="Procentowy 3 22 45" xfId="28357"/>
    <cellStyle name="Procentowy 3 22 46" xfId="28358"/>
    <cellStyle name="Procentowy 3 22 47" xfId="28359"/>
    <cellStyle name="Procentowy 3 22 48" xfId="28360"/>
    <cellStyle name="Procentowy 3 22 49" xfId="28361"/>
    <cellStyle name="Procentowy 3 22 5" xfId="28362"/>
    <cellStyle name="Procentowy 3 22 5 2" xfId="28363"/>
    <cellStyle name="Procentowy 3 22 5 3" xfId="28364"/>
    <cellStyle name="Procentowy 3 22 5 4" xfId="28365"/>
    <cellStyle name="Procentowy 3 22 5 5" xfId="28366"/>
    <cellStyle name="Procentowy 3 22 5 6" xfId="28367"/>
    <cellStyle name="Procentowy 3 22 5 7" xfId="28368"/>
    <cellStyle name="Procentowy 3 22 50" xfId="28369"/>
    <cellStyle name="Procentowy 3 22 51" xfId="28370"/>
    <cellStyle name="Procentowy 3 22 52" xfId="28371"/>
    <cellStyle name="Procentowy 3 22 53" xfId="28372"/>
    <cellStyle name="Procentowy 3 22 54" xfId="28373"/>
    <cellStyle name="Procentowy 3 22 55" xfId="28374"/>
    <cellStyle name="Procentowy 3 22 56" xfId="28375"/>
    <cellStyle name="Procentowy 3 22 57" xfId="28376"/>
    <cellStyle name="Procentowy 3 22 58" xfId="28377"/>
    <cellStyle name="Procentowy 3 22 59" xfId="28378"/>
    <cellStyle name="Procentowy 3 22 6" xfId="28379"/>
    <cellStyle name="Procentowy 3 22 6 2" xfId="28380"/>
    <cellStyle name="Procentowy 3 22 60" xfId="28381"/>
    <cellStyle name="Procentowy 3 22 61" xfId="28382"/>
    <cellStyle name="Procentowy 3 22 62" xfId="28383"/>
    <cellStyle name="Procentowy 3 22 63" xfId="28384"/>
    <cellStyle name="Procentowy 3 22 64" xfId="28385"/>
    <cellStyle name="Procentowy 3 22 65" xfId="28386"/>
    <cellStyle name="Procentowy 3 22 66" xfId="28387"/>
    <cellStyle name="Procentowy 3 22 67" xfId="28388"/>
    <cellStyle name="Procentowy 3 22 68" xfId="28389"/>
    <cellStyle name="Procentowy 3 22 69" xfId="28390"/>
    <cellStyle name="Procentowy 3 22 7" xfId="28391"/>
    <cellStyle name="Procentowy 3 22 7 2" xfId="28392"/>
    <cellStyle name="Procentowy 3 22 70" xfId="28393"/>
    <cellStyle name="Procentowy 3 22 71" xfId="28394"/>
    <cellStyle name="Procentowy 3 22 72" xfId="28395"/>
    <cellStyle name="Procentowy 3 22 73" xfId="28396"/>
    <cellStyle name="Procentowy 3 22 74" xfId="28397"/>
    <cellStyle name="Procentowy 3 22 8" xfId="28398"/>
    <cellStyle name="Procentowy 3 22 8 2" xfId="28399"/>
    <cellStyle name="Procentowy 3 22 9" xfId="28400"/>
    <cellStyle name="Procentowy 3 22 9 2" xfId="28401"/>
    <cellStyle name="Procentowy 3 23" xfId="28402"/>
    <cellStyle name="Procentowy 3 23 10" xfId="28403"/>
    <cellStyle name="Procentowy 3 23 10 2" xfId="28404"/>
    <cellStyle name="Procentowy 3 23 11" xfId="28405"/>
    <cellStyle name="Procentowy 3 23 11 2" xfId="28406"/>
    <cellStyle name="Procentowy 3 23 12" xfId="28407"/>
    <cellStyle name="Procentowy 3 23 12 2" xfId="28408"/>
    <cellStyle name="Procentowy 3 23 13" xfId="28409"/>
    <cellStyle name="Procentowy 3 23 13 2" xfId="28410"/>
    <cellStyle name="Procentowy 3 23 14" xfId="28411"/>
    <cellStyle name="Procentowy 3 23 14 2" xfId="28412"/>
    <cellStyle name="Procentowy 3 23 15" xfId="28413"/>
    <cellStyle name="Procentowy 3 23 15 2" xfId="28414"/>
    <cellStyle name="Procentowy 3 23 16" xfId="28415"/>
    <cellStyle name="Procentowy 3 23 16 2" xfId="28416"/>
    <cellStyle name="Procentowy 3 23 17" xfId="28417"/>
    <cellStyle name="Procentowy 3 23 17 2" xfId="28418"/>
    <cellStyle name="Procentowy 3 23 18" xfId="28419"/>
    <cellStyle name="Procentowy 3 23 18 2" xfId="28420"/>
    <cellStyle name="Procentowy 3 23 19" xfId="28421"/>
    <cellStyle name="Procentowy 3 23 19 2" xfId="28422"/>
    <cellStyle name="Procentowy 3 23 2" xfId="28423"/>
    <cellStyle name="Procentowy 3 23 2 2" xfId="28424"/>
    <cellStyle name="Procentowy 3 23 2 3" xfId="28425"/>
    <cellStyle name="Procentowy 3 23 2 4" xfId="28426"/>
    <cellStyle name="Procentowy 3 23 2 5" xfId="28427"/>
    <cellStyle name="Procentowy 3 23 2 6" xfId="28428"/>
    <cellStyle name="Procentowy 3 23 2 7" xfId="28429"/>
    <cellStyle name="Procentowy 3 23 20" xfId="28430"/>
    <cellStyle name="Procentowy 3 23 20 2" xfId="28431"/>
    <cellStyle name="Procentowy 3 23 21" xfId="28432"/>
    <cellStyle name="Procentowy 3 23 21 2" xfId="28433"/>
    <cellStyle name="Procentowy 3 23 22" xfId="28434"/>
    <cellStyle name="Procentowy 3 23 22 2" xfId="28435"/>
    <cellStyle name="Procentowy 3 23 23" xfId="28436"/>
    <cellStyle name="Procentowy 3 23 23 2" xfId="28437"/>
    <cellStyle name="Procentowy 3 23 24" xfId="28438"/>
    <cellStyle name="Procentowy 3 23 24 2" xfId="28439"/>
    <cellStyle name="Procentowy 3 23 25" xfId="28440"/>
    <cellStyle name="Procentowy 3 23 25 2" xfId="28441"/>
    <cellStyle name="Procentowy 3 23 26" xfId="28442"/>
    <cellStyle name="Procentowy 3 23 26 2" xfId="28443"/>
    <cellStyle name="Procentowy 3 23 27" xfId="28444"/>
    <cellStyle name="Procentowy 3 23 27 2" xfId="28445"/>
    <cellStyle name="Procentowy 3 23 28" xfId="28446"/>
    <cellStyle name="Procentowy 3 23 28 2" xfId="28447"/>
    <cellStyle name="Procentowy 3 23 29" xfId="28448"/>
    <cellStyle name="Procentowy 3 23 29 2" xfId="28449"/>
    <cellStyle name="Procentowy 3 23 3" xfId="28450"/>
    <cellStyle name="Procentowy 3 23 3 2" xfId="28451"/>
    <cellStyle name="Procentowy 3 23 3 3" xfId="28452"/>
    <cellStyle name="Procentowy 3 23 3 4" xfId="28453"/>
    <cellStyle name="Procentowy 3 23 3 5" xfId="28454"/>
    <cellStyle name="Procentowy 3 23 3 6" xfId="28455"/>
    <cellStyle name="Procentowy 3 23 3 7" xfId="28456"/>
    <cellStyle name="Procentowy 3 23 30" xfId="28457"/>
    <cellStyle name="Procentowy 3 23 30 2" xfId="28458"/>
    <cellStyle name="Procentowy 3 23 31" xfId="28459"/>
    <cellStyle name="Procentowy 3 23 31 2" xfId="28460"/>
    <cellStyle name="Procentowy 3 23 32" xfId="28461"/>
    <cellStyle name="Procentowy 3 23 33" xfId="28462"/>
    <cellStyle name="Procentowy 3 23 34" xfId="28463"/>
    <cellStyle name="Procentowy 3 23 35" xfId="28464"/>
    <cellStyle name="Procentowy 3 23 36" xfId="28465"/>
    <cellStyle name="Procentowy 3 23 37" xfId="28466"/>
    <cellStyle name="Procentowy 3 23 38" xfId="28467"/>
    <cellStyle name="Procentowy 3 23 39" xfId="28468"/>
    <cellStyle name="Procentowy 3 23 4" xfId="28469"/>
    <cellStyle name="Procentowy 3 23 4 2" xfId="28470"/>
    <cellStyle name="Procentowy 3 23 4 3" xfId="28471"/>
    <cellStyle name="Procentowy 3 23 4 4" xfId="28472"/>
    <cellStyle name="Procentowy 3 23 4 5" xfId="28473"/>
    <cellStyle name="Procentowy 3 23 4 6" xfId="28474"/>
    <cellStyle name="Procentowy 3 23 4 7" xfId="28475"/>
    <cellStyle name="Procentowy 3 23 40" xfId="28476"/>
    <cellStyle name="Procentowy 3 23 41" xfId="28477"/>
    <cellStyle name="Procentowy 3 23 42" xfId="28478"/>
    <cellStyle name="Procentowy 3 23 43" xfId="28479"/>
    <cellStyle name="Procentowy 3 23 44" xfId="28480"/>
    <cellStyle name="Procentowy 3 23 45" xfId="28481"/>
    <cellStyle name="Procentowy 3 23 46" xfId="28482"/>
    <cellStyle name="Procentowy 3 23 47" xfId="28483"/>
    <cellStyle name="Procentowy 3 23 48" xfId="28484"/>
    <cellStyle name="Procentowy 3 23 49" xfId="28485"/>
    <cellStyle name="Procentowy 3 23 5" xfId="28486"/>
    <cellStyle name="Procentowy 3 23 5 2" xfId="28487"/>
    <cellStyle name="Procentowy 3 23 5 3" xfId="28488"/>
    <cellStyle name="Procentowy 3 23 5 4" xfId="28489"/>
    <cellStyle name="Procentowy 3 23 5 5" xfId="28490"/>
    <cellStyle name="Procentowy 3 23 5 6" xfId="28491"/>
    <cellStyle name="Procentowy 3 23 5 7" xfId="28492"/>
    <cellStyle name="Procentowy 3 23 50" xfId="28493"/>
    <cellStyle name="Procentowy 3 23 51" xfId="28494"/>
    <cellStyle name="Procentowy 3 23 52" xfId="28495"/>
    <cellStyle name="Procentowy 3 23 53" xfId="28496"/>
    <cellStyle name="Procentowy 3 23 54" xfId="28497"/>
    <cellStyle name="Procentowy 3 23 55" xfId="28498"/>
    <cellStyle name="Procentowy 3 23 56" xfId="28499"/>
    <cellStyle name="Procentowy 3 23 57" xfId="28500"/>
    <cellStyle name="Procentowy 3 23 58" xfId="28501"/>
    <cellStyle name="Procentowy 3 23 59" xfId="28502"/>
    <cellStyle name="Procentowy 3 23 6" xfId="28503"/>
    <cellStyle name="Procentowy 3 23 6 2" xfId="28504"/>
    <cellStyle name="Procentowy 3 23 60" xfId="28505"/>
    <cellStyle name="Procentowy 3 23 61" xfId="28506"/>
    <cellStyle name="Procentowy 3 23 62" xfId="28507"/>
    <cellStyle name="Procentowy 3 23 63" xfId="28508"/>
    <cellStyle name="Procentowy 3 23 64" xfId="28509"/>
    <cellStyle name="Procentowy 3 23 65" xfId="28510"/>
    <cellStyle name="Procentowy 3 23 66" xfId="28511"/>
    <cellStyle name="Procentowy 3 23 67" xfId="28512"/>
    <cellStyle name="Procentowy 3 23 68" xfId="28513"/>
    <cellStyle name="Procentowy 3 23 69" xfId="28514"/>
    <cellStyle name="Procentowy 3 23 7" xfId="28515"/>
    <cellStyle name="Procentowy 3 23 7 2" xfId="28516"/>
    <cellStyle name="Procentowy 3 23 70" xfId="28517"/>
    <cellStyle name="Procentowy 3 23 71" xfId="28518"/>
    <cellStyle name="Procentowy 3 23 72" xfId="28519"/>
    <cellStyle name="Procentowy 3 23 73" xfId="28520"/>
    <cellStyle name="Procentowy 3 23 74" xfId="28521"/>
    <cellStyle name="Procentowy 3 23 8" xfId="28522"/>
    <cellStyle name="Procentowy 3 23 8 2" xfId="28523"/>
    <cellStyle name="Procentowy 3 23 9" xfId="28524"/>
    <cellStyle name="Procentowy 3 23 9 2" xfId="28525"/>
    <cellStyle name="Procentowy 3 24" xfId="28526"/>
    <cellStyle name="Procentowy 3 24 10" xfId="28527"/>
    <cellStyle name="Procentowy 3 24 10 2" xfId="28528"/>
    <cellStyle name="Procentowy 3 24 11" xfId="28529"/>
    <cellStyle name="Procentowy 3 24 11 2" xfId="28530"/>
    <cellStyle name="Procentowy 3 24 12" xfId="28531"/>
    <cellStyle name="Procentowy 3 24 12 2" xfId="28532"/>
    <cellStyle name="Procentowy 3 24 13" xfId="28533"/>
    <cellStyle name="Procentowy 3 24 13 2" xfId="28534"/>
    <cellStyle name="Procentowy 3 24 14" xfId="28535"/>
    <cellStyle name="Procentowy 3 24 14 2" xfId="28536"/>
    <cellStyle name="Procentowy 3 24 15" xfId="28537"/>
    <cellStyle name="Procentowy 3 24 15 2" xfId="28538"/>
    <cellStyle name="Procentowy 3 24 16" xfId="28539"/>
    <cellStyle name="Procentowy 3 24 16 2" xfId="28540"/>
    <cellStyle name="Procentowy 3 24 17" xfId="28541"/>
    <cellStyle name="Procentowy 3 24 17 2" xfId="28542"/>
    <cellStyle name="Procentowy 3 24 18" xfId="28543"/>
    <cellStyle name="Procentowy 3 24 18 2" xfId="28544"/>
    <cellStyle name="Procentowy 3 24 19" xfId="28545"/>
    <cellStyle name="Procentowy 3 24 19 2" xfId="28546"/>
    <cellStyle name="Procentowy 3 24 2" xfId="28547"/>
    <cellStyle name="Procentowy 3 24 2 2" xfId="28548"/>
    <cellStyle name="Procentowy 3 24 2 3" xfId="28549"/>
    <cellStyle name="Procentowy 3 24 2 4" xfId="28550"/>
    <cellStyle name="Procentowy 3 24 2 5" xfId="28551"/>
    <cellStyle name="Procentowy 3 24 2 6" xfId="28552"/>
    <cellStyle name="Procentowy 3 24 2 7" xfId="28553"/>
    <cellStyle name="Procentowy 3 24 20" xfId="28554"/>
    <cellStyle name="Procentowy 3 24 20 2" xfId="28555"/>
    <cellStyle name="Procentowy 3 24 21" xfId="28556"/>
    <cellStyle name="Procentowy 3 24 21 2" xfId="28557"/>
    <cellStyle name="Procentowy 3 24 22" xfId="28558"/>
    <cellStyle name="Procentowy 3 24 22 2" xfId="28559"/>
    <cellStyle name="Procentowy 3 24 23" xfId="28560"/>
    <cellStyle name="Procentowy 3 24 23 2" xfId="28561"/>
    <cellStyle name="Procentowy 3 24 24" xfId="28562"/>
    <cellStyle name="Procentowy 3 24 24 2" xfId="28563"/>
    <cellStyle name="Procentowy 3 24 25" xfId="28564"/>
    <cellStyle name="Procentowy 3 24 25 2" xfId="28565"/>
    <cellStyle name="Procentowy 3 24 26" xfId="28566"/>
    <cellStyle name="Procentowy 3 24 26 2" xfId="28567"/>
    <cellStyle name="Procentowy 3 24 27" xfId="28568"/>
    <cellStyle name="Procentowy 3 24 27 2" xfId="28569"/>
    <cellStyle name="Procentowy 3 24 28" xfId="28570"/>
    <cellStyle name="Procentowy 3 24 28 2" xfId="28571"/>
    <cellStyle name="Procentowy 3 24 29" xfId="28572"/>
    <cellStyle name="Procentowy 3 24 29 2" xfId="28573"/>
    <cellStyle name="Procentowy 3 24 3" xfId="28574"/>
    <cellStyle name="Procentowy 3 24 3 2" xfId="28575"/>
    <cellStyle name="Procentowy 3 24 3 3" xfId="28576"/>
    <cellStyle name="Procentowy 3 24 3 4" xfId="28577"/>
    <cellStyle name="Procentowy 3 24 3 5" xfId="28578"/>
    <cellStyle name="Procentowy 3 24 3 6" xfId="28579"/>
    <cellStyle name="Procentowy 3 24 3 7" xfId="28580"/>
    <cellStyle name="Procentowy 3 24 30" xfId="28581"/>
    <cellStyle name="Procentowy 3 24 30 2" xfId="28582"/>
    <cellStyle name="Procentowy 3 24 31" xfId="28583"/>
    <cellStyle name="Procentowy 3 24 31 2" xfId="28584"/>
    <cellStyle name="Procentowy 3 24 32" xfId="28585"/>
    <cellStyle name="Procentowy 3 24 33" xfId="28586"/>
    <cellStyle name="Procentowy 3 24 34" xfId="28587"/>
    <cellStyle name="Procentowy 3 24 35" xfId="28588"/>
    <cellStyle name="Procentowy 3 24 36" xfId="28589"/>
    <cellStyle name="Procentowy 3 24 37" xfId="28590"/>
    <cellStyle name="Procentowy 3 24 38" xfId="28591"/>
    <cellStyle name="Procentowy 3 24 39" xfId="28592"/>
    <cellStyle name="Procentowy 3 24 4" xfId="28593"/>
    <cellStyle name="Procentowy 3 24 4 2" xfId="28594"/>
    <cellStyle name="Procentowy 3 24 4 3" xfId="28595"/>
    <cellStyle name="Procentowy 3 24 4 4" xfId="28596"/>
    <cellStyle name="Procentowy 3 24 4 5" xfId="28597"/>
    <cellStyle name="Procentowy 3 24 4 6" xfId="28598"/>
    <cellStyle name="Procentowy 3 24 4 7" xfId="28599"/>
    <cellStyle name="Procentowy 3 24 40" xfId="28600"/>
    <cellStyle name="Procentowy 3 24 41" xfId="28601"/>
    <cellStyle name="Procentowy 3 24 42" xfId="28602"/>
    <cellStyle name="Procentowy 3 24 43" xfId="28603"/>
    <cellStyle name="Procentowy 3 24 44" xfId="28604"/>
    <cellStyle name="Procentowy 3 24 45" xfId="28605"/>
    <cellStyle name="Procentowy 3 24 46" xfId="28606"/>
    <cellStyle name="Procentowy 3 24 47" xfId="28607"/>
    <cellStyle name="Procentowy 3 24 48" xfId="28608"/>
    <cellStyle name="Procentowy 3 24 49" xfId="28609"/>
    <cellStyle name="Procentowy 3 24 5" xfId="28610"/>
    <cellStyle name="Procentowy 3 24 5 2" xfId="28611"/>
    <cellStyle name="Procentowy 3 24 5 3" xfId="28612"/>
    <cellStyle name="Procentowy 3 24 5 4" xfId="28613"/>
    <cellStyle name="Procentowy 3 24 5 5" xfId="28614"/>
    <cellStyle name="Procentowy 3 24 5 6" xfId="28615"/>
    <cellStyle name="Procentowy 3 24 5 7" xfId="28616"/>
    <cellStyle name="Procentowy 3 24 50" xfId="28617"/>
    <cellStyle name="Procentowy 3 24 51" xfId="28618"/>
    <cellStyle name="Procentowy 3 24 52" xfId="28619"/>
    <cellStyle name="Procentowy 3 24 53" xfId="28620"/>
    <cellStyle name="Procentowy 3 24 54" xfId="28621"/>
    <cellStyle name="Procentowy 3 24 55" xfId="28622"/>
    <cellStyle name="Procentowy 3 24 56" xfId="28623"/>
    <cellStyle name="Procentowy 3 24 57" xfId="28624"/>
    <cellStyle name="Procentowy 3 24 58" xfId="28625"/>
    <cellStyle name="Procentowy 3 24 59" xfId="28626"/>
    <cellStyle name="Procentowy 3 24 6" xfId="28627"/>
    <cellStyle name="Procentowy 3 24 6 2" xfId="28628"/>
    <cellStyle name="Procentowy 3 24 60" xfId="28629"/>
    <cellStyle name="Procentowy 3 24 61" xfId="28630"/>
    <cellStyle name="Procentowy 3 24 62" xfId="28631"/>
    <cellStyle name="Procentowy 3 24 63" xfId="28632"/>
    <cellStyle name="Procentowy 3 24 64" xfId="28633"/>
    <cellStyle name="Procentowy 3 24 65" xfId="28634"/>
    <cellStyle name="Procentowy 3 24 66" xfId="28635"/>
    <cellStyle name="Procentowy 3 24 67" xfId="28636"/>
    <cellStyle name="Procentowy 3 24 68" xfId="28637"/>
    <cellStyle name="Procentowy 3 24 69" xfId="28638"/>
    <cellStyle name="Procentowy 3 24 7" xfId="28639"/>
    <cellStyle name="Procentowy 3 24 7 2" xfId="28640"/>
    <cellStyle name="Procentowy 3 24 70" xfId="28641"/>
    <cellStyle name="Procentowy 3 24 71" xfId="28642"/>
    <cellStyle name="Procentowy 3 24 72" xfId="28643"/>
    <cellStyle name="Procentowy 3 24 73" xfId="28644"/>
    <cellStyle name="Procentowy 3 24 74" xfId="28645"/>
    <cellStyle name="Procentowy 3 24 8" xfId="28646"/>
    <cellStyle name="Procentowy 3 24 8 2" xfId="28647"/>
    <cellStyle name="Procentowy 3 24 9" xfId="28648"/>
    <cellStyle name="Procentowy 3 24 9 2" xfId="28649"/>
    <cellStyle name="Procentowy 3 25" xfId="28650"/>
    <cellStyle name="Procentowy 3 25 2" xfId="28651"/>
    <cellStyle name="Procentowy 3 25 3" xfId="28652"/>
    <cellStyle name="Procentowy 3 25 4" xfId="28653"/>
    <cellStyle name="Procentowy 3 25 5" xfId="28654"/>
    <cellStyle name="Procentowy 3 25 6" xfId="28655"/>
    <cellStyle name="Procentowy 3 25 7" xfId="28656"/>
    <cellStyle name="Procentowy 3 26" xfId="28657"/>
    <cellStyle name="Procentowy 3 26 2" xfId="28658"/>
    <cellStyle name="Procentowy 3 26 3" xfId="28659"/>
    <cellStyle name="Procentowy 3 26 4" xfId="28660"/>
    <cellStyle name="Procentowy 3 26 5" xfId="28661"/>
    <cellStyle name="Procentowy 3 26 6" xfId="28662"/>
    <cellStyle name="Procentowy 3 26 7" xfId="28663"/>
    <cellStyle name="Procentowy 3 27" xfId="28664"/>
    <cellStyle name="Procentowy 3 27 2" xfId="28665"/>
    <cellStyle name="Procentowy 3 27 3" xfId="28666"/>
    <cellStyle name="Procentowy 3 27 4" xfId="28667"/>
    <cellStyle name="Procentowy 3 27 5" xfId="28668"/>
    <cellStyle name="Procentowy 3 27 6" xfId="28669"/>
    <cellStyle name="Procentowy 3 27 7" xfId="28670"/>
    <cellStyle name="Procentowy 3 28" xfId="28671"/>
    <cellStyle name="Procentowy 3 28 2" xfId="28672"/>
    <cellStyle name="Procentowy 3 28 3" xfId="28673"/>
    <cellStyle name="Procentowy 3 28 4" xfId="28674"/>
    <cellStyle name="Procentowy 3 28 5" xfId="28675"/>
    <cellStyle name="Procentowy 3 28 6" xfId="28676"/>
    <cellStyle name="Procentowy 3 28 7" xfId="28677"/>
    <cellStyle name="Procentowy 3 29" xfId="28678"/>
    <cellStyle name="Procentowy 3 29 2" xfId="28679"/>
    <cellStyle name="Procentowy 3 3" xfId="28680"/>
    <cellStyle name="Procentowy 3 3 10" xfId="28681"/>
    <cellStyle name="Procentowy 3 3 10 2" xfId="28682"/>
    <cellStyle name="Procentowy 3 3 11" xfId="28683"/>
    <cellStyle name="Procentowy 3 3 11 2" xfId="28684"/>
    <cellStyle name="Procentowy 3 3 12" xfId="28685"/>
    <cellStyle name="Procentowy 3 3 12 2" xfId="28686"/>
    <cellStyle name="Procentowy 3 3 13" xfId="28687"/>
    <cellStyle name="Procentowy 3 3 13 2" xfId="28688"/>
    <cellStyle name="Procentowy 3 3 14" xfId="28689"/>
    <cellStyle name="Procentowy 3 3 14 2" xfId="28690"/>
    <cellStyle name="Procentowy 3 3 15" xfId="28691"/>
    <cellStyle name="Procentowy 3 3 15 2" xfId="28692"/>
    <cellStyle name="Procentowy 3 3 16" xfId="28693"/>
    <cellStyle name="Procentowy 3 3 16 2" xfId="28694"/>
    <cellStyle name="Procentowy 3 3 17" xfId="28695"/>
    <cellStyle name="Procentowy 3 3 17 2" xfId="28696"/>
    <cellStyle name="Procentowy 3 3 18" xfId="28697"/>
    <cellStyle name="Procentowy 3 3 18 2" xfId="28698"/>
    <cellStyle name="Procentowy 3 3 19" xfId="28699"/>
    <cellStyle name="Procentowy 3 3 19 2" xfId="28700"/>
    <cellStyle name="Procentowy 3 3 2" xfId="28701"/>
    <cellStyle name="Procentowy 3 3 2 2" xfId="28702"/>
    <cellStyle name="Procentowy 3 3 2 3" xfId="28703"/>
    <cellStyle name="Procentowy 3 3 2 4" xfId="28704"/>
    <cellStyle name="Procentowy 3 3 2 5" xfId="28705"/>
    <cellStyle name="Procentowy 3 3 2 6" xfId="28706"/>
    <cellStyle name="Procentowy 3 3 2 7" xfId="28707"/>
    <cellStyle name="Procentowy 3 3 20" xfId="28708"/>
    <cellStyle name="Procentowy 3 3 20 2" xfId="28709"/>
    <cellStyle name="Procentowy 3 3 21" xfId="28710"/>
    <cellStyle name="Procentowy 3 3 21 2" xfId="28711"/>
    <cellStyle name="Procentowy 3 3 22" xfId="28712"/>
    <cellStyle name="Procentowy 3 3 22 2" xfId="28713"/>
    <cellStyle name="Procentowy 3 3 23" xfId="28714"/>
    <cellStyle name="Procentowy 3 3 23 2" xfId="28715"/>
    <cellStyle name="Procentowy 3 3 24" xfId="28716"/>
    <cellStyle name="Procentowy 3 3 24 2" xfId="28717"/>
    <cellStyle name="Procentowy 3 3 25" xfId="28718"/>
    <cellStyle name="Procentowy 3 3 25 2" xfId="28719"/>
    <cellStyle name="Procentowy 3 3 26" xfId="28720"/>
    <cellStyle name="Procentowy 3 3 26 2" xfId="28721"/>
    <cellStyle name="Procentowy 3 3 27" xfId="28722"/>
    <cellStyle name="Procentowy 3 3 27 2" xfId="28723"/>
    <cellStyle name="Procentowy 3 3 28" xfId="28724"/>
    <cellStyle name="Procentowy 3 3 28 2" xfId="28725"/>
    <cellStyle name="Procentowy 3 3 29" xfId="28726"/>
    <cellStyle name="Procentowy 3 3 29 2" xfId="28727"/>
    <cellStyle name="Procentowy 3 3 3" xfId="28728"/>
    <cellStyle name="Procentowy 3 3 3 2" xfId="28729"/>
    <cellStyle name="Procentowy 3 3 3 3" xfId="28730"/>
    <cellStyle name="Procentowy 3 3 3 4" xfId="28731"/>
    <cellStyle name="Procentowy 3 3 3 5" xfId="28732"/>
    <cellStyle name="Procentowy 3 3 3 6" xfId="28733"/>
    <cellStyle name="Procentowy 3 3 3 7" xfId="28734"/>
    <cellStyle name="Procentowy 3 3 30" xfId="28735"/>
    <cellStyle name="Procentowy 3 3 30 2" xfId="28736"/>
    <cellStyle name="Procentowy 3 3 31" xfId="28737"/>
    <cellStyle name="Procentowy 3 3 31 2" xfId="28738"/>
    <cellStyle name="Procentowy 3 3 32" xfId="28739"/>
    <cellStyle name="Procentowy 3 3 33" xfId="28740"/>
    <cellStyle name="Procentowy 3 3 34" xfId="28741"/>
    <cellStyle name="Procentowy 3 3 35" xfId="28742"/>
    <cellStyle name="Procentowy 3 3 36" xfId="28743"/>
    <cellStyle name="Procentowy 3 3 37" xfId="28744"/>
    <cellStyle name="Procentowy 3 3 38" xfId="28745"/>
    <cellStyle name="Procentowy 3 3 39" xfId="28746"/>
    <cellStyle name="Procentowy 3 3 4" xfId="28747"/>
    <cellStyle name="Procentowy 3 3 4 2" xfId="28748"/>
    <cellStyle name="Procentowy 3 3 4 3" xfId="28749"/>
    <cellStyle name="Procentowy 3 3 4 4" xfId="28750"/>
    <cellStyle name="Procentowy 3 3 4 5" xfId="28751"/>
    <cellStyle name="Procentowy 3 3 4 6" xfId="28752"/>
    <cellStyle name="Procentowy 3 3 4 7" xfId="28753"/>
    <cellStyle name="Procentowy 3 3 40" xfId="28754"/>
    <cellStyle name="Procentowy 3 3 41" xfId="28755"/>
    <cellStyle name="Procentowy 3 3 42" xfId="28756"/>
    <cellStyle name="Procentowy 3 3 43" xfId="28757"/>
    <cellStyle name="Procentowy 3 3 44" xfId="28758"/>
    <cellStyle name="Procentowy 3 3 45" xfId="28759"/>
    <cellStyle name="Procentowy 3 3 46" xfId="28760"/>
    <cellStyle name="Procentowy 3 3 47" xfId="28761"/>
    <cellStyle name="Procentowy 3 3 48" xfId="28762"/>
    <cellStyle name="Procentowy 3 3 49" xfId="28763"/>
    <cellStyle name="Procentowy 3 3 5" xfId="28764"/>
    <cellStyle name="Procentowy 3 3 5 2" xfId="28765"/>
    <cellStyle name="Procentowy 3 3 5 3" xfId="28766"/>
    <cellStyle name="Procentowy 3 3 5 4" xfId="28767"/>
    <cellStyle name="Procentowy 3 3 5 5" xfId="28768"/>
    <cellStyle name="Procentowy 3 3 5 6" xfId="28769"/>
    <cellStyle name="Procentowy 3 3 5 7" xfId="28770"/>
    <cellStyle name="Procentowy 3 3 50" xfId="28771"/>
    <cellStyle name="Procentowy 3 3 51" xfId="28772"/>
    <cellStyle name="Procentowy 3 3 52" xfId="28773"/>
    <cellStyle name="Procentowy 3 3 53" xfId="28774"/>
    <cellStyle name="Procentowy 3 3 54" xfId="28775"/>
    <cellStyle name="Procentowy 3 3 55" xfId="28776"/>
    <cellStyle name="Procentowy 3 3 56" xfId="28777"/>
    <cellStyle name="Procentowy 3 3 57" xfId="28778"/>
    <cellStyle name="Procentowy 3 3 58" xfId="28779"/>
    <cellStyle name="Procentowy 3 3 59" xfId="28780"/>
    <cellStyle name="Procentowy 3 3 6" xfId="28781"/>
    <cellStyle name="Procentowy 3 3 6 2" xfId="28782"/>
    <cellStyle name="Procentowy 3 3 60" xfId="28783"/>
    <cellStyle name="Procentowy 3 3 61" xfId="28784"/>
    <cellStyle name="Procentowy 3 3 62" xfId="28785"/>
    <cellStyle name="Procentowy 3 3 63" xfId="28786"/>
    <cellStyle name="Procentowy 3 3 64" xfId="28787"/>
    <cellStyle name="Procentowy 3 3 65" xfId="28788"/>
    <cellStyle name="Procentowy 3 3 66" xfId="28789"/>
    <cellStyle name="Procentowy 3 3 67" xfId="28790"/>
    <cellStyle name="Procentowy 3 3 68" xfId="28791"/>
    <cellStyle name="Procentowy 3 3 69" xfId="28792"/>
    <cellStyle name="Procentowy 3 3 7" xfId="28793"/>
    <cellStyle name="Procentowy 3 3 7 2" xfId="28794"/>
    <cellStyle name="Procentowy 3 3 70" xfId="28795"/>
    <cellStyle name="Procentowy 3 3 71" xfId="28796"/>
    <cellStyle name="Procentowy 3 3 72" xfId="28797"/>
    <cellStyle name="Procentowy 3 3 73" xfId="28798"/>
    <cellStyle name="Procentowy 3 3 74" xfId="28799"/>
    <cellStyle name="Procentowy 3 3 75" xfId="28800"/>
    <cellStyle name="Procentowy 3 3 8" xfId="28801"/>
    <cellStyle name="Procentowy 3 3 8 2" xfId="28802"/>
    <cellStyle name="Procentowy 3 3 9" xfId="28803"/>
    <cellStyle name="Procentowy 3 3 9 2" xfId="28804"/>
    <cellStyle name="Procentowy 3 30" xfId="28805"/>
    <cellStyle name="Procentowy 3 30 2" xfId="28806"/>
    <cellStyle name="Procentowy 3 31" xfId="28807"/>
    <cellStyle name="Procentowy 3 31 2" xfId="28808"/>
    <cellStyle name="Procentowy 3 32" xfId="28809"/>
    <cellStyle name="Procentowy 3 32 2" xfId="28810"/>
    <cellStyle name="Procentowy 3 33" xfId="28811"/>
    <cellStyle name="Procentowy 3 33 2" xfId="28812"/>
    <cellStyle name="Procentowy 3 34" xfId="28813"/>
    <cellStyle name="Procentowy 3 34 2" xfId="28814"/>
    <cellStyle name="Procentowy 3 35" xfId="28815"/>
    <cellStyle name="Procentowy 3 35 2" xfId="28816"/>
    <cellStyle name="Procentowy 3 36" xfId="28817"/>
    <cellStyle name="Procentowy 3 36 2" xfId="28818"/>
    <cellStyle name="Procentowy 3 37" xfId="28819"/>
    <cellStyle name="Procentowy 3 37 2" xfId="28820"/>
    <cellStyle name="Procentowy 3 38" xfId="28821"/>
    <cellStyle name="Procentowy 3 38 2" xfId="28822"/>
    <cellStyle name="Procentowy 3 39" xfId="28823"/>
    <cellStyle name="Procentowy 3 39 2" xfId="28824"/>
    <cellStyle name="Procentowy 3 4" xfId="28825"/>
    <cellStyle name="Procentowy 3 4 10" xfId="28826"/>
    <cellStyle name="Procentowy 3 4 10 2" xfId="28827"/>
    <cellStyle name="Procentowy 3 4 11" xfId="28828"/>
    <cellStyle name="Procentowy 3 4 11 2" xfId="28829"/>
    <cellStyle name="Procentowy 3 4 12" xfId="28830"/>
    <cellStyle name="Procentowy 3 4 12 2" xfId="28831"/>
    <cellStyle name="Procentowy 3 4 13" xfId="28832"/>
    <cellStyle name="Procentowy 3 4 13 2" xfId="28833"/>
    <cellStyle name="Procentowy 3 4 14" xfId="28834"/>
    <cellStyle name="Procentowy 3 4 14 2" xfId="28835"/>
    <cellStyle name="Procentowy 3 4 15" xfId="28836"/>
    <cellStyle name="Procentowy 3 4 15 2" xfId="28837"/>
    <cellStyle name="Procentowy 3 4 16" xfId="28838"/>
    <cellStyle name="Procentowy 3 4 16 2" xfId="28839"/>
    <cellStyle name="Procentowy 3 4 17" xfId="28840"/>
    <cellStyle name="Procentowy 3 4 17 2" xfId="28841"/>
    <cellStyle name="Procentowy 3 4 18" xfId="28842"/>
    <cellStyle name="Procentowy 3 4 18 2" xfId="28843"/>
    <cellStyle name="Procentowy 3 4 19" xfId="28844"/>
    <cellStyle name="Procentowy 3 4 19 2" xfId="28845"/>
    <cellStyle name="Procentowy 3 4 2" xfId="28846"/>
    <cellStyle name="Procentowy 3 4 2 2" xfId="28847"/>
    <cellStyle name="Procentowy 3 4 2 3" xfId="28848"/>
    <cellStyle name="Procentowy 3 4 2 4" xfId="28849"/>
    <cellStyle name="Procentowy 3 4 2 5" xfId="28850"/>
    <cellStyle name="Procentowy 3 4 2 6" xfId="28851"/>
    <cellStyle name="Procentowy 3 4 2 7" xfId="28852"/>
    <cellStyle name="Procentowy 3 4 20" xfId="28853"/>
    <cellStyle name="Procentowy 3 4 20 2" xfId="28854"/>
    <cellStyle name="Procentowy 3 4 21" xfId="28855"/>
    <cellStyle name="Procentowy 3 4 21 2" xfId="28856"/>
    <cellStyle name="Procentowy 3 4 22" xfId="28857"/>
    <cellStyle name="Procentowy 3 4 22 2" xfId="28858"/>
    <cellStyle name="Procentowy 3 4 23" xfId="28859"/>
    <cellStyle name="Procentowy 3 4 23 2" xfId="28860"/>
    <cellStyle name="Procentowy 3 4 24" xfId="28861"/>
    <cellStyle name="Procentowy 3 4 24 2" xfId="28862"/>
    <cellStyle name="Procentowy 3 4 25" xfId="28863"/>
    <cellStyle name="Procentowy 3 4 25 2" xfId="28864"/>
    <cellStyle name="Procentowy 3 4 26" xfId="28865"/>
    <cellStyle name="Procentowy 3 4 26 2" xfId="28866"/>
    <cellStyle name="Procentowy 3 4 27" xfId="28867"/>
    <cellStyle name="Procentowy 3 4 27 2" xfId="28868"/>
    <cellStyle name="Procentowy 3 4 28" xfId="28869"/>
    <cellStyle name="Procentowy 3 4 28 2" xfId="28870"/>
    <cellStyle name="Procentowy 3 4 29" xfId="28871"/>
    <cellStyle name="Procentowy 3 4 29 2" xfId="28872"/>
    <cellStyle name="Procentowy 3 4 3" xfId="28873"/>
    <cellStyle name="Procentowy 3 4 3 2" xfId="28874"/>
    <cellStyle name="Procentowy 3 4 3 3" xfId="28875"/>
    <cellStyle name="Procentowy 3 4 3 4" xfId="28876"/>
    <cellStyle name="Procentowy 3 4 3 5" xfId="28877"/>
    <cellStyle name="Procentowy 3 4 3 6" xfId="28878"/>
    <cellStyle name="Procentowy 3 4 3 7" xfId="28879"/>
    <cellStyle name="Procentowy 3 4 30" xfId="28880"/>
    <cellStyle name="Procentowy 3 4 30 2" xfId="28881"/>
    <cellStyle name="Procentowy 3 4 31" xfId="28882"/>
    <cellStyle name="Procentowy 3 4 31 2" xfId="28883"/>
    <cellStyle name="Procentowy 3 4 32" xfId="28884"/>
    <cellStyle name="Procentowy 3 4 33" xfId="28885"/>
    <cellStyle name="Procentowy 3 4 34" xfId="28886"/>
    <cellStyle name="Procentowy 3 4 35" xfId="28887"/>
    <cellStyle name="Procentowy 3 4 36" xfId="28888"/>
    <cellStyle name="Procentowy 3 4 37" xfId="28889"/>
    <cellStyle name="Procentowy 3 4 38" xfId="28890"/>
    <cellStyle name="Procentowy 3 4 39" xfId="28891"/>
    <cellStyle name="Procentowy 3 4 4" xfId="28892"/>
    <cellStyle name="Procentowy 3 4 4 2" xfId="28893"/>
    <cellStyle name="Procentowy 3 4 4 3" xfId="28894"/>
    <cellStyle name="Procentowy 3 4 4 4" xfId="28895"/>
    <cellStyle name="Procentowy 3 4 4 5" xfId="28896"/>
    <cellStyle name="Procentowy 3 4 4 6" xfId="28897"/>
    <cellStyle name="Procentowy 3 4 4 7" xfId="28898"/>
    <cellStyle name="Procentowy 3 4 40" xfId="28899"/>
    <cellStyle name="Procentowy 3 4 41" xfId="28900"/>
    <cellStyle name="Procentowy 3 4 42" xfId="28901"/>
    <cellStyle name="Procentowy 3 4 43" xfId="28902"/>
    <cellStyle name="Procentowy 3 4 44" xfId="28903"/>
    <cellStyle name="Procentowy 3 4 45" xfId="28904"/>
    <cellStyle name="Procentowy 3 4 46" xfId="28905"/>
    <cellStyle name="Procentowy 3 4 47" xfId="28906"/>
    <cellStyle name="Procentowy 3 4 48" xfId="28907"/>
    <cellStyle name="Procentowy 3 4 49" xfId="28908"/>
    <cellStyle name="Procentowy 3 4 5" xfId="28909"/>
    <cellStyle name="Procentowy 3 4 5 2" xfId="28910"/>
    <cellStyle name="Procentowy 3 4 5 3" xfId="28911"/>
    <cellStyle name="Procentowy 3 4 5 4" xfId="28912"/>
    <cellStyle name="Procentowy 3 4 5 5" xfId="28913"/>
    <cellStyle name="Procentowy 3 4 5 6" xfId="28914"/>
    <cellStyle name="Procentowy 3 4 5 7" xfId="28915"/>
    <cellStyle name="Procentowy 3 4 50" xfId="28916"/>
    <cellStyle name="Procentowy 3 4 51" xfId="28917"/>
    <cellStyle name="Procentowy 3 4 52" xfId="28918"/>
    <cellStyle name="Procentowy 3 4 53" xfId="28919"/>
    <cellStyle name="Procentowy 3 4 54" xfId="28920"/>
    <cellStyle name="Procentowy 3 4 55" xfId="28921"/>
    <cellStyle name="Procentowy 3 4 56" xfId="28922"/>
    <cellStyle name="Procentowy 3 4 57" xfId="28923"/>
    <cellStyle name="Procentowy 3 4 58" xfId="28924"/>
    <cellStyle name="Procentowy 3 4 59" xfId="28925"/>
    <cellStyle name="Procentowy 3 4 6" xfId="28926"/>
    <cellStyle name="Procentowy 3 4 6 2" xfId="28927"/>
    <cellStyle name="Procentowy 3 4 60" xfId="28928"/>
    <cellStyle name="Procentowy 3 4 61" xfId="28929"/>
    <cellStyle name="Procentowy 3 4 62" xfId="28930"/>
    <cellStyle name="Procentowy 3 4 63" xfId="28931"/>
    <cellStyle name="Procentowy 3 4 64" xfId="28932"/>
    <cellStyle name="Procentowy 3 4 65" xfId="28933"/>
    <cellStyle name="Procentowy 3 4 66" xfId="28934"/>
    <cellStyle name="Procentowy 3 4 67" xfId="28935"/>
    <cellStyle name="Procentowy 3 4 68" xfId="28936"/>
    <cellStyle name="Procentowy 3 4 69" xfId="28937"/>
    <cellStyle name="Procentowy 3 4 7" xfId="28938"/>
    <cellStyle name="Procentowy 3 4 7 2" xfId="28939"/>
    <cellStyle name="Procentowy 3 4 70" xfId="28940"/>
    <cellStyle name="Procentowy 3 4 71" xfId="28941"/>
    <cellStyle name="Procentowy 3 4 72" xfId="28942"/>
    <cellStyle name="Procentowy 3 4 73" xfId="28943"/>
    <cellStyle name="Procentowy 3 4 74" xfId="28944"/>
    <cellStyle name="Procentowy 3 4 75" xfId="28945"/>
    <cellStyle name="Procentowy 3 4 76" xfId="28946"/>
    <cellStyle name="Procentowy 3 4 8" xfId="28947"/>
    <cellStyle name="Procentowy 3 4 8 2" xfId="28948"/>
    <cellStyle name="Procentowy 3 4 9" xfId="28949"/>
    <cellStyle name="Procentowy 3 4 9 2" xfId="28950"/>
    <cellStyle name="Procentowy 3 40" xfId="28951"/>
    <cellStyle name="Procentowy 3 40 2" xfId="28952"/>
    <cellStyle name="Procentowy 3 41" xfId="28953"/>
    <cellStyle name="Procentowy 3 41 2" xfId="28954"/>
    <cellStyle name="Procentowy 3 42" xfId="28955"/>
    <cellStyle name="Procentowy 3 42 2" xfId="28956"/>
    <cellStyle name="Procentowy 3 43" xfId="28957"/>
    <cellStyle name="Procentowy 3 43 2" xfId="28958"/>
    <cellStyle name="Procentowy 3 44" xfId="28959"/>
    <cellStyle name="Procentowy 3 44 2" xfId="28960"/>
    <cellStyle name="Procentowy 3 45" xfId="28961"/>
    <cellStyle name="Procentowy 3 45 2" xfId="28962"/>
    <cellStyle name="Procentowy 3 46" xfId="28963"/>
    <cellStyle name="Procentowy 3 46 2" xfId="28964"/>
    <cellStyle name="Procentowy 3 47" xfId="28965"/>
    <cellStyle name="Procentowy 3 47 2" xfId="28966"/>
    <cellStyle name="Procentowy 3 48" xfId="28967"/>
    <cellStyle name="Procentowy 3 48 2" xfId="28968"/>
    <cellStyle name="Procentowy 3 49" xfId="28969"/>
    <cellStyle name="Procentowy 3 49 2" xfId="28970"/>
    <cellStyle name="Procentowy 3 5" xfId="28971"/>
    <cellStyle name="Procentowy 3 5 10" xfId="28972"/>
    <cellStyle name="Procentowy 3 5 10 2" xfId="28973"/>
    <cellStyle name="Procentowy 3 5 11" xfId="28974"/>
    <cellStyle name="Procentowy 3 5 11 2" xfId="28975"/>
    <cellStyle name="Procentowy 3 5 12" xfId="28976"/>
    <cellStyle name="Procentowy 3 5 12 2" xfId="28977"/>
    <cellStyle name="Procentowy 3 5 13" xfId="28978"/>
    <cellStyle name="Procentowy 3 5 13 2" xfId="28979"/>
    <cellStyle name="Procentowy 3 5 14" xfId="28980"/>
    <cellStyle name="Procentowy 3 5 14 2" xfId="28981"/>
    <cellStyle name="Procentowy 3 5 15" xfId="28982"/>
    <cellStyle name="Procentowy 3 5 15 2" xfId="28983"/>
    <cellStyle name="Procentowy 3 5 16" xfId="28984"/>
    <cellStyle name="Procentowy 3 5 16 2" xfId="28985"/>
    <cellStyle name="Procentowy 3 5 17" xfId="28986"/>
    <cellStyle name="Procentowy 3 5 17 2" xfId="28987"/>
    <cellStyle name="Procentowy 3 5 18" xfId="28988"/>
    <cellStyle name="Procentowy 3 5 18 2" xfId="28989"/>
    <cellStyle name="Procentowy 3 5 19" xfId="28990"/>
    <cellStyle name="Procentowy 3 5 19 2" xfId="28991"/>
    <cellStyle name="Procentowy 3 5 2" xfId="28992"/>
    <cellStyle name="Procentowy 3 5 2 2" xfId="28993"/>
    <cellStyle name="Procentowy 3 5 2 3" xfId="28994"/>
    <cellStyle name="Procentowy 3 5 2 4" xfId="28995"/>
    <cellStyle name="Procentowy 3 5 2 5" xfId="28996"/>
    <cellStyle name="Procentowy 3 5 2 6" xfId="28997"/>
    <cellStyle name="Procentowy 3 5 2 7" xfId="28998"/>
    <cellStyle name="Procentowy 3 5 20" xfId="28999"/>
    <cellStyle name="Procentowy 3 5 20 2" xfId="29000"/>
    <cellStyle name="Procentowy 3 5 21" xfId="29001"/>
    <cellStyle name="Procentowy 3 5 21 2" xfId="29002"/>
    <cellStyle name="Procentowy 3 5 22" xfId="29003"/>
    <cellStyle name="Procentowy 3 5 22 2" xfId="29004"/>
    <cellStyle name="Procentowy 3 5 23" xfId="29005"/>
    <cellStyle name="Procentowy 3 5 23 2" xfId="29006"/>
    <cellStyle name="Procentowy 3 5 24" xfId="29007"/>
    <cellStyle name="Procentowy 3 5 24 2" xfId="29008"/>
    <cellStyle name="Procentowy 3 5 25" xfId="29009"/>
    <cellStyle name="Procentowy 3 5 25 2" xfId="29010"/>
    <cellStyle name="Procentowy 3 5 26" xfId="29011"/>
    <cellStyle name="Procentowy 3 5 26 2" xfId="29012"/>
    <cellStyle name="Procentowy 3 5 27" xfId="29013"/>
    <cellStyle name="Procentowy 3 5 27 2" xfId="29014"/>
    <cellStyle name="Procentowy 3 5 28" xfId="29015"/>
    <cellStyle name="Procentowy 3 5 28 2" xfId="29016"/>
    <cellStyle name="Procentowy 3 5 29" xfId="29017"/>
    <cellStyle name="Procentowy 3 5 29 2" xfId="29018"/>
    <cellStyle name="Procentowy 3 5 3" xfId="29019"/>
    <cellStyle name="Procentowy 3 5 3 2" xfId="29020"/>
    <cellStyle name="Procentowy 3 5 3 3" xfId="29021"/>
    <cellStyle name="Procentowy 3 5 3 4" xfId="29022"/>
    <cellStyle name="Procentowy 3 5 3 5" xfId="29023"/>
    <cellStyle name="Procentowy 3 5 3 6" xfId="29024"/>
    <cellStyle name="Procentowy 3 5 3 7" xfId="29025"/>
    <cellStyle name="Procentowy 3 5 30" xfId="29026"/>
    <cellStyle name="Procentowy 3 5 30 2" xfId="29027"/>
    <cellStyle name="Procentowy 3 5 31" xfId="29028"/>
    <cellStyle name="Procentowy 3 5 31 2" xfId="29029"/>
    <cellStyle name="Procentowy 3 5 32" xfId="29030"/>
    <cellStyle name="Procentowy 3 5 33" xfId="29031"/>
    <cellStyle name="Procentowy 3 5 34" xfId="29032"/>
    <cellStyle name="Procentowy 3 5 35" xfId="29033"/>
    <cellStyle name="Procentowy 3 5 36" xfId="29034"/>
    <cellStyle name="Procentowy 3 5 37" xfId="29035"/>
    <cellStyle name="Procentowy 3 5 38" xfId="29036"/>
    <cellStyle name="Procentowy 3 5 39" xfId="29037"/>
    <cellStyle name="Procentowy 3 5 4" xfId="29038"/>
    <cellStyle name="Procentowy 3 5 4 2" xfId="29039"/>
    <cellStyle name="Procentowy 3 5 4 3" xfId="29040"/>
    <cellStyle name="Procentowy 3 5 4 4" xfId="29041"/>
    <cellStyle name="Procentowy 3 5 4 5" xfId="29042"/>
    <cellStyle name="Procentowy 3 5 4 6" xfId="29043"/>
    <cellStyle name="Procentowy 3 5 4 7" xfId="29044"/>
    <cellStyle name="Procentowy 3 5 40" xfId="29045"/>
    <cellStyle name="Procentowy 3 5 41" xfId="29046"/>
    <cellStyle name="Procentowy 3 5 42" xfId="29047"/>
    <cellStyle name="Procentowy 3 5 43" xfId="29048"/>
    <cellStyle name="Procentowy 3 5 44" xfId="29049"/>
    <cellStyle name="Procentowy 3 5 45" xfId="29050"/>
    <cellStyle name="Procentowy 3 5 46" xfId="29051"/>
    <cellStyle name="Procentowy 3 5 47" xfId="29052"/>
    <cellStyle name="Procentowy 3 5 48" xfId="29053"/>
    <cellStyle name="Procentowy 3 5 49" xfId="29054"/>
    <cellStyle name="Procentowy 3 5 5" xfId="29055"/>
    <cellStyle name="Procentowy 3 5 5 2" xfId="29056"/>
    <cellStyle name="Procentowy 3 5 5 3" xfId="29057"/>
    <cellStyle name="Procentowy 3 5 5 4" xfId="29058"/>
    <cellStyle name="Procentowy 3 5 5 5" xfId="29059"/>
    <cellStyle name="Procentowy 3 5 5 6" xfId="29060"/>
    <cellStyle name="Procentowy 3 5 5 7" xfId="29061"/>
    <cellStyle name="Procentowy 3 5 50" xfId="29062"/>
    <cellStyle name="Procentowy 3 5 51" xfId="29063"/>
    <cellStyle name="Procentowy 3 5 52" xfId="29064"/>
    <cellStyle name="Procentowy 3 5 53" xfId="29065"/>
    <cellStyle name="Procentowy 3 5 54" xfId="29066"/>
    <cellStyle name="Procentowy 3 5 55" xfId="29067"/>
    <cellStyle name="Procentowy 3 5 56" xfId="29068"/>
    <cellStyle name="Procentowy 3 5 57" xfId="29069"/>
    <cellStyle name="Procentowy 3 5 58" xfId="29070"/>
    <cellStyle name="Procentowy 3 5 59" xfId="29071"/>
    <cellStyle name="Procentowy 3 5 6" xfId="29072"/>
    <cellStyle name="Procentowy 3 5 6 2" xfId="29073"/>
    <cellStyle name="Procentowy 3 5 60" xfId="29074"/>
    <cellStyle name="Procentowy 3 5 61" xfId="29075"/>
    <cellStyle name="Procentowy 3 5 62" xfId="29076"/>
    <cellStyle name="Procentowy 3 5 63" xfId="29077"/>
    <cellStyle name="Procentowy 3 5 64" xfId="29078"/>
    <cellStyle name="Procentowy 3 5 65" xfId="29079"/>
    <cellStyle name="Procentowy 3 5 66" xfId="29080"/>
    <cellStyle name="Procentowy 3 5 67" xfId="29081"/>
    <cellStyle name="Procentowy 3 5 68" xfId="29082"/>
    <cellStyle name="Procentowy 3 5 69" xfId="29083"/>
    <cellStyle name="Procentowy 3 5 7" xfId="29084"/>
    <cellStyle name="Procentowy 3 5 7 2" xfId="29085"/>
    <cellStyle name="Procentowy 3 5 70" xfId="29086"/>
    <cellStyle name="Procentowy 3 5 71" xfId="29087"/>
    <cellStyle name="Procentowy 3 5 72" xfId="29088"/>
    <cellStyle name="Procentowy 3 5 73" xfId="29089"/>
    <cellStyle name="Procentowy 3 5 74" xfId="29090"/>
    <cellStyle name="Procentowy 3 5 8" xfId="29091"/>
    <cellStyle name="Procentowy 3 5 8 2" xfId="29092"/>
    <cellStyle name="Procentowy 3 5 9" xfId="29093"/>
    <cellStyle name="Procentowy 3 5 9 2" xfId="29094"/>
    <cellStyle name="Procentowy 3 50" xfId="29095"/>
    <cellStyle name="Procentowy 3 50 2" xfId="29096"/>
    <cellStyle name="Procentowy 3 51" xfId="29097"/>
    <cellStyle name="Procentowy 3 51 2" xfId="29098"/>
    <cellStyle name="Procentowy 3 52" xfId="29099"/>
    <cellStyle name="Procentowy 3 52 2" xfId="29100"/>
    <cellStyle name="Procentowy 3 53" xfId="29101"/>
    <cellStyle name="Procentowy 3 53 2" xfId="29102"/>
    <cellStyle name="Procentowy 3 54" xfId="29103"/>
    <cellStyle name="Procentowy 3 54 2" xfId="29104"/>
    <cellStyle name="Procentowy 3 55" xfId="29105"/>
    <cellStyle name="Procentowy 3 55 2" xfId="29106"/>
    <cellStyle name="Procentowy 3 56" xfId="29107"/>
    <cellStyle name="Procentowy 3 56 2" xfId="29108"/>
    <cellStyle name="Procentowy 3 57" xfId="29109"/>
    <cellStyle name="Procentowy 3 57 2" xfId="29110"/>
    <cellStyle name="Procentowy 3 58" xfId="29111"/>
    <cellStyle name="Procentowy 3 58 2" xfId="29112"/>
    <cellStyle name="Procentowy 3 59" xfId="29113"/>
    <cellStyle name="Procentowy 3 59 2" xfId="29114"/>
    <cellStyle name="Procentowy 3 6" xfId="29115"/>
    <cellStyle name="Procentowy 3 6 10" xfId="29116"/>
    <cellStyle name="Procentowy 3 6 10 2" xfId="29117"/>
    <cellStyle name="Procentowy 3 6 11" xfId="29118"/>
    <cellStyle name="Procentowy 3 6 11 2" xfId="29119"/>
    <cellStyle name="Procentowy 3 6 12" xfId="29120"/>
    <cellStyle name="Procentowy 3 6 12 2" xfId="29121"/>
    <cellStyle name="Procentowy 3 6 13" xfId="29122"/>
    <cellStyle name="Procentowy 3 6 13 2" xfId="29123"/>
    <cellStyle name="Procentowy 3 6 14" xfId="29124"/>
    <cellStyle name="Procentowy 3 6 14 2" xfId="29125"/>
    <cellStyle name="Procentowy 3 6 15" xfId="29126"/>
    <cellStyle name="Procentowy 3 6 15 2" xfId="29127"/>
    <cellStyle name="Procentowy 3 6 16" xfId="29128"/>
    <cellStyle name="Procentowy 3 6 16 2" xfId="29129"/>
    <cellStyle name="Procentowy 3 6 17" xfId="29130"/>
    <cellStyle name="Procentowy 3 6 17 2" xfId="29131"/>
    <cellStyle name="Procentowy 3 6 18" xfId="29132"/>
    <cellStyle name="Procentowy 3 6 18 2" xfId="29133"/>
    <cellStyle name="Procentowy 3 6 19" xfId="29134"/>
    <cellStyle name="Procentowy 3 6 19 2" xfId="29135"/>
    <cellStyle name="Procentowy 3 6 2" xfId="29136"/>
    <cellStyle name="Procentowy 3 6 2 2" xfId="29137"/>
    <cellStyle name="Procentowy 3 6 2 3" xfId="29138"/>
    <cellStyle name="Procentowy 3 6 2 4" xfId="29139"/>
    <cellStyle name="Procentowy 3 6 2 5" xfId="29140"/>
    <cellStyle name="Procentowy 3 6 2 6" xfId="29141"/>
    <cellStyle name="Procentowy 3 6 2 7" xfId="29142"/>
    <cellStyle name="Procentowy 3 6 20" xfId="29143"/>
    <cellStyle name="Procentowy 3 6 20 2" xfId="29144"/>
    <cellStyle name="Procentowy 3 6 21" xfId="29145"/>
    <cellStyle name="Procentowy 3 6 21 2" xfId="29146"/>
    <cellStyle name="Procentowy 3 6 22" xfId="29147"/>
    <cellStyle name="Procentowy 3 6 22 2" xfId="29148"/>
    <cellStyle name="Procentowy 3 6 23" xfId="29149"/>
    <cellStyle name="Procentowy 3 6 23 2" xfId="29150"/>
    <cellStyle name="Procentowy 3 6 24" xfId="29151"/>
    <cellStyle name="Procentowy 3 6 24 2" xfId="29152"/>
    <cellStyle name="Procentowy 3 6 25" xfId="29153"/>
    <cellStyle name="Procentowy 3 6 25 2" xfId="29154"/>
    <cellStyle name="Procentowy 3 6 26" xfId="29155"/>
    <cellStyle name="Procentowy 3 6 26 2" xfId="29156"/>
    <cellStyle name="Procentowy 3 6 27" xfId="29157"/>
    <cellStyle name="Procentowy 3 6 27 2" xfId="29158"/>
    <cellStyle name="Procentowy 3 6 28" xfId="29159"/>
    <cellStyle name="Procentowy 3 6 28 2" xfId="29160"/>
    <cellStyle name="Procentowy 3 6 29" xfId="29161"/>
    <cellStyle name="Procentowy 3 6 29 2" xfId="29162"/>
    <cellStyle name="Procentowy 3 6 3" xfId="29163"/>
    <cellStyle name="Procentowy 3 6 3 2" xfId="29164"/>
    <cellStyle name="Procentowy 3 6 3 3" xfId="29165"/>
    <cellStyle name="Procentowy 3 6 3 4" xfId="29166"/>
    <cellStyle name="Procentowy 3 6 3 5" xfId="29167"/>
    <cellStyle name="Procentowy 3 6 3 6" xfId="29168"/>
    <cellStyle name="Procentowy 3 6 3 7" xfId="29169"/>
    <cellStyle name="Procentowy 3 6 30" xfId="29170"/>
    <cellStyle name="Procentowy 3 6 30 2" xfId="29171"/>
    <cellStyle name="Procentowy 3 6 31" xfId="29172"/>
    <cellStyle name="Procentowy 3 6 31 2" xfId="29173"/>
    <cellStyle name="Procentowy 3 6 32" xfId="29174"/>
    <cellStyle name="Procentowy 3 6 33" xfId="29175"/>
    <cellStyle name="Procentowy 3 6 34" xfId="29176"/>
    <cellStyle name="Procentowy 3 6 35" xfId="29177"/>
    <cellStyle name="Procentowy 3 6 36" xfId="29178"/>
    <cellStyle name="Procentowy 3 6 37" xfId="29179"/>
    <cellStyle name="Procentowy 3 6 38" xfId="29180"/>
    <cellStyle name="Procentowy 3 6 39" xfId="29181"/>
    <cellStyle name="Procentowy 3 6 4" xfId="29182"/>
    <cellStyle name="Procentowy 3 6 4 2" xfId="29183"/>
    <cellStyle name="Procentowy 3 6 4 3" xfId="29184"/>
    <cellStyle name="Procentowy 3 6 4 4" xfId="29185"/>
    <cellStyle name="Procentowy 3 6 4 5" xfId="29186"/>
    <cellStyle name="Procentowy 3 6 4 6" xfId="29187"/>
    <cellStyle name="Procentowy 3 6 4 7" xfId="29188"/>
    <cellStyle name="Procentowy 3 6 40" xfId="29189"/>
    <cellStyle name="Procentowy 3 6 41" xfId="29190"/>
    <cellStyle name="Procentowy 3 6 42" xfId="29191"/>
    <cellStyle name="Procentowy 3 6 43" xfId="29192"/>
    <cellStyle name="Procentowy 3 6 44" xfId="29193"/>
    <cellStyle name="Procentowy 3 6 45" xfId="29194"/>
    <cellStyle name="Procentowy 3 6 46" xfId="29195"/>
    <cellStyle name="Procentowy 3 6 47" xfId="29196"/>
    <cellStyle name="Procentowy 3 6 48" xfId="29197"/>
    <cellStyle name="Procentowy 3 6 49" xfId="29198"/>
    <cellStyle name="Procentowy 3 6 5" xfId="29199"/>
    <cellStyle name="Procentowy 3 6 5 2" xfId="29200"/>
    <cellStyle name="Procentowy 3 6 5 3" xfId="29201"/>
    <cellStyle name="Procentowy 3 6 5 4" xfId="29202"/>
    <cellStyle name="Procentowy 3 6 5 5" xfId="29203"/>
    <cellStyle name="Procentowy 3 6 5 6" xfId="29204"/>
    <cellStyle name="Procentowy 3 6 5 7" xfId="29205"/>
    <cellStyle name="Procentowy 3 6 50" xfId="29206"/>
    <cellStyle name="Procentowy 3 6 51" xfId="29207"/>
    <cellStyle name="Procentowy 3 6 52" xfId="29208"/>
    <cellStyle name="Procentowy 3 6 53" xfId="29209"/>
    <cellStyle name="Procentowy 3 6 54" xfId="29210"/>
    <cellStyle name="Procentowy 3 6 55" xfId="29211"/>
    <cellStyle name="Procentowy 3 6 56" xfId="29212"/>
    <cellStyle name="Procentowy 3 6 57" xfId="29213"/>
    <cellStyle name="Procentowy 3 6 58" xfId="29214"/>
    <cellStyle name="Procentowy 3 6 59" xfId="29215"/>
    <cellStyle name="Procentowy 3 6 6" xfId="29216"/>
    <cellStyle name="Procentowy 3 6 6 2" xfId="29217"/>
    <cellStyle name="Procentowy 3 6 60" xfId="29218"/>
    <cellStyle name="Procentowy 3 6 61" xfId="29219"/>
    <cellStyle name="Procentowy 3 6 62" xfId="29220"/>
    <cellStyle name="Procentowy 3 6 63" xfId="29221"/>
    <cellStyle name="Procentowy 3 6 64" xfId="29222"/>
    <cellStyle name="Procentowy 3 6 65" xfId="29223"/>
    <cellStyle name="Procentowy 3 6 66" xfId="29224"/>
    <cellStyle name="Procentowy 3 6 67" xfId="29225"/>
    <cellStyle name="Procentowy 3 6 68" xfId="29226"/>
    <cellStyle name="Procentowy 3 6 69" xfId="29227"/>
    <cellStyle name="Procentowy 3 6 7" xfId="29228"/>
    <cellStyle name="Procentowy 3 6 7 2" xfId="29229"/>
    <cellStyle name="Procentowy 3 6 70" xfId="29230"/>
    <cellStyle name="Procentowy 3 6 71" xfId="29231"/>
    <cellStyle name="Procentowy 3 6 72" xfId="29232"/>
    <cellStyle name="Procentowy 3 6 73" xfId="29233"/>
    <cellStyle name="Procentowy 3 6 74" xfId="29234"/>
    <cellStyle name="Procentowy 3 6 8" xfId="29235"/>
    <cellStyle name="Procentowy 3 6 8 2" xfId="29236"/>
    <cellStyle name="Procentowy 3 6 9" xfId="29237"/>
    <cellStyle name="Procentowy 3 6 9 2" xfId="29238"/>
    <cellStyle name="Procentowy 3 60" xfId="29239"/>
    <cellStyle name="Procentowy 3 60 2" xfId="29240"/>
    <cellStyle name="Procentowy 3 61" xfId="29241"/>
    <cellStyle name="Procentowy 3 61 2" xfId="29242"/>
    <cellStyle name="Procentowy 3 62" xfId="29243"/>
    <cellStyle name="Procentowy 3 62 2" xfId="29244"/>
    <cellStyle name="Procentowy 3 63" xfId="29245"/>
    <cellStyle name="Procentowy 3 63 2" xfId="29246"/>
    <cellStyle name="Procentowy 3 64" xfId="29247"/>
    <cellStyle name="Procentowy 3 64 2" xfId="29248"/>
    <cellStyle name="Procentowy 3 65" xfId="29249"/>
    <cellStyle name="Procentowy 3 65 2" xfId="29250"/>
    <cellStyle name="Procentowy 3 66" xfId="29251"/>
    <cellStyle name="Procentowy 3 66 2" xfId="29252"/>
    <cellStyle name="Procentowy 3 67" xfId="29253"/>
    <cellStyle name="Procentowy 3 67 2" xfId="29254"/>
    <cellStyle name="Procentowy 3 68" xfId="29255"/>
    <cellStyle name="Procentowy 3 68 2" xfId="29256"/>
    <cellStyle name="Procentowy 3 69" xfId="29257"/>
    <cellStyle name="Procentowy 3 69 2" xfId="29258"/>
    <cellStyle name="Procentowy 3 7" xfId="29259"/>
    <cellStyle name="Procentowy 3 7 10" xfId="29260"/>
    <cellStyle name="Procentowy 3 7 10 2" xfId="29261"/>
    <cellStyle name="Procentowy 3 7 11" xfId="29262"/>
    <cellStyle name="Procentowy 3 7 11 2" xfId="29263"/>
    <cellStyle name="Procentowy 3 7 12" xfId="29264"/>
    <cellStyle name="Procentowy 3 7 12 2" xfId="29265"/>
    <cellStyle name="Procentowy 3 7 13" xfId="29266"/>
    <cellStyle name="Procentowy 3 7 13 2" xfId="29267"/>
    <cellStyle name="Procentowy 3 7 14" xfId="29268"/>
    <cellStyle name="Procentowy 3 7 14 2" xfId="29269"/>
    <cellStyle name="Procentowy 3 7 15" xfId="29270"/>
    <cellStyle name="Procentowy 3 7 15 2" xfId="29271"/>
    <cellStyle name="Procentowy 3 7 16" xfId="29272"/>
    <cellStyle name="Procentowy 3 7 16 2" xfId="29273"/>
    <cellStyle name="Procentowy 3 7 17" xfId="29274"/>
    <cellStyle name="Procentowy 3 7 17 2" xfId="29275"/>
    <cellStyle name="Procentowy 3 7 18" xfId="29276"/>
    <cellStyle name="Procentowy 3 7 18 2" xfId="29277"/>
    <cellStyle name="Procentowy 3 7 19" xfId="29278"/>
    <cellStyle name="Procentowy 3 7 19 2" xfId="29279"/>
    <cellStyle name="Procentowy 3 7 2" xfId="29280"/>
    <cellStyle name="Procentowy 3 7 2 2" xfId="29281"/>
    <cellStyle name="Procentowy 3 7 2 3" xfId="29282"/>
    <cellStyle name="Procentowy 3 7 2 4" xfId="29283"/>
    <cellStyle name="Procentowy 3 7 2 5" xfId="29284"/>
    <cellStyle name="Procentowy 3 7 2 6" xfId="29285"/>
    <cellStyle name="Procentowy 3 7 2 7" xfId="29286"/>
    <cellStyle name="Procentowy 3 7 20" xfId="29287"/>
    <cellStyle name="Procentowy 3 7 20 2" xfId="29288"/>
    <cellStyle name="Procentowy 3 7 21" xfId="29289"/>
    <cellStyle name="Procentowy 3 7 21 2" xfId="29290"/>
    <cellStyle name="Procentowy 3 7 22" xfId="29291"/>
    <cellStyle name="Procentowy 3 7 22 2" xfId="29292"/>
    <cellStyle name="Procentowy 3 7 23" xfId="29293"/>
    <cellStyle name="Procentowy 3 7 23 2" xfId="29294"/>
    <cellStyle name="Procentowy 3 7 24" xfId="29295"/>
    <cellStyle name="Procentowy 3 7 24 2" xfId="29296"/>
    <cellStyle name="Procentowy 3 7 25" xfId="29297"/>
    <cellStyle name="Procentowy 3 7 25 2" xfId="29298"/>
    <cellStyle name="Procentowy 3 7 26" xfId="29299"/>
    <cellStyle name="Procentowy 3 7 26 2" xfId="29300"/>
    <cellStyle name="Procentowy 3 7 27" xfId="29301"/>
    <cellStyle name="Procentowy 3 7 27 2" xfId="29302"/>
    <cellStyle name="Procentowy 3 7 28" xfId="29303"/>
    <cellStyle name="Procentowy 3 7 28 2" xfId="29304"/>
    <cellStyle name="Procentowy 3 7 29" xfId="29305"/>
    <cellStyle name="Procentowy 3 7 29 2" xfId="29306"/>
    <cellStyle name="Procentowy 3 7 3" xfId="29307"/>
    <cellStyle name="Procentowy 3 7 3 2" xfId="29308"/>
    <cellStyle name="Procentowy 3 7 3 3" xfId="29309"/>
    <cellStyle name="Procentowy 3 7 3 4" xfId="29310"/>
    <cellStyle name="Procentowy 3 7 3 5" xfId="29311"/>
    <cellStyle name="Procentowy 3 7 3 6" xfId="29312"/>
    <cellStyle name="Procentowy 3 7 3 7" xfId="29313"/>
    <cellStyle name="Procentowy 3 7 30" xfId="29314"/>
    <cellStyle name="Procentowy 3 7 30 2" xfId="29315"/>
    <cellStyle name="Procentowy 3 7 31" xfId="29316"/>
    <cellStyle name="Procentowy 3 7 31 2" xfId="29317"/>
    <cellStyle name="Procentowy 3 7 32" xfId="29318"/>
    <cellStyle name="Procentowy 3 7 33" xfId="29319"/>
    <cellStyle name="Procentowy 3 7 34" xfId="29320"/>
    <cellStyle name="Procentowy 3 7 35" xfId="29321"/>
    <cellStyle name="Procentowy 3 7 36" xfId="29322"/>
    <cellStyle name="Procentowy 3 7 37" xfId="29323"/>
    <cellStyle name="Procentowy 3 7 38" xfId="29324"/>
    <cellStyle name="Procentowy 3 7 39" xfId="29325"/>
    <cellStyle name="Procentowy 3 7 4" xfId="29326"/>
    <cellStyle name="Procentowy 3 7 4 2" xfId="29327"/>
    <cellStyle name="Procentowy 3 7 4 3" xfId="29328"/>
    <cellStyle name="Procentowy 3 7 4 4" xfId="29329"/>
    <cellStyle name="Procentowy 3 7 4 5" xfId="29330"/>
    <cellStyle name="Procentowy 3 7 4 6" xfId="29331"/>
    <cellStyle name="Procentowy 3 7 4 7" xfId="29332"/>
    <cellStyle name="Procentowy 3 7 40" xfId="29333"/>
    <cellStyle name="Procentowy 3 7 41" xfId="29334"/>
    <cellStyle name="Procentowy 3 7 42" xfId="29335"/>
    <cellStyle name="Procentowy 3 7 43" xfId="29336"/>
    <cellStyle name="Procentowy 3 7 44" xfId="29337"/>
    <cellStyle name="Procentowy 3 7 45" xfId="29338"/>
    <cellStyle name="Procentowy 3 7 46" xfId="29339"/>
    <cellStyle name="Procentowy 3 7 47" xfId="29340"/>
    <cellStyle name="Procentowy 3 7 48" xfId="29341"/>
    <cellStyle name="Procentowy 3 7 49" xfId="29342"/>
    <cellStyle name="Procentowy 3 7 5" xfId="29343"/>
    <cellStyle name="Procentowy 3 7 5 2" xfId="29344"/>
    <cellStyle name="Procentowy 3 7 5 3" xfId="29345"/>
    <cellStyle name="Procentowy 3 7 5 4" xfId="29346"/>
    <cellStyle name="Procentowy 3 7 5 5" xfId="29347"/>
    <cellStyle name="Procentowy 3 7 5 6" xfId="29348"/>
    <cellStyle name="Procentowy 3 7 5 7" xfId="29349"/>
    <cellStyle name="Procentowy 3 7 50" xfId="29350"/>
    <cellStyle name="Procentowy 3 7 51" xfId="29351"/>
    <cellStyle name="Procentowy 3 7 52" xfId="29352"/>
    <cellStyle name="Procentowy 3 7 53" xfId="29353"/>
    <cellStyle name="Procentowy 3 7 54" xfId="29354"/>
    <cellStyle name="Procentowy 3 7 55" xfId="29355"/>
    <cellStyle name="Procentowy 3 7 56" xfId="29356"/>
    <cellStyle name="Procentowy 3 7 57" xfId="29357"/>
    <cellStyle name="Procentowy 3 7 58" xfId="29358"/>
    <cellStyle name="Procentowy 3 7 59" xfId="29359"/>
    <cellStyle name="Procentowy 3 7 6" xfId="29360"/>
    <cellStyle name="Procentowy 3 7 6 2" xfId="29361"/>
    <cellStyle name="Procentowy 3 7 60" xfId="29362"/>
    <cellStyle name="Procentowy 3 7 61" xfId="29363"/>
    <cellStyle name="Procentowy 3 7 62" xfId="29364"/>
    <cellStyle name="Procentowy 3 7 63" xfId="29365"/>
    <cellStyle name="Procentowy 3 7 64" xfId="29366"/>
    <cellStyle name="Procentowy 3 7 65" xfId="29367"/>
    <cellStyle name="Procentowy 3 7 66" xfId="29368"/>
    <cellStyle name="Procentowy 3 7 67" xfId="29369"/>
    <cellStyle name="Procentowy 3 7 68" xfId="29370"/>
    <cellStyle name="Procentowy 3 7 69" xfId="29371"/>
    <cellStyle name="Procentowy 3 7 7" xfId="29372"/>
    <cellStyle name="Procentowy 3 7 7 2" xfId="29373"/>
    <cellStyle name="Procentowy 3 7 70" xfId="29374"/>
    <cellStyle name="Procentowy 3 7 71" xfId="29375"/>
    <cellStyle name="Procentowy 3 7 72" xfId="29376"/>
    <cellStyle name="Procentowy 3 7 73" xfId="29377"/>
    <cellStyle name="Procentowy 3 7 74" xfId="29378"/>
    <cellStyle name="Procentowy 3 7 8" xfId="29379"/>
    <cellStyle name="Procentowy 3 7 8 2" xfId="29380"/>
    <cellStyle name="Procentowy 3 7 9" xfId="29381"/>
    <cellStyle name="Procentowy 3 7 9 2" xfId="29382"/>
    <cellStyle name="Procentowy 3 70" xfId="29383"/>
    <cellStyle name="Procentowy 3 71" xfId="29384"/>
    <cellStyle name="Procentowy 3 72" xfId="29385"/>
    <cellStyle name="Procentowy 3 73" xfId="29386"/>
    <cellStyle name="Procentowy 3 74" xfId="29387"/>
    <cellStyle name="Procentowy 3 75" xfId="29388"/>
    <cellStyle name="Procentowy 3 76" xfId="29389"/>
    <cellStyle name="Procentowy 3 77" xfId="29390"/>
    <cellStyle name="Procentowy 3 78" xfId="29391"/>
    <cellStyle name="Procentowy 3 79" xfId="29392"/>
    <cellStyle name="Procentowy 3 8" xfId="29393"/>
    <cellStyle name="Procentowy 3 8 10" xfId="29394"/>
    <cellStyle name="Procentowy 3 8 10 2" xfId="29395"/>
    <cellStyle name="Procentowy 3 8 11" xfId="29396"/>
    <cellStyle name="Procentowy 3 8 11 2" xfId="29397"/>
    <cellStyle name="Procentowy 3 8 12" xfId="29398"/>
    <cellStyle name="Procentowy 3 8 12 2" xfId="29399"/>
    <cellStyle name="Procentowy 3 8 13" xfId="29400"/>
    <cellStyle name="Procentowy 3 8 13 2" xfId="29401"/>
    <cellStyle name="Procentowy 3 8 14" xfId="29402"/>
    <cellStyle name="Procentowy 3 8 14 2" xfId="29403"/>
    <cellStyle name="Procentowy 3 8 15" xfId="29404"/>
    <cellStyle name="Procentowy 3 8 15 2" xfId="29405"/>
    <cellStyle name="Procentowy 3 8 16" xfId="29406"/>
    <cellStyle name="Procentowy 3 8 16 2" xfId="29407"/>
    <cellStyle name="Procentowy 3 8 17" xfId="29408"/>
    <cellStyle name="Procentowy 3 8 17 2" xfId="29409"/>
    <cellStyle name="Procentowy 3 8 18" xfId="29410"/>
    <cellStyle name="Procentowy 3 8 18 2" xfId="29411"/>
    <cellStyle name="Procentowy 3 8 19" xfId="29412"/>
    <cellStyle name="Procentowy 3 8 19 2" xfId="29413"/>
    <cellStyle name="Procentowy 3 8 2" xfId="29414"/>
    <cellStyle name="Procentowy 3 8 2 2" xfId="29415"/>
    <cellStyle name="Procentowy 3 8 2 3" xfId="29416"/>
    <cellStyle name="Procentowy 3 8 2 4" xfId="29417"/>
    <cellStyle name="Procentowy 3 8 2 5" xfId="29418"/>
    <cellStyle name="Procentowy 3 8 2 6" xfId="29419"/>
    <cellStyle name="Procentowy 3 8 2 7" xfId="29420"/>
    <cellStyle name="Procentowy 3 8 20" xfId="29421"/>
    <cellStyle name="Procentowy 3 8 20 2" xfId="29422"/>
    <cellStyle name="Procentowy 3 8 21" xfId="29423"/>
    <cellStyle name="Procentowy 3 8 21 2" xfId="29424"/>
    <cellStyle name="Procentowy 3 8 22" xfId="29425"/>
    <cellStyle name="Procentowy 3 8 22 2" xfId="29426"/>
    <cellStyle name="Procentowy 3 8 23" xfId="29427"/>
    <cellStyle name="Procentowy 3 8 23 2" xfId="29428"/>
    <cellStyle name="Procentowy 3 8 24" xfId="29429"/>
    <cellStyle name="Procentowy 3 8 24 2" xfId="29430"/>
    <cellStyle name="Procentowy 3 8 25" xfId="29431"/>
    <cellStyle name="Procentowy 3 8 25 2" xfId="29432"/>
    <cellStyle name="Procentowy 3 8 26" xfId="29433"/>
    <cellStyle name="Procentowy 3 8 26 2" xfId="29434"/>
    <cellStyle name="Procentowy 3 8 27" xfId="29435"/>
    <cellStyle name="Procentowy 3 8 27 2" xfId="29436"/>
    <cellStyle name="Procentowy 3 8 28" xfId="29437"/>
    <cellStyle name="Procentowy 3 8 28 2" xfId="29438"/>
    <cellStyle name="Procentowy 3 8 29" xfId="29439"/>
    <cellStyle name="Procentowy 3 8 29 2" xfId="29440"/>
    <cellStyle name="Procentowy 3 8 3" xfId="29441"/>
    <cellStyle name="Procentowy 3 8 3 2" xfId="29442"/>
    <cellStyle name="Procentowy 3 8 3 3" xfId="29443"/>
    <cellStyle name="Procentowy 3 8 3 4" xfId="29444"/>
    <cellStyle name="Procentowy 3 8 3 5" xfId="29445"/>
    <cellStyle name="Procentowy 3 8 3 6" xfId="29446"/>
    <cellStyle name="Procentowy 3 8 3 7" xfId="29447"/>
    <cellStyle name="Procentowy 3 8 30" xfId="29448"/>
    <cellStyle name="Procentowy 3 8 30 2" xfId="29449"/>
    <cellStyle name="Procentowy 3 8 31" xfId="29450"/>
    <cellStyle name="Procentowy 3 8 31 2" xfId="29451"/>
    <cellStyle name="Procentowy 3 8 32" xfId="29452"/>
    <cellStyle name="Procentowy 3 8 33" xfId="29453"/>
    <cellStyle name="Procentowy 3 8 34" xfId="29454"/>
    <cellStyle name="Procentowy 3 8 35" xfId="29455"/>
    <cellStyle name="Procentowy 3 8 36" xfId="29456"/>
    <cellStyle name="Procentowy 3 8 37" xfId="29457"/>
    <cellStyle name="Procentowy 3 8 38" xfId="29458"/>
    <cellStyle name="Procentowy 3 8 39" xfId="29459"/>
    <cellStyle name="Procentowy 3 8 4" xfId="29460"/>
    <cellStyle name="Procentowy 3 8 4 2" xfId="29461"/>
    <cellStyle name="Procentowy 3 8 4 3" xfId="29462"/>
    <cellStyle name="Procentowy 3 8 4 4" xfId="29463"/>
    <cellStyle name="Procentowy 3 8 4 5" xfId="29464"/>
    <cellStyle name="Procentowy 3 8 4 6" xfId="29465"/>
    <cellStyle name="Procentowy 3 8 4 7" xfId="29466"/>
    <cellStyle name="Procentowy 3 8 40" xfId="29467"/>
    <cellStyle name="Procentowy 3 8 41" xfId="29468"/>
    <cellStyle name="Procentowy 3 8 42" xfId="29469"/>
    <cellStyle name="Procentowy 3 8 43" xfId="29470"/>
    <cellStyle name="Procentowy 3 8 44" xfId="29471"/>
    <cellStyle name="Procentowy 3 8 45" xfId="29472"/>
    <cellStyle name="Procentowy 3 8 46" xfId="29473"/>
    <cellStyle name="Procentowy 3 8 47" xfId="29474"/>
    <cellStyle name="Procentowy 3 8 48" xfId="29475"/>
    <cellStyle name="Procentowy 3 8 49" xfId="29476"/>
    <cellStyle name="Procentowy 3 8 5" xfId="29477"/>
    <cellStyle name="Procentowy 3 8 5 2" xfId="29478"/>
    <cellStyle name="Procentowy 3 8 5 3" xfId="29479"/>
    <cellStyle name="Procentowy 3 8 5 4" xfId="29480"/>
    <cellStyle name="Procentowy 3 8 5 5" xfId="29481"/>
    <cellStyle name="Procentowy 3 8 5 6" xfId="29482"/>
    <cellStyle name="Procentowy 3 8 5 7" xfId="29483"/>
    <cellStyle name="Procentowy 3 8 50" xfId="29484"/>
    <cellStyle name="Procentowy 3 8 51" xfId="29485"/>
    <cellStyle name="Procentowy 3 8 52" xfId="29486"/>
    <cellStyle name="Procentowy 3 8 53" xfId="29487"/>
    <cellStyle name="Procentowy 3 8 54" xfId="29488"/>
    <cellStyle name="Procentowy 3 8 55" xfId="29489"/>
    <cellStyle name="Procentowy 3 8 56" xfId="29490"/>
    <cellStyle name="Procentowy 3 8 57" xfId="29491"/>
    <cellStyle name="Procentowy 3 8 58" xfId="29492"/>
    <cellStyle name="Procentowy 3 8 59" xfId="29493"/>
    <cellStyle name="Procentowy 3 8 6" xfId="29494"/>
    <cellStyle name="Procentowy 3 8 6 2" xfId="29495"/>
    <cellStyle name="Procentowy 3 8 60" xfId="29496"/>
    <cellStyle name="Procentowy 3 8 61" xfId="29497"/>
    <cellStyle name="Procentowy 3 8 62" xfId="29498"/>
    <cellStyle name="Procentowy 3 8 63" xfId="29499"/>
    <cellStyle name="Procentowy 3 8 64" xfId="29500"/>
    <cellStyle name="Procentowy 3 8 65" xfId="29501"/>
    <cellStyle name="Procentowy 3 8 66" xfId="29502"/>
    <cellStyle name="Procentowy 3 8 67" xfId="29503"/>
    <cellStyle name="Procentowy 3 8 68" xfId="29504"/>
    <cellStyle name="Procentowy 3 8 69" xfId="29505"/>
    <cellStyle name="Procentowy 3 8 7" xfId="29506"/>
    <cellStyle name="Procentowy 3 8 7 2" xfId="29507"/>
    <cellStyle name="Procentowy 3 8 70" xfId="29508"/>
    <cellStyle name="Procentowy 3 8 71" xfId="29509"/>
    <cellStyle name="Procentowy 3 8 72" xfId="29510"/>
    <cellStyle name="Procentowy 3 8 73" xfId="29511"/>
    <cellStyle name="Procentowy 3 8 74" xfId="29512"/>
    <cellStyle name="Procentowy 3 8 8" xfId="29513"/>
    <cellStyle name="Procentowy 3 8 8 2" xfId="29514"/>
    <cellStyle name="Procentowy 3 8 9" xfId="29515"/>
    <cellStyle name="Procentowy 3 8 9 2" xfId="29516"/>
    <cellStyle name="Procentowy 3 80" xfId="29517"/>
    <cellStyle name="Procentowy 3 81" xfId="29518"/>
    <cellStyle name="Procentowy 3 82" xfId="29519"/>
    <cellStyle name="Procentowy 3 83" xfId="29520"/>
    <cellStyle name="Procentowy 3 84" xfId="29521"/>
    <cellStyle name="Procentowy 3 85" xfId="29522"/>
    <cellStyle name="Procentowy 3 86" xfId="29523"/>
    <cellStyle name="Procentowy 3 87" xfId="29524"/>
    <cellStyle name="Procentowy 3 88" xfId="29525"/>
    <cellStyle name="Procentowy 3 89" xfId="29526"/>
    <cellStyle name="Procentowy 3 9" xfId="29527"/>
    <cellStyle name="Procentowy 3 9 10" xfId="29528"/>
    <cellStyle name="Procentowy 3 9 10 2" xfId="29529"/>
    <cellStyle name="Procentowy 3 9 11" xfId="29530"/>
    <cellStyle name="Procentowy 3 9 11 2" xfId="29531"/>
    <cellStyle name="Procentowy 3 9 12" xfId="29532"/>
    <cellStyle name="Procentowy 3 9 12 2" xfId="29533"/>
    <cellStyle name="Procentowy 3 9 13" xfId="29534"/>
    <cellStyle name="Procentowy 3 9 13 2" xfId="29535"/>
    <cellStyle name="Procentowy 3 9 14" xfId="29536"/>
    <cellStyle name="Procentowy 3 9 14 2" xfId="29537"/>
    <cellStyle name="Procentowy 3 9 15" xfId="29538"/>
    <cellStyle name="Procentowy 3 9 15 2" xfId="29539"/>
    <cellStyle name="Procentowy 3 9 16" xfId="29540"/>
    <cellStyle name="Procentowy 3 9 16 2" xfId="29541"/>
    <cellStyle name="Procentowy 3 9 17" xfId="29542"/>
    <cellStyle name="Procentowy 3 9 17 2" xfId="29543"/>
    <cellStyle name="Procentowy 3 9 18" xfId="29544"/>
    <cellStyle name="Procentowy 3 9 18 2" xfId="29545"/>
    <cellStyle name="Procentowy 3 9 19" xfId="29546"/>
    <cellStyle name="Procentowy 3 9 19 2" xfId="29547"/>
    <cellStyle name="Procentowy 3 9 2" xfId="29548"/>
    <cellStyle name="Procentowy 3 9 2 2" xfId="29549"/>
    <cellStyle name="Procentowy 3 9 2 3" xfId="29550"/>
    <cellStyle name="Procentowy 3 9 2 4" xfId="29551"/>
    <cellStyle name="Procentowy 3 9 2 5" xfId="29552"/>
    <cellStyle name="Procentowy 3 9 2 6" xfId="29553"/>
    <cellStyle name="Procentowy 3 9 2 7" xfId="29554"/>
    <cellStyle name="Procentowy 3 9 20" xfId="29555"/>
    <cellStyle name="Procentowy 3 9 20 2" xfId="29556"/>
    <cellStyle name="Procentowy 3 9 21" xfId="29557"/>
    <cellStyle name="Procentowy 3 9 21 2" xfId="29558"/>
    <cellStyle name="Procentowy 3 9 22" xfId="29559"/>
    <cellStyle name="Procentowy 3 9 22 2" xfId="29560"/>
    <cellStyle name="Procentowy 3 9 23" xfId="29561"/>
    <cellStyle name="Procentowy 3 9 23 2" xfId="29562"/>
    <cellStyle name="Procentowy 3 9 24" xfId="29563"/>
    <cellStyle name="Procentowy 3 9 24 2" xfId="29564"/>
    <cellStyle name="Procentowy 3 9 25" xfId="29565"/>
    <cellStyle name="Procentowy 3 9 25 2" xfId="29566"/>
    <cellStyle name="Procentowy 3 9 26" xfId="29567"/>
    <cellStyle name="Procentowy 3 9 26 2" xfId="29568"/>
    <cellStyle name="Procentowy 3 9 27" xfId="29569"/>
    <cellStyle name="Procentowy 3 9 27 2" xfId="29570"/>
    <cellStyle name="Procentowy 3 9 28" xfId="29571"/>
    <cellStyle name="Procentowy 3 9 28 2" xfId="29572"/>
    <cellStyle name="Procentowy 3 9 29" xfId="29573"/>
    <cellStyle name="Procentowy 3 9 29 2" xfId="29574"/>
    <cellStyle name="Procentowy 3 9 3" xfId="29575"/>
    <cellStyle name="Procentowy 3 9 3 2" xfId="29576"/>
    <cellStyle name="Procentowy 3 9 3 3" xfId="29577"/>
    <cellStyle name="Procentowy 3 9 3 4" xfId="29578"/>
    <cellStyle name="Procentowy 3 9 3 5" xfId="29579"/>
    <cellStyle name="Procentowy 3 9 3 6" xfId="29580"/>
    <cellStyle name="Procentowy 3 9 3 7" xfId="29581"/>
    <cellStyle name="Procentowy 3 9 30" xfId="29582"/>
    <cellStyle name="Procentowy 3 9 30 2" xfId="29583"/>
    <cellStyle name="Procentowy 3 9 31" xfId="29584"/>
    <cellStyle name="Procentowy 3 9 31 2" xfId="29585"/>
    <cellStyle name="Procentowy 3 9 32" xfId="29586"/>
    <cellStyle name="Procentowy 3 9 33" xfId="29587"/>
    <cellStyle name="Procentowy 3 9 34" xfId="29588"/>
    <cellStyle name="Procentowy 3 9 35" xfId="29589"/>
    <cellStyle name="Procentowy 3 9 36" xfId="29590"/>
    <cellStyle name="Procentowy 3 9 37" xfId="29591"/>
    <cellStyle name="Procentowy 3 9 38" xfId="29592"/>
    <cellStyle name="Procentowy 3 9 39" xfId="29593"/>
    <cellStyle name="Procentowy 3 9 4" xfId="29594"/>
    <cellStyle name="Procentowy 3 9 4 2" xfId="29595"/>
    <cellStyle name="Procentowy 3 9 4 3" xfId="29596"/>
    <cellStyle name="Procentowy 3 9 4 4" xfId="29597"/>
    <cellStyle name="Procentowy 3 9 4 5" xfId="29598"/>
    <cellStyle name="Procentowy 3 9 4 6" xfId="29599"/>
    <cellStyle name="Procentowy 3 9 4 7" xfId="29600"/>
    <cellStyle name="Procentowy 3 9 40" xfId="29601"/>
    <cellStyle name="Procentowy 3 9 41" xfId="29602"/>
    <cellStyle name="Procentowy 3 9 42" xfId="29603"/>
    <cellStyle name="Procentowy 3 9 43" xfId="29604"/>
    <cellStyle name="Procentowy 3 9 44" xfId="29605"/>
    <cellStyle name="Procentowy 3 9 45" xfId="29606"/>
    <cellStyle name="Procentowy 3 9 46" xfId="29607"/>
    <cellStyle name="Procentowy 3 9 47" xfId="29608"/>
    <cellStyle name="Procentowy 3 9 48" xfId="29609"/>
    <cellStyle name="Procentowy 3 9 49" xfId="29610"/>
    <cellStyle name="Procentowy 3 9 5" xfId="29611"/>
    <cellStyle name="Procentowy 3 9 5 2" xfId="29612"/>
    <cellStyle name="Procentowy 3 9 5 3" xfId="29613"/>
    <cellStyle name="Procentowy 3 9 5 4" xfId="29614"/>
    <cellStyle name="Procentowy 3 9 5 5" xfId="29615"/>
    <cellStyle name="Procentowy 3 9 5 6" xfId="29616"/>
    <cellStyle name="Procentowy 3 9 5 7" xfId="29617"/>
    <cellStyle name="Procentowy 3 9 50" xfId="29618"/>
    <cellStyle name="Procentowy 3 9 51" xfId="29619"/>
    <cellStyle name="Procentowy 3 9 52" xfId="29620"/>
    <cellStyle name="Procentowy 3 9 53" xfId="29621"/>
    <cellStyle name="Procentowy 3 9 54" xfId="29622"/>
    <cellStyle name="Procentowy 3 9 55" xfId="29623"/>
    <cellStyle name="Procentowy 3 9 56" xfId="29624"/>
    <cellStyle name="Procentowy 3 9 57" xfId="29625"/>
    <cellStyle name="Procentowy 3 9 58" xfId="29626"/>
    <cellStyle name="Procentowy 3 9 59" xfId="29627"/>
    <cellStyle name="Procentowy 3 9 6" xfId="29628"/>
    <cellStyle name="Procentowy 3 9 6 2" xfId="29629"/>
    <cellStyle name="Procentowy 3 9 60" xfId="29630"/>
    <cellStyle name="Procentowy 3 9 61" xfId="29631"/>
    <cellStyle name="Procentowy 3 9 62" xfId="29632"/>
    <cellStyle name="Procentowy 3 9 63" xfId="29633"/>
    <cellStyle name="Procentowy 3 9 64" xfId="29634"/>
    <cellStyle name="Procentowy 3 9 65" xfId="29635"/>
    <cellStyle name="Procentowy 3 9 66" xfId="29636"/>
    <cellStyle name="Procentowy 3 9 67" xfId="29637"/>
    <cellStyle name="Procentowy 3 9 68" xfId="29638"/>
    <cellStyle name="Procentowy 3 9 69" xfId="29639"/>
    <cellStyle name="Procentowy 3 9 7" xfId="29640"/>
    <cellStyle name="Procentowy 3 9 7 2" xfId="29641"/>
    <cellStyle name="Procentowy 3 9 70" xfId="29642"/>
    <cellStyle name="Procentowy 3 9 71" xfId="29643"/>
    <cellStyle name="Procentowy 3 9 72" xfId="29644"/>
    <cellStyle name="Procentowy 3 9 73" xfId="29645"/>
    <cellStyle name="Procentowy 3 9 74" xfId="29646"/>
    <cellStyle name="Procentowy 3 9 8" xfId="29647"/>
    <cellStyle name="Procentowy 3 9 8 2" xfId="29648"/>
    <cellStyle name="Procentowy 3 9 9" xfId="29649"/>
    <cellStyle name="Procentowy 3 9 9 2" xfId="29650"/>
    <cellStyle name="Procentowy 3 90" xfId="29651"/>
    <cellStyle name="Procentowy 3 91" xfId="29652"/>
    <cellStyle name="Procentowy 3 92" xfId="29653"/>
    <cellStyle name="Procentowy 3 93" xfId="29654"/>
    <cellStyle name="Procentowy 3 94" xfId="29655"/>
    <cellStyle name="Procentowy 3 95" xfId="29656"/>
    <cellStyle name="Procentowy 3 96" xfId="29657"/>
    <cellStyle name="Procentowy 3 97" xfId="29658"/>
    <cellStyle name="Procentowy 3 98" xfId="29659"/>
    <cellStyle name="Procentowy 3 99" xfId="26655"/>
    <cellStyle name="Procentowy 4" xfId="29660"/>
    <cellStyle name="Procentowy 4 10" xfId="29661"/>
    <cellStyle name="Procentowy 4 11" xfId="29662"/>
    <cellStyle name="Procentowy 4 12" xfId="29663"/>
    <cellStyle name="Procentowy 4 13" xfId="29664"/>
    <cellStyle name="Procentowy 4 14" xfId="29665"/>
    <cellStyle name="Procentowy 4 15" xfId="29666"/>
    <cellStyle name="Procentowy 4 16" xfId="29667"/>
    <cellStyle name="Procentowy 4 17" xfId="29668"/>
    <cellStyle name="Procentowy 4 18" xfId="29669"/>
    <cellStyle name="Procentowy 4 2" xfId="29670"/>
    <cellStyle name="Procentowy 4 2 2" xfId="29671"/>
    <cellStyle name="Procentowy 4 3" xfId="29672"/>
    <cellStyle name="Procentowy 4 3 2" xfId="29673"/>
    <cellStyle name="Procentowy 4 4" xfId="29674"/>
    <cellStyle name="Procentowy 4 4 2" xfId="29675"/>
    <cellStyle name="Procentowy 4 4 3" xfId="29676"/>
    <cellStyle name="Procentowy 4 5" xfId="29677"/>
    <cellStyle name="Procentowy 4 6" xfId="29678"/>
    <cellStyle name="Procentowy 4 7" xfId="29679"/>
    <cellStyle name="Procentowy 4 8" xfId="29680"/>
    <cellStyle name="Procentowy 4 9" xfId="29681"/>
    <cellStyle name="Procentowy 5" xfId="29682"/>
    <cellStyle name="Procentowy 5 2" xfId="29683"/>
    <cellStyle name="Procentowy 5 2 2" xfId="29684"/>
    <cellStyle name="Procentowy 5 2 3" xfId="29685"/>
    <cellStyle name="Procentowy 5 3" xfId="29686"/>
    <cellStyle name="Procentowy 5 4" xfId="29687"/>
    <cellStyle name="Procentowy 5 5" xfId="29688"/>
    <cellStyle name="Procentowy 5 6" xfId="29689"/>
    <cellStyle name="Procentowy 5 7" xfId="29690"/>
    <cellStyle name="Procentowy 5 8" xfId="29691"/>
    <cellStyle name="Procentowy 6" xfId="29692"/>
    <cellStyle name="Procentowy 6 2" xfId="29693"/>
    <cellStyle name="Procentowy 6 3" xfId="29694"/>
    <cellStyle name="Procentowy 7" xfId="29695"/>
    <cellStyle name="Procentowy 7 2" xfId="29696"/>
    <cellStyle name="Procentowy 7 2 2" xfId="29697"/>
    <cellStyle name="Procentowy 7 3" xfId="29698"/>
    <cellStyle name="Procentowy 8" xfId="29699"/>
    <cellStyle name="Procentowy 8 2" xfId="29700"/>
    <cellStyle name="Procentowy 9" xfId="29701"/>
    <cellStyle name="Procentowy 9 2" xfId="29702"/>
    <cellStyle name="SAPBEXaggData" xfId="29703"/>
    <cellStyle name="SAPBEXaggDataEmph" xfId="29704"/>
    <cellStyle name="SAPBEXaggItem" xfId="29705"/>
    <cellStyle name="SAPBEXaggItemX" xfId="29706"/>
    <cellStyle name="SAPBEXchaText" xfId="29707"/>
    <cellStyle name="SAPBEXexcBad7" xfId="29708"/>
    <cellStyle name="SAPBEXexcBad8" xfId="29709"/>
    <cellStyle name="SAPBEXexcBad9" xfId="29710"/>
    <cellStyle name="SAPBEXexcCritical4" xfId="29711"/>
    <cellStyle name="SAPBEXexcCritical5" xfId="29712"/>
    <cellStyle name="SAPBEXexcCritical6" xfId="29713"/>
    <cellStyle name="SAPBEXexcGood1" xfId="29714"/>
    <cellStyle name="SAPBEXexcGood2" xfId="29715"/>
    <cellStyle name="SAPBEXexcGood3" xfId="29716"/>
    <cellStyle name="SAPBEXfilterDrill" xfId="29717"/>
    <cellStyle name="SAPBEXfilterItem" xfId="29718"/>
    <cellStyle name="SAPBEXfilterText" xfId="29719"/>
    <cellStyle name="SAPBEXformats" xfId="29720"/>
    <cellStyle name="SAPBEXheaderItem" xfId="29721"/>
    <cellStyle name="SAPBEXheaderText" xfId="29722"/>
    <cellStyle name="SAPBEXHLevel0" xfId="29723"/>
    <cellStyle name="SAPBEXHLevel0 2" xfId="29724"/>
    <cellStyle name="SAPBEXHLevel0 3" xfId="29725"/>
    <cellStyle name="SAPBEXHLevel0X" xfId="29726"/>
    <cellStyle name="SAPBEXHLevel0X 2" xfId="29727"/>
    <cellStyle name="SAPBEXHLevel0X 3" xfId="29728"/>
    <cellStyle name="SAPBEXHLevel1" xfId="29729"/>
    <cellStyle name="SAPBEXHLevel1 2" xfId="29730"/>
    <cellStyle name="SAPBEXHLevel1 3" xfId="29731"/>
    <cellStyle name="SAPBEXHLevel1X" xfId="29732"/>
    <cellStyle name="SAPBEXHLevel1X 2" xfId="29733"/>
    <cellStyle name="SAPBEXHLevel1X 3" xfId="29734"/>
    <cellStyle name="SAPBEXHLevel2" xfId="29735"/>
    <cellStyle name="SAPBEXHLevel2 2" xfId="29736"/>
    <cellStyle name="SAPBEXHLevel2 3" xfId="29737"/>
    <cellStyle name="SAPBEXHLevel2X" xfId="29738"/>
    <cellStyle name="SAPBEXHLevel2X 2" xfId="29739"/>
    <cellStyle name="SAPBEXHLevel2X 3" xfId="29740"/>
    <cellStyle name="SAPBEXHLevel3" xfId="29741"/>
    <cellStyle name="SAPBEXHLevel3 2" xfId="29742"/>
    <cellStyle name="SAPBEXHLevel3 3" xfId="29743"/>
    <cellStyle name="SAPBEXHLevel3X" xfId="29744"/>
    <cellStyle name="SAPBEXHLevel3X 2" xfId="29745"/>
    <cellStyle name="SAPBEXHLevel3X 3" xfId="29746"/>
    <cellStyle name="SAPBEXresData" xfId="29747"/>
    <cellStyle name="SAPBEXresDataEmph" xfId="29748"/>
    <cellStyle name="SAPBEXresItem" xfId="29749"/>
    <cellStyle name="SAPBEXresItemX" xfId="29750"/>
    <cellStyle name="SAPBEXstdData" xfId="29751"/>
    <cellStyle name="SAPBEXstdData 2" xfId="29752"/>
    <cellStyle name="SAPBEXstdDataEmph" xfId="29753"/>
    <cellStyle name="SAPBEXstdItem" xfId="29754"/>
    <cellStyle name="SAPBEXstdItemX" xfId="29755"/>
    <cellStyle name="SAPBEXtitle" xfId="29756"/>
    <cellStyle name="SAPBEXundefined" xfId="29757"/>
    <cellStyle name="Standard_internet1997" xfId="29758"/>
    <cellStyle name="Styl 1" xfId="29759"/>
    <cellStyle name="Style 1" xfId="29760"/>
    <cellStyle name="Sum" xfId="29761"/>
    <cellStyle name="Suma 2" xfId="29762"/>
    <cellStyle name="Suma 2 10" xfId="29763"/>
    <cellStyle name="Suma 2 10 10" xfId="29764"/>
    <cellStyle name="Suma 2 10 10 2" xfId="29765"/>
    <cellStyle name="Suma 2 10 10 3" xfId="29766"/>
    <cellStyle name="Suma 2 10 10 4" xfId="29767"/>
    <cellStyle name="Suma 2 10 11" xfId="29768"/>
    <cellStyle name="Suma 2 10 11 2" xfId="29769"/>
    <cellStyle name="Suma 2 10 11 3" xfId="29770"/>
    <cellStyle name="Suma 2 10 11 4" xfId="29771"/>
    <cellStyle name="Suma 2 10 12" xfId="29772"/>
    <cellStyle name="Suma 2 10 12 2" xfId="29773"/>
    <cellStyle name="Suma 2 10 12 3" xfId="29774"/>
    <cellStyle name="Suma 2 10 12 4" xfId="29775"/>
    <cellStyle name="Suma 2 10 13" xfId="29776"/>
    <cellStyle name="Suma 2 10 13 2" xfId="29777"/>
    <cellStyle name="Suma 2 10 13 3" xfId="29778"/>
    <cellStyle name="Suma 2 10 13 4" xfId="29779"/>
    <cellStyle name="Suma 2 10 14" xfId="29780"/>
    <cellStyle name="Suma 2 10 14 2" xfId="29781"/>
    <cellStyle name="Suma 2 10 14 3" xfId="29782"/>
    <cellStyle name="Suma 2 10 14 4" xfId="29783"/>
    <cellStyle name="Suma 2 10 15" xfId="29784"/>
    <cellStyle name="Suma 2 10 15 2" xfId="29785"/>
    <cellStyle name="Suma 2 10 15 3" xfId="29786"/>
    <cellStyle name="Suma 2 10 15 4" xfId="29787"/>
    <cellStyle name="Suma 2 10 16" xfId="29788"/>
    <cellStyle name="Suma 2 10 16 2" xfId="29789"/>
    <cellStyle name="Suma 2 10 16 3" xfId="29790"/>
    <cellStyle name="Suma 2 10 16 4" xfId="29791"/>
    <cellStyle name="Suma 2 10 17" xfId="29792"/>
    <cellStyle name="Suma 2 10 17 2" xfId="29793"/>
    <cellStyle name="Suma 2 10 17 3" xfId="29794"/>
    <cellStyle name="Suma 2 10 17 4" xfId="29795"/>
    <cellStyle name="Suma 2 10 18" xfId="29796"/>
    <cellStyle name="Suma 2 10 18 2" xfId="29797"/>
    <cellStyle name="Suma 2 10 18 3" xfId="29798"/>
    <cellStyle name="Suma 2 10 18 4" xfId="29799"/>
    <cellStyle name="Suma 2 10 19" xfId="29800"/>
    <cellStyle name="Suma 2 10 19 2" xfId="29801"/>
    <cellStyle name="Suma 2 10 19 3" xfId="29802"/>
    <cellStyle name="Suma 2 10 19 4" xfId="29803"/>
    <cellStyle name="Suma 2 10 2" xfId="29804"/>
    <cellStyle name="Suma 2 10 2 2" xfId="29805"/>
    <cellStyle name="Suma 2 10 2 3" xfId="29806"/>
    <cellStyle name="Suma 2 10 2 4" xfId="29807"/>
    <cellStyle name="Suma 2 10 20" xfId="29808"/>
    <cellStyle name="Suma 2 10 20 2" xfId="29809"/>
    <cellStyle name="Suma 2 10 20 3" xfId="29810"/>
    <cellStyle name="Suma 2 10 20 4" xfId="29811"/>
    <cellStyle name="Suma 2 10 21" xfId="29812"/>
    <cellStyle name="Suma 2 10 21 2" xfId="29813"/>
    <cellStyle name="Suma 2 10 21 3" xfId="29814"/>
    <cellStyle name="Suma 2 10 22" xfId="29815"/>
    <cellStyle name="Suma 2 10 22 2" xfId="29816"/>
    <cellStyle name="Suma 2 10 22 3" xfId="29817"/>
    <cellStyle name="Suma 2 10 23" xfId="29818"/>
    <cellStyle name="Suma 2 10 23 2" xfId="29819"/>
    <cellStyle name="Suma 2 10 23 3" xfId="29820"/>
    <cellStyle name="Suma 2 10 24" xfId="29821"/>
    <cellStyle name="Suma 2 10 24 2" xfId="29822"/>
    <cellStyle name="Suma 2 10 24 3" xfId="29823"/>
    <cellStyle name="Suma 2 10 25" xfId="29824"/>
    <cellStyle name="Suma 2 10 25 2" xfId="29825"/>
    <cellStyle name="Suma 2 10 25 3" xfId="29826"/>
    <cellStyle name="Suma 2 10 26" xfId="29827"/>
    <cellStyle name="Suma 2 10 26 2" xfId="29828"/>
    <cellStyle name="Suma 2 10 26 3" xfId="29829"/>
    <cellStyle name="Suma 2 10 27" xfId="29830"/>
    <cellStyle name="Suma 2 10 27 2" xfId="29831"/>
    <cellStyle name="Suma 2 10 27 3" xfId="29832"/>
    <cellStyle name="Suma 2 10 28" xfId="29833"/>
    <cellStyle name="Suma 2 10 28 2" xfId="29834"/>
    <cellStyle name="Suma 2 10 28 3" xfId="29835"/>
    <cellStyle name="Suma 2 10 29" xfId="29836"/>
    <cellStyle name="Suma 2 10 29 2" xfId="29837"/>
    <cellStyle name="Suma 2 10 29 3" xfId="29838"/>
    <cellStyle name="Suma 2 10 3" xfId="29839"/>
    <cellStyle name="Suma 2 10 3 2" xfId="29840"/>
    <cellStyle name="Suma 2 10 3 3" xfId="29841"/>
    <cellStyle name="Suma 2 10 3 4" xfId="29842"/>
    <cellStyle name="Suma 2 10 30" xfId="29843"/>
    <cellStyle name="Suma 2 10 30 2" xfId="29844"/>
    <cellStyle name="Suma 2 10 30 3" xfId="29845"/>
    <cellStyle name="Suma 2 10 31" xfId="29846"/>
    <cellStyle name="Suma 2 10 31 2" xfId="29847"/>
    <cellStyle name="Suma 2 10 31 3" xfId="29848"/>
    <cellStyle name="Suma 2 10 32" xfId="29849"/>
    <cellStyle name="Suma 2 10 32 2" xfId="29850"/>
    <cellStyle name="Suma 2 10 32 3" xfId="29851"/>
    <cellStyle name="Suma 2 10 33" xfId="29852"/>
    <cellStyle name="Suma 2 10 33 2" xfId="29853"/>
    <cellStyle name="Suma 2 10 33 3" xfId="29854"/>
    <cellStyle name="Suma 2 10 34" xfId="29855"/>
    <cellStyle name="Suma 2 10 34 2" xfId="29856"/>
    <cellStyle name="Suma 2 10 34 3" xfId="29857"/>
    <cellStyle name="Suma 2 10 35" xfId="29858"/>
    <cellStyle name="Suma 2 10 35 2" xfId="29859"/>
    <cellStyle name="Suma 2 10 35 3" xfId="29860"/>
    <cellStyle name="Suma 2 10 36" xfId="29861"/>
    <cellStyle name="Suma 2 10 36 2" xfId="29862"/>
    <cellStyle name="Suma 2 10 36 3" xfId="29863"/>
    <cellStyle name="Suma 2 10 37" xfId="29864"/>
    <cellStyle name="Suma 2 10 37 2" xfId="29865"/>
    <cellStyle name="Suma 2 10 37 3" xfId="29866"/>
    <cellStyle name="Suma 2 10 38" xfId="29867"/>
    <cellStyle name="Suma 2 10 38 2" xfId="29868"/>
    <cellStyle name="Suma 2 10 38 3" xfId="29869"/>
    <cellStyle name="Suma 2 10 39" xfId="29870"/>
    <cellStyle name="Suma 2 10 39 2" xfId="29871"/>
    <cellStyle name="Suma 2 10 39 3" xfId="29872"/>
    <cellStyle name="Suma 2 10 4" xfId="29873"/>
    <cellStyle name="Suma 2 10 4 2" xfId="29874"/>
    <cellStyle name="Suma 2 10 4 3" xfId="29875"/>
    <cellStyle name="Suma 2 10 4 4" xfId="29876"/>
    <cellStyle name="Suma 2 10 40" xfId="29877"/>
    <cellStyle name="Suma 2 10 40 2" xfId="29878"/>
    <cellStyle name="Suma 2 10 40 3" xfId="29879"/>
    <cellStyle name="Suma 2 10 41" xfId="29880"/>
    <cellStyle name="Suma 2 10 41 2" xfId="29881"/>
    <cellStyle name="Suma 2 10 41 3" xfId="29882"/>
    <cellStyle name="Suma 2 10 42" xfId="29883"/>
    <cellStyle name="Suma 2 10 42 2" xfId="29884"/>
    <cellStyle name="Suma 2 10 42 3" xfId="29885"/>
    <cellStyle name="Suma 2 10 43" xfId="29886"/>
    <cellStyle name="Suma 2 10 43 2" xfId="29887"/>
    <cellStyle name="Suma 2 10 43 3" xfId="29888"/>
    <cellStyle name="Suma 2 10 44" xfId="29889"/>
    <cellStyle name="Suma 2 10 44 2" xfId="29890"/>
    <cellStyle name="Suma 2 10 44 3" xfId="29891"/>
    <cellStyle name="Suma 2 10 45" xfId="29892"/>
    <cellStyle name="Suma 2 10 45 2" xfId="29893"/>
    <cellStyle name="Suma 2 10 45 3" xfId="29894"/>
    <cellStyle name="Suma 2 10 46" xfId="29895"/>
    <cellStyle name="Suma 2 10 46 2" xfId="29896"/>
    <cellStyle name="Suma 2 10 46 3" xfId="29897"/>
    <cellStyle name="Suma 2 10 47" xfId="29898"/>
    <cellStyle name="Suma 2 10 47 2" xfId="29899"/>
    <cellStyle name="Suma 2 10 47 3" xfId="29900"/>
    <cellStyle name="Suma 2 10 48" xfId="29901"/>
    <cellStyle name="Suma 2 10 48 2" xfId="29902"/>
    <cellStyle name="Suma 2 10 48 3" xfId="29903"/>
    <cellStyle name="Suma 2 10 49" xfId="29904"/>
    <cellStyle name="Suma 2 10 49 2" xfId="29905"/>
    <cellStyle name="Suma 2 10 49 3" xfId="29906"/>
    <cellStyle name="Suma 2 10 5" xfId="29907"/>
    <cellStyle name="Suma 2 10 5 2" xfId="29908"/>
    <cellStyle name="Suma 2 10 5 3" xfId="29909"/>
    <cellStyle name="Suma 2 10 5 4" xfId="29910"/>
    <cellStyle name="Suma 2 10 50" xfId="29911"/>
    <cellStyle name="Suma 2 10 50 2" xfId="29912"/>
    <cellStyle name="Suma 2 10 50 3" xfId="29913"/>
    <cellStyle name="Suma 2 10 51" xfId="29914"/>
    <cellStyle name="Suma 2 10 51 2" xfId="29915"/>
    <cellStyle name="Suma 2 10 51 3" xfId="29916"/>
    <cellStyle name="Suma 2 10 52" xfId="29917"/>
    <cellStyle name="Suma 2 10 52 2" xfId="29918"/>
    <cellStyle name="Suma 2 10 52 3" xfId="29919"/>
    <cellStyle name="Suma 2 10 53" xfId="29920"/>
    <cellStyle name="Suma 2 10 53 2" xfId="29921"/>
    <cellStyle name="Suma 2 10 53 3" xfId="29922"/>
    <cellStyle name="Suma 2 10 54" xfId="29923"/>
    <cellStyle name="Suma 2 10 54 2" xfId="29924"/>
    <cellStyle name="Suma 2 10 54 3" xfId="29925"/>
    <cellStyle name="Suma 2 10 55" xfId="29926"/>
    <cellStyle name="Suma 2 10 55 2" xfId="29927"/>
    <cellStyle name="Suma 2 10 55 3" xfId="29928"/>
    <cellStyle name="Suma 2 10 56" xfId="29929"/>
    <cellStyle name="Suma 2 10 56 2" xfId="29930"/>
    <cellStyle name="Suma 2 10 56 3" xfId="29931"/>
    <cellStyle name="Suma 2 10 57" xfId="29932"/>
    <cellStyle name="Suma 2 10 58" xfId="29933"/>
    <cellStyle name="Suma 2 10 6" xfId="29934"/>
    <cellStyle name="Suma 2 10 6 2" xfId="29935"/>
    <cellStyle name="Suma 2 10 6 3" xfId="29936"/>
    <cellStyle name="Suma 2 10 6 4" xfId="29937"/>
    <cellStyle name="Suma 2 10 7" xfId="29938"/>
    <cellStyle name="Suma 2 10 7 2" xfId="29939"/>
    <cellStyle name="Suma 2 10 7 3" xfId="29940"/>
    <cellStyle name="Suma 2 10 7 4" xfId="29941"/>
    <cellStyle name="Suma 2 10 8" xfId="29942"/>
    <cellStyle name="Suma 2 10 8 2" xfId="29943"/>
    <cellStyle name="Suma 2 10 8 3" xfId="29944"/>
    <cellStyle name="Suma 2 10 8 4" xfId="29945"/>
    <cellStyle name="Suma 2 10 9" xfId="29946"/>
    <cellStyle name="Suma 2 10 9 2" xfId="29947"/>
    <cellStyle name="Suma 2 10 9 3" xfId="29948"/>
    <cellStyle name="Suma 2 10 9 4" xfId="29949"/>
    <cellStyle name="Suma 2 11" xfId="29950"/>
    <cellStyle name="Suma 2 11 10" xfId="29951"/>
    <cellStyle name="Suma 2 11 10 2" xfId="29952"/>
    <cellStyle name="Suma 2 11 10 3" xfId="29953"/>
    <cellStyle name="Suma 2 11 10 4" xfId="29954"/>
    <cellStyle name="Suma 2 11 11" xfId="29955"/>
    <cellStyle name="Suma 2 11 11 2" xfId="29956"/>
    <cellStyle name="Suma 2 11 11 3" xfId="29957"/>
    <cellStyle name="Suma 2 11 11 4" xfId="29958"/>
    <cellStyle name="Suma 2 11 12" xfId="29959"/>
    <cellStyle name="Suma 2 11 12 2" xfId="29960"/>
    <cellStyle name="Suma 2 11 12 3" xfId="29961"/>
    <cellStyle name="Suma 2 11 12 4" xfId="29962"/>
    <cellStyle name="Suma 2 11 13" xfId="29963"/>
    <cellStyle name="Suma 2 11 13 2" xfId="29964"/>
    <cellStyle name="Suma 2 11 13 3" xfId="29965"/>
    <cellStyle name="Suma 2 11 13 4" xfId="29966"/>
    <cellStyle name="Suma 2 11 14" xfId="29967"/>
    <cellStyle name="Suma 2 11 14 2" xfId="29968"/>
    <cellStyle name="Suma 2 11 14 3" xfId="29969"/>
    <cellStyle name="Suma 2 11 14 4" xfId="29970"/>
    <cellStyle name="Suma 2 11 15" xfId="29971"/>
    <cellStyle name="Suma 2 11 15 2" xfId="29972"/>
    <cellStyle name="Suma 2 11 15 3" xfId="29973"/>
    <cellStyle name="Suma 2 11 15 4" xfId="29974"/>
    <cellStyle name="Suma 2 11 16" xfId="29975"/>
    <cellStyle name="Suma 2 11 16 2" xfId="29976"/>
    <cellStyle name="Suma 2 11 16 3" xfId="29977"/>
    <cellStyle name="Suma 2 11 16 4" xfId="29978"/>
    <cellStyle name="Suma 2 11 17" xfId="29979"/>
    <cellStyle name="Suma 2 11 17 2" xfId="29980"/>
    <cellStyle name="Suma 2 11 17 3" xfId="29981"/>
    <cellStyle name="Suma 2 11 17 4" xfId="29982"/>
    <cellStyle name="Suma 2 11 18" xfId="29983"/>
    <cellStyle name="Suma 2 11 18 2" xfId="29984"/>
    <cellStyle name="Suma 2 11 18 3" xfId="29985"/>
    <cellStyle name="Suma 2 11 18 4" xfId="29986"/>
    <cellStyle name="Suma 2 11 19" xfId="29987"/>
    <cellStyle name="Suma 2 11 19 2" xfId="29988"/>
    <cellStyle name="Suma 2 11 19 3" xfId="29989"/>
    <cellStyle name="Suma 2 11 19 4" xfId="29990"/>
    <cellStyle name="Suma 2 11 2" xfId="29991"/>
    <cellStyle name="Suma 2 11 2 2" xfId="29992"/>
    <cellStyle name="Suma 2 11 2 3" xfId="29993"/>
    <cellStyle name="Suma 2 11 2 4" xfId="29994"/>
    <cellStyle name="Suma 2 11 20" xfId="29995"/>
    <cellStyle name="Suma 2 11 20 2" xfId="29996"/>
    <cellStyle name="Suma 2 11 20 3" xfId="29997"/>
    <cellStyle name="Suma 2 11 20 4" xfId="29998"/>
    <cellStyle name="Suma 2 11 21" xfId="29999"/>
    <cellStyle name="Suma 2 11 21 2" xfId="30000"/>
    <cellStyle name="Suma 2 11 21 3" xfId="30001"/>
    <cellStyle name="Suma 2 11 22" xfId="30002"/>
    <cellStyle name="Suma 2 11 22 2" xfId="30003"/>
    <cellStyle name="Suma 2 11 22 3" xfId="30004"/>
    <cellStyle name="Suma 2 11 23" xfId="30005"/>
    <cellStyle name="Suma 2 11 23 2" xfId="30006"/>
    <cellStyle name="Suma 2 11 23 3" xfId="30007"/>
    <cellStyle name="Suma 2 11 24" xfId="30008"/>
    <cellStyle name="Suma 2 11 24 2" xfId="30009"/>
    <cellStyle name="Suma 2 11 24 3" xfId="30010"/>
    <cellStyle name="Suma 2 11 25" xfId="30011"/>
    <cellStyle name="Suma 2 11 25 2" xfId="30012"/>
    <cellStyle name="Suma 2 11 25 3" xfId="30013"/>
    <cellStyle name="Suma 2 11 26" xfId="30014"/>
    <cellStyle name="Suma 2 11 26 2" xfId="30015"/>
    <cellStyle name="Suma 2 11 26 3" xfId="30016"/>
    <cellStyle name="Suma 2 11 27" xfId="30017"/>
    <cellStyle name="Suma 2 11 27 2" xfId="30018"/>
    <cellStyle name="Suma 2 11 27 3" xfId="30019"/>
    <cellStyle name="Suma 2 11 28" xfId="30020"/>
    <cellStyle name="Suma 2 11 28 2" xfId="30021"/>
    <cellStyle name="Suma 2 11 28 3" xfId="30022"/>
    <cellStyle name="Suma 2 11 29" xfId="30023"/>
    <cellStyle name="Suma 2 11 29 2" xfId="30024"/>
    <cellStyle name="Suma 2 11 29 3" xfId="30025"/>
    <cellStyle name="Suma 2 11 3" xfId="30026"/>
    <cellStyle name="Suma 2 11 3 2" xfId="30027"/>
    <cellStyle name="Suma 2 11 3 3" xfId="30028"/>
    <cellStyle name="Suma 2 11 3 4" xfId="30029"/>
    <cellStyle name="Suma 2 11 30" xfId="30030"/>
    <cellStyle name="Suma 2 11 30 2" xfId="30031"/>
    <cellStyle name="Suma 2 11 30 3" xfId="30032"/>
    <cellStyle name="Suma 2 11 31" xfId="30033"/>
    <cellStyle name="Suma 2 11 31 2" xfId="30034"/>
    <cellStyle name="Suma 2 11 31 3" xfId="30035"/>
    <cellStyle name="Suma 2 11 32" xfId="30036"/>
    <cellStyle name="Suma 2 11 32 2" xfId="30037"/>
    <cellStyle name="Suma 2 11 32 3" xfId="30038"/>
    <cellStyle name="Suma 2 11 33" xfId="30039"/>
    <cellStyle name="Suma 2 11 33 2" xfId="30040"/>
    <cellStyle name="Suma 2 11 33 3" xfId="30041"/>
    <cellStyle name="Suma 2 11 34" xfId="30042"/>
    <cellStyle name="Suma 2 11 34 2" xfId="30043"/>
    <cellStyle name="Suma 2 11 34 3" xfId="30044"/>
    <cellStyle name="Suma 2 11 35" xfId="30045"/>
    <cellStyle name="Suma 2 11 35 2" xfId="30046"/>
    <cellStyle name="Suma 2 11 35 3" xfId="30047"/>
    <cellStyle name="Suma 2 11 36" xfId="30048"/>
    <cellStyle name="Suma 2 11 36 2" xfId="30049"/>
    <cellStyle name="Suma 2 11 36 3" xfId="30050"/>
    <cellStyle name="Suma 2 11 37" xfId="30051"/>
    <cellStyle name="Suma 2 11 37 2" xfId="30052"/>
    <cellStyle name="Suma 2 11 37 3" xfId="30053"/>
    <cellStyle name="Suma 2 11 38" xfId="30054"/>
    <cellStyle name="Suma 2 11 38 2" xfId="30055"/>
    <cellStyle name="Suma 2 11 38 3" xfId="30056"/>
    <cellStyle name="Suma 2 11 39" xfId="30057"/>
    <cellStyle name="Suma 2 11 39 2" xfId="30058"/>
    <cellStyle name="Suma 2 11 39 3" xfId="30059"/>
    <cellStyle name="Suma 2 11 4" xfId="30060"/>
    <cellStyle name="Suma 2 11 4 2" xfId="30061"/>
    <cellStyle name="Suma 2 11 4 3" xfId="30062"/>
    <cellStyle name="Suma 2 11 4 4" xfId="30063"/>
    <cellStyle name="Suma 2 11 40" xfId="30064"/>
    <cellStyle name="Suma 2 11 40 2" xfId="30065"/>
    <cellStyle name="Suma 2 11 40 3" xfId="30066"/>
    <cellStyle name="Suma 2 11 41" xfId="30067"/>
    <cellStyle name="Suma 2 11 41 2" xfId="30068"/>
    <cellStyle name="Suma 2 11 41 3" xfId="30069"/>
    <cellStyle name="Suma 2 11 42" xfId="30070"/>
    <cellStyle name="Suma 2 11 42 2" xfId="30071"/>
    <cellStyle name="Suma 2 11 42 3" xfId="30072"/>
    <cellStyle name="Suma 2 11 43" xfId="30073"/>
    <cellStyle name="Suma 2 11 43 2" xfId="30074"/>
    <cellStyle name="Suma 2 11 43 3" xfId="30075"/>
    <cellStyle name="Suma 2 11 44" xfId="30076"/>
    <cellStyle name="Suma 2 11 44 2" xfId="30077"/>
    <cellStyle name="Suma 2 11 44 3" xfId="30078"/>
    <cellStyle name="Suma 2 11 45" xfId="30079"/>
    <cellStyle name="Suma 2 11 45 2" xfId="30080"/>
    <cellStyle name="Suma 2 11 45 3" xfId="30081"/>
    <cellStyle name="Suma 2 11 46" xfId="30082"/>
    <cellStyle name="Suma 2 11 46 2" xfId="30083"/>
    <cellStyle name="Suma 2 11 46 3" xfId="30084"/>
    <cellStyle name="Suma 2 11 47" xfId="30085"/>
    <cellStyle name="Suma 2 11 47 2" xfId="30086"/>
    <cellStyle name="Suma 2 11 47 3" xfId="30087"/>
    <cellStyle name="Suma 2 11 48" xfId="30088"/>
    <cellStyle name="Suma 2 11 48 2" xfId="30089"/>
    <cellStyle name="Suma 2 11 48 3" xfId="30090"/>
    <cellStyle name="Suma 2 11 49" xfId="30091"/>
    <cellStyle name="Suma 2 11 49 2" xfId="30092"/>
    <cellStyle name="Suma 2 11 49 3" xfId="30093"/>
    <cellStyle name="Suma 2 11 5" xfId="30094"/>
    <cellStyle name="Suma 2 11 5 2" xfId="30095"/>
    <cellStyle name="Suma 2 11 5 3" xfId="30096"/>
    <cellStyle name="Suma 2 11 5 4" xfId="30097"/>
    <cellStyle name="Suma 2 11 50" xfId="30098"/>
    <cellStyle name="Suma 2 11 50 2" xfId="30099"/>
    <cellStyle name="Suma 2 11 50 3" xfId="30100"/>
    <cellStyle name="Suma 2 11 51" xfId="30101"/>
    <cellStyle name="Suma 2 11 51 2" xfId="30102"/>
    <cellStyle name="Suma 2 11 51 3" xfId="30103"/>
    <cellStyle name="Suma 2 11 52" xfId="30104"/>
    <cellStyle name="Suma 2 11 52 2" xfId="30105"/>
    <cellStyle name="Suma 2 11 52 3" xfId="30106"/>
    <cellStyle name="Suma 2 11 53" xfId="30107"/>
    <cellStyle name="Suma 2 11 53 2" xfId="30108"/>
    <cellStyle name="Suma 2 11 53 3" xfId="30109"/>
    <cellStyle name="Suma 2 11 54" xfId="30110"/>
    <cellStyle name="Suma 2 11 54 2" xfId="30111"/>
    <cellStyle name="Suma 2 11 54 3" xfId="30112"/>
    <cellStyle name="Suma 2 11 55" xfId="30113"/>
    <cellStyle name="Suma 2 11 55 2" xfId="30114"/>
    <cellStyle name="Suma 2 11 55 3" xfId="30115"/>
    <cellStyle name="Suma 2 11 56" xfId="30116"/>
    <cellStyle name="Suma 2 11 56 2" xfId="30117"/>
    <cellStyle name="Suma 2 11 56 3" xfId="30118"/>
    <cellStyle name="Suma 2 11 57" xfId="30119"/>
    <cellStyle name="Suma 2 11 58" xfId="30120"/>
    <cellStyle name="Suma 2 11 6" xfId="30121"/>
    <cellStyle name="Suma 2 11 6 2" xfId="30122"/>
    <cellStyle name="Suma 2 11 6 3" xfId="30123"/>
    <cellStyle name="Suma 2 11 6 4" xfId="30124"/>
    <cellStyle name="Suma 2 11 7" xfId="30125"/>
    <cellStyle name="Suma 2 11 7 2" xfId="30126"/>
    <cellStyle name="Suma 2 11 7 3" xfId="30127"/>
    <cellStyle name="Suma 2 11 7 4" xfId="30128"/>
    <cellStyle name="Suma 2 11 8" xfId="30129"/>
    <cellStyle name="Suma 2 11 8 2" xfId="30130"/>
    <cellStyle name="Suma 2 11 8 3" xfId="30131"/>
    <cellStyle name="Suma 2 11 8 4" xfId="30132"/>
    <cellStyle name="Suma 2 11 9" xfId="30133"/>
    <cellStyle name="Suma 2 11 9 2" xfId="30134"/>
    <cellStyle name="Suma 2 11 9 3" xfId="30135"/>
    <cellStyle name="Suma 2 11 9 4" xfId="30136"/>
    <cellStyle name="Suma 2 12" xfId="30137"/>
    <cellStyle name="Suma 2 12 10" xfId="30138"/>
    <cellStyle name="Suma 2 12 10 2" xfId="30139"/>
    <cellStyle name="Suma 2 12 10 3" xfId="30140"/>
    <cellStyle name="Suma 2 12 10 4" xfId="30141"/>
    <cellStyle name="Suma 2 12 11" xfId="30142"/>
    <cellStyle name="Suma 2 12 11 2" xfId="30143"/>
    <cellStyle name="Suma 2 12 11 3" xfId="30144"/>
    <cellStyle name="Suma 2 12 11 4" xfId="30145"/>
    <cellStyle name="Suma 2 12 12" xfId="30146"/>
    <cellStyle name="Suma 2 12 12 2" xfId="30147"/>
    <cellStyle name="Suma 2 12 12 3" xfId="30148"/>
    <cellStyle name="Suma 2 12 12 4" xfId="30149"/>
    <cellStyle name="Suma 2 12 13" xfId="30150"/>
    <cellStyle name="Suma 2 12 13 2" xfId="30151"/>
    <cellStyle name="Suma 2 12 13 3" xfId="30152"/>
    <cellStyle name="Suma 2 12 13 4" xfId="30153"/>
    <cellStyle name="Suma 2 12 14" xfId="30154"/>
    <cellStyle name="Suma 2 12 14 2" xfId="30155"/>
    <cellStyle name="Suma 2 12 14 3" xfId="30156"/>
    <cellStyle name="Suma 2 12 14 4" xfId="30157"/>
    <cellStyle name="Suma 2 12 15" xfId="30158"/>
    <cellStyle name="Suma 2 12 15 2" xfId="30159"/>
    <cellStyle name="Suma 2 12 15 3" xfId="30160"/>
    <cellStyle name="Suma 2 12 15 4" xfId="30161"/>
    <cellStyle name="Suma 2 12 16" xfId="30162"/>
    <cellStyle name="Suma 2 12 16 2" xfId="30163"/>
    <cellStyle name="Suma 2 12 16 3" xfId="30164"/>
    <cellStyle name="Suma 2 12 16 4" xfId="30165"/>
    <cellStyle name="Suma 2 12 17" xfId="30166"/>
    <cellStyle name="Suma 2 12 17 2" xfId="30167"/>
    <cellStyle name="Suma 2 12 17 3" xfId="30168"/>
    <cellStyle name="Suma 2 12 17 4" xfId="30169"/>
    <cellStyle name="Suma 2 12 18" xfId="30170"/>
    <cellStyle name="Suma 2 12 18 2" xfId="30171"/>
    <cellStyle name="Suma 2 12 18 3" xfId="30172"/>
    <cellStyle name="Suma 2 12 18 4" xfId="30173"/>
    <cellStyle name="Suma 2 12 19" xfId="30174"/>
    <cellStyle name="Suma 2 12 19 2" xfId="30175"/>
    <cellStyle name="Suma 2 12 19 3" xfId="30176"/>
    <cellStyle name="Suma 2 12 19 4" xfId="30177"/>
    <cellStyle name="Suma 2 12 2" xfId="30178"/>
    <cellStyle name="Suma 2 12 2 2" xfId="30179"/>
    <cellStyle name="Suma 2 12 2 3" xfId="30180"/>
    <cellStyle name="Suma 2 12 2 4" xfId="30181"/>
    <cellStyle name="Suma 2 12 20" xfId="30182"/>
    <cellStyle name="Suma 2 12 20 2" xfId="30183"/>
    <cellStyle name="Suma 2 12 20 3" xfId="30184"/>
    <cellStyle name="Suma 2 12 20 4" xfId="30185"/>
    <cellStyle name="Suma 2 12 21" xfId="30186"/>
    <cellStyle name="Suma 2 12 21 2" xfId="30187"/>
    <cellStyle name="Suma 2 12 21 3" xfId="30188"/>
    <cellStyle name="Suma 2 12 22" xfId="30189"/>
    <cellStyle name="Suma 2 12 22 2" xfId="30190"/>
    <cellStyle name="Suma 2 12 22 3" xfId="30191"/>
    <cellStyle name="Suma 2 12 23" xfId="30192"/>
    <cellStyle name="Suma 2 12 23 2" xfId="30193"/>
    <cellStyle name="Suma 2 12 23 3" xfId="30194"/>
    <cellStyle name="Suma 2 12 24" xfId="30195"/>
    <cellStyle name="Suma 2 12 24 2" xfId="30196"/>
    <cellStyle name="Suma 2 12 24 3" xfId="30197"/>
    <cellStyle name="Suma 2 12 25" xfId="30198"/>
    <cellStyle name="Suma 2 12 25 2" xfId="30199"/>
    <cellStyle name="Suma 2 12 25 3" xfId="30200"/>
    <cellStyle name="Suma 2 12 26" xfId="30201"/>
    <cellStyle name="Suma 2 12 26 2" xfId="30202"/>
    <cellStyle name="Suma 2 12 26 3" xfId="30203"/>
    <cellStyle name="Suma 2 12 27" xfId="30204"/>
    <cellStyle name="Suma 2 12 27 2" xfId="30205"/>
    <cellStyle name="Suma 2 12 27 3" xfId="30206"/>
    <cellStyle name="Suma 2 12 28" xfId="30207"/>
    <cellStyle name="Suma 2 12 28 2" xfId="30208"/>
    <cellStyle name="Suma 2 12 28 3" xfId="30209"/>
    <cellStyle name="Suma 2 12 29" xfId="30210"/>
    <cellStyle name="Suma 2 12 29 2" xfId="30211"/>
    <cellStyle name="Suma 2 12 29 3" xfId="30212"/>
    <cellStyle name="Suma 2 12 3" xfId="30213"/>
    <cellStyle name="Suma 2 12 3 2" xfId="30214"/>
    <cellStyle name="Suma 2 12 3 3" xfId="30215"/>
    <cellStyle name="Suma 2 12 3 4" xfId="30216"/>
    <cellStyle name="Suma 2 12 30" xfId="30217"/>
    <cellStyle name="Suma 2 12 30 2" xfId="30218"/>
    <cellStyle name="Suma 2 12 30 3" xfId="30219"/>
    <cellStyle name="Suma 2 12 31" xfId="30220"/>
    <cellStyle name="Suma 2 12 31 2" xfId="30221"/>
    <cellStyle name="Suma 2 12 31 3" xfId="30222"/>
    <cellStyle name="Suma 2 12 32" xfId="30223"/>
    <cellStyle name="Suma 2 12 32 2" xfId="30224"/>
    <cellStyle name="Suma 2 12 32 3" xfId="30225"/>
    <cellStyle name="Suma 2 12 33" xfId="30226"/>
    <cellStyle name="Suma 2 12 33 2" xfId="30227"/>
    <cellStyle name="Suma 2 12 33 3" xfId="30228"/>
    <cellStyle name="Suma 2 12 34" xfId="30229"/>
    <cellStyle name="Suma 2 12 34 2" xfId="30230"/>
    <cellStyle name="Suma 2 12 34 3" xfId="30231"/>
    <cellStyle name="Suma 2 12 35" xfId="30232"/>
    <cellStyle name="Suma 2 12 35 2" xfId="30233"/>
    <cellStyle name="Suma 2 12 35 3" xfId="30234"/>
    <cellStyle name="Suma 2 12 36" xfId="30235"/>
    <cellStyle name="Suma 2 12 36 2" xfId="30236"/>
    <cellStyle name="Suma 2 12 36 3" xfId="30237"/>
    <cellStyle name="Suma 2 12 37" xfId="30238"/>
    <cellStyle name="Suma 2 12 37 2" xfId="30239"/>
    <cellStyle name="Suma 2 12 37 3" xfId="30240"/>
    <cellStyle name="Suma 2 12 38" xfId="30241"/>
    <cellStyle name="Suma 2 12 38 2" xfId="30242"/>
    <cellStyle name="Suma 2 12 38 3" xfId="30243"/>
    <cellStyle name="Suma 2 12 39" xfId="30244"/>
    <cellStyle name="Suma 2 12 39 2" xfId="30245"/>
    <cellStyle name="Suma 2 12 39 3" xfId="30246"/>
    <cellStyle name="Suma 2 12 4" xfId="30247"/>
    <cellStyle name="Suma 2 12 4 2" xfId="30248"/>
    <cellStyle name="Suma 2 12 4 3" xfId="30249"/>
    <cellStyle name="Suma 2 12 4 4" xfId="30250"/>
    <cellStyle name="Suma 2 12 40" xfId="30251"/>
    <cellStyle name="Suma 2 12 40 2" xfId="30252"/>
    <cellStyle name="Suma 2 12 40 3" xfId="30253"/>
    <cellStyle name="Suma 2 12 41" xfId="30254"/>
    <cellStyle name="Suma 2 12 41 2" xfId="30255"/>
    <cellStyle name="Suma 2 12 41 3" xfId="30256"/>
    <cellStyle name="Suma 2 12 42" xfId="30257"/>
    <cellStyle name="Suma 2 12 42 2" xfId="30258"/>
    <cellStyle name="Suma 2 12 42 3" xfId="30259"/>
    <cellStyle name="Suma 2 12 43" xfId="30260"/>
    <cellStyle name="Suma 2 12 43 2" xfId="30261"/>
    <cellStyle name="Suma 2 12 43 3" xfId="30262"/>
    <cellStyle name="Suma 2 12 44" xfId="30263"/>
    <cellStyle name="Suma 2 12 44 2" xfId="30264"/>
    <cellStyle name="Suma 2 12 44 3" xfId="30265"/>
    <cellStyle name="Suma 2 12 45" xfId="30266"/>
    <cellStyle name="Suma 2 12 45 2" xfId="30267"/>
    <cellStyle name="Suma 2 12 45 3" xfId="30268"/>
    <cellStyle name="Suma 2 12 46" xfId="30269"/>
    <cellStyle name="Suma 2 12 46 2" xfId="30270"/>
    <cellStyle name="Suma 2 12 46 3" xfId="30271"/>
    <cellStyle name="Suma 2 12 47" xfId="30272"/>
    <cellStyle name="Suma 2 12 47 2" xfId="30273"/>
    <cellStyle name="Suma 2 12 47 3" xfId="30274"/>
    <cellStyle name="Suma 2 12 48" xfId="30275"/>
    <cellStyle name="Suma 2 12 48 2" xfId="30276"/>
    <cellStyle name="Suma 2 12 48 3" xfId="30277"/>
    <cellStyle name="Suma 2 12 49" xfId="30278"/>
    <cellStyle name="Suma 2 12 49 2" xfId="30279"/>
    <cellStyle name="Suma 2 12 49 3" xfId="30280"/>
    <cellStyle name="Suma 2 12 5" xfId="30281"/>
    <cellStyle name="Suma 2 12 5 2" xfId="30282"/>
    <cellStyle name="Suma 2 12 5 3" xfId="30283"/>
    <cellStyle name="Suma 2 12 5 4" xfId="30284"/>
    <cellStyle name="Suma 2 12 50" xfId="30285"/>
    <cellStyle name="Suma 2 12 50 2" xfId="30286"/>
    <cellStyle name="Suma 2 12 50 3" xfId="30287"/>
    <cellStyle name="Suma 2 12 51" xfId="30288"/>
    <cellStyle name="Suma 2 12 51 2" xfId="30289"/>
    <cellStyle name="Suma 2 12 51 3" xfId="30290"/>
    <cellStyle name="Suma 2 12 52" xfId="30291"/>
    <cellStyle name="Suma 2 12 52 2" xfId="30292"/>
    <cellStyle name="Suma 2 12 52 3" xfId="30293"/>
    <cellStyle name="Suma 2 12 53" xfId="30294"/>
    <cellStyle name="Suma 2 12 53 2" xfId="30295"/>
    <cellStyle name="Suma 2 12 53 3" xfId="30296"/>
    <cellStyle name="Suma 2 12 54" xfId="30297"/>
    <cellStyle name="Suma 2 12 54 2" xfId="30298"/>
    <cellStyle name="Suma 2 12 54 3" xfId="30299"/>
    <cellStyle name="Suma 2 12 55" xfId="30300"/>
    <cellStyle name="Suma 2 12 55 2" xfId="30301"/>
    <cellStyle name="Suma 2 12 55 3" xfId="30302"/>
    <cellStyle name="Suma 2 12 56" xfId="30303"/>
    <cellStyle name="Suma 2 12 56 2" xfId="30304"/>
    <cellStyle name="Suma 2 12 56 3" xfId="30305"/>
    <cellStyle name="Suma 2 12 57" xfId="30306"/>
    <cellStyle name="Suma 2 12 58" xfId="30307"/>
    <cellStyle name="Suma 2 12 6" xfId="30308"/>
    <cellStyle name="Suma 2 12 6 2" xfId="30309"/>
    <cellStyle name="Suma 2 12 6 3" xfId="30310"/>
    <cellStyle name="Suma 2 12 6 4" xfId="30311"/>
    <cellStyle name="Suma 2 12 7" xfId="30312"/>
    <cellStyle name="Suma 2 12 7 2" xfId="30313"/>
    <cellStyle name="Suma 2 12 7 3" xfId="30314"/>
    <cellStyle name="Suma 2 12 7 4" xfId="30315"/>
    <cellStyle name="Suma 2 12 8" xfId="30316"/>
    <cellStyle name="Suma 2 12 8 2" xfId="30317"/>
    <cellStyle name="Suma 2 12 8 3" xfId="30318"/>
    <cellStyle name="Suma 2 12 8 4" xfId="30319"/>
    <cellStyle name="Suma 2 12 9" xfId="30320"/>
    <cellStyle name="Suma 2 12 9 2" xfId="30321"/>
    <cellStyle name="Suma 2 12 9 3" xfId="30322"/>
    <cellStyle name="Suma 2 12 9 4" xfId="30323"/>
    <cellStyle name="Suma 2 13" xfId="30324"/>
    <cellStyle name="Suma 2 13 10" xfId="30325"/>
    <cellStyle name="Suma 2 13 10 2" xfId="30326"/>
    <cellStyle name="Suma 2 13 10 3" xfId="30327"/>
    <cellStyle name="Suma 2 13 10 4" xfId="30328"/>
    <cellStyle name="Suma 2 13 11" xfId="30329"/>
    <cellStyle name="Suma 2 13 11 2" xfId="30330"/>
    <cellStyle name="Suma 2 13 11 3" xfId="30331"/>
    <cellStyle name="Suma 2 13 11 4" xfId="30332"/>
    <cellStyle name="Suma 2 13 12" xfId="30333"/>
    <cellStyle name="Suma 2 13 12 2" xfId="30334"/>
    <cellStyle name="Suma 2 13 12 3" xfId="30335"/>
    <cellStyle name="Suma 2 13 12 4" xfId="30336"/>
    <cellStyle name="Suma 2 13 13" xfId="30337"/>
    <cellStyle name="Suma 2 13 13 2" xfId="30338"/>
    <cellStyle name="Suma 2 13 13 3" xfId="30339"/>
    <cellStyle name="Suma 2 13 13 4" xfId="30340"/>
    <cellStyle name="Suma 2 13 14" xfId="30341"/>
    <cellStyle name="Suma 2 13 14 2" xfId="30342"/>
    <cellStyle name="Suma 2 13 14 3" xfId="30343"/>
    <cellStyle name="Suma 2 13 14 4" xfId="30344"/>
    <cellStyle name="Suma 2 13 15" xfId="30345"/>
    <cellStyle name="Suma 2 13 15 2" xfId="30346"/>
    <cellStyle name="Suma 2 13 15 3" xfId="30347"/>
    <cellStyle name="Suma 2 13 15 4" xfId="30348"/>
    <cellStyle name="Suma 2 13 16" xfId="30349"/>
    <cellStyle name="Suma 2 13 16 2" xfId="30350"/>
    <cellStyle name="Suma 2 13 16 3" xfId="30351"/>
    <cellStyle name="Suma 2 13 16 4" xfId="30352"/>
    <cellStyle name="Suma 2 13 17" xfId="30353"/>
    <cellStyle name="Suma 2 13 17 2" xfId="30354"/>
    <cellStyle name="Suma 2 13 17 3" xfId="30355"/>
    <cellStyle name="Suma 2 13 17 4" xfId="30356"/>
    <cellStyle name="Suma 2 13 18" xfId="30357"/>
    <cellStyle name="Suma 2 13 18 2" xfId="30358"/>
    <cellStyle name="Suma 2 13 18 3" xfId="30359"/>
    <cellStyle name="Suma 2 13 18 4" xfId="30360"/>
    <cellStyle name="Suma 2 13 19" xfId="30361"/>
    <cellStyle name="Suma 2 13 19 2" xfId="30362"/>
    <cellStyle name="Suma 2 13 19 3" xfId="30363"/>
    <cellStyle name="Suma 2 13 19 4" xfId="30364"/>
    <cellStyle name="Suma 2 13 2" xfId="30365"/>
    <cellStyle name="Suma 2 13 2 2" xfId="30366"/>
    <cellStyle name="Suma 2 13 2 3" xfId="30367"/>
    <cellStyle name="Suma 2 13 2 4" xfId="30368"/>
    <cellStyle name="Suma 2 13 20" xfId="30369"/>
    <cellStyle name="Suma 2 13 20 2" xfId="30370"/>
    <cellStyle name="Suma 2 13 20 3" xfId="30371"/>
    <cellStyle name="Suma 2 13 20 4" xfId="30372"/>
    <cellStyle name="Suma 2 13 21" xfId="30373"/>
    <cellStyle name="Suma 2 13 21 2" xfId="30374"/>
    <cellStyle name="Suma 2 13 21 3" xfId="30375"/>
    <cellStyle name="Suma 2 13 22" xfId="30376"/>
    <cellStyle name="Suma 2 13 22 2" xfId="30377"/>
    <cellStyle name="Suma 2 13 22 3" xfId="30378"/>
    <cellStyle name="Suma 2 13 23" xfId="30379"/>
    <cellStyle name="Suma 2 13 23 2" xfId="30380"/>
    <cellStyle name="Suma 2 13 23 3" xfId="30381"/>
    <cellStyle name="Suma 2 13 24" xfId="30382"/>
    <cellStyle name="Suma 2 13 24 2" xfId="30383"/>
    <cellStyle name="Suma 2 13 24 3" xfId="30384"/>
    <cellStyle name="Suma 2 13 25" xfId="30385"/>
    <cellStyle name="Suma 2 13 25 2" xfId="30386"/>
    <cellStyle name="Suma 2 13 25 3" xfId="30387"/>
    <cellStyle name="Suma 2 13 26" xfId="30388"/>
    <cellStyle name="Suma 2 13 26 2" xfId="30389"/>
    <cellStyle name="Suma 2 13 26 3" xfId="30390"/>
    <cellStyle name="Suma 2 13 27" xfId="30391"/>
    <cellStyle name="Suma 2 13 27 2" xfId="30392"/>
    <cellStyle name="Suma 2 13 27 3" xfId="30393"/>
    <cellStyle name="Suma 2 13 28" xfId="30394"/>
    <cellStyle name="Suma 2 13 28 2" xfId="30395"/>
    <cellStyle name="Suma 2 13 28 3" xfId="30396"/>
    <cellStyle name="Suma 2 13 29" xfId="30397"/>
    <cellStyle name="Suma 2 13 29 2" xfId="30398"/>
    <cellStyle name="Suma 2 13 29 3" xfId="30399"/>
    <cellStyle name="Suma 2 13 3" xfId="30400"/>
    <cellStyle name="Suma 2 13 3 2" xfId="30401"/>
    <cellStyle name="Suma 2 13 3 3" xfId="30402"/>
    <cellStyle name="Suma 2 13 3 4" xfId="30403"/>
    <cellStyle name="Suma 2 13 30" xfId="30404"/>
    <cellStyle name="Suma 2 13 30 2" xfId="30405"/>
    <cellStyle name="Suma 2 13 30 3" xfId="30406"/>
    <cellStyle name="Suma 2 13 31" xfId="30407"/>
    <cellStyle name="Suma 2 13 31 2" xfId="30408"/>
    <cellStyle name="Suma 2 13 31 3" xfId="30409"/>
    <cellStyle name="Suma 2 13 32" xfId="30410"/>
    <cellStyle name="Suma 2 13 32 2" xfId="30411"/>
    <cellStyle name="Suma 2 13 32 3" xfId="30412"/>
    <cellStyle name="Suma 2 13 33" xfId="30413"/>
    <cellStyle name="Suma 2 13 33 2" xfId="30414"/>
    <cellStyle name="Suma 2 13 33 3" xfId="30415"/>
    <cellStyle name="Suma 2 13 34" xfId="30416"/>
    <cellStyle name="Suma 2 13 34 2" xfId="30417"/>
    <cellStyle name="Suma 2 13 34 3" xfId="30418"/>
    <cellStyle name="Suma 2 13 35" xfId="30419"/>
    <cellStyle name="Suma 2 13 35 2" xfId="30420"/>
    <cellStyle name="Suma 2 13 35 3" xfId="30421"/>
    <cellStyle name="Suma 2 13 36" xfId="30422"/>
    <cellStyle name="Suma 2 13 36 2" xfId="30423"/>
    <cellStyle name="Suma 2 13 36 3" xfId="30424"/>
    <cellStyle name="Suma 2 13 37" xfId="30425"/>
    <cellStyle name="Suma 2 13 37 2" xfId="30426"/>
    <cellStyle name="Suma 2 13 37 3" xfId="30427"/>
    <cellStyle name="Suma 2 13 38" xfId="30428"/>
    <cellStyle name="Suma 2 13 38 2" xfId="30429"/>
    <cellStyle name="Suma 2 13 38 3" xfId="30430"/>
    <cellStyle name="Suma 2 13 39" xfId="30431"/>
    <cellStyle name="Suma 2 13 39 2" xfId="30432"/>
    <cellStyle name="Suma 2 13 39 3" xfId="30433"/>
    <cellStyle name="Suma 2 13 4" xfId="30434"/>
    <cellStyle name="Suma 2 13 4 2" xfId="30435"/>
    <cellStyle name="Suma 2 13 4 3" xfId="30436"/>
    <cellStyle name="Suma 2 13 4 4" xfId="30437"/>
    <cellStyle name="Suma 2 13 40" xfId="30438"/>
    <cellStyle name="Suma 2 13 40 2" xfId="30439"/>
    <cellStyle name="Suma 2 13 40 3" xfId="30440"/>
    <cellStyle name="Suma 2 13 41" xfId="30441"/>
    <cellStyle name="Suma 2 13 41 2" xfId="30442"/>
    <cellStyle name="Suma 2 13 41 3" xfId="30443"/>
    <cellStyle name="Suma 2 13 42" xfId="30444"/>
    <cellStyle name="Suma 2 13 42 2" xfId="30445"/>
    <cellStyle name="Suma 2 13 42 3" xfId="30446"/>
    <cellStyle name="Suma 2 13 43" xfId="30447"/>
    <cellStyle name="Suma 2 13 43 2" xfId="30448"/>
    <cellStyle name="Suma 2 13 43 3" xfId="30449"/>
    <cellStyle name="Suma 2 13 44" xfId="30450"/>
    <cellStyle name="Suma 2 13 44 2" xfId="30451"/>
    <cellStyle name="Suma 2 13 44 3" xfId="30452"/>
    <cellStyle name="Suma 2 13 45" xfId="30453"/>
    <cellStyle name="Suma 2 13 45 2" xfId="30454"/>
    <cellStyle name="Suma 2 13 45 3" xfId="30455"/>
    <cellStyle name="Suma 2 13 46" xfId="30456"/>
    <cellStyle name="Suma 2 13 46 2" xfId="30457"/>
    <cellStyle name="Suma 2 13 46 3" xfId="30458"/>
    <cellStyle name="Suma 2 13 47" xfId="30459"/>
    <cellStyle name="Suma 2 13 47 2" xfId="30460"/>
    <cellStyle name="Suma 2 13 47 3" xfId="30461"/>
    <cellStyle name="Suma 2 13 48" xfId="30462"/>
    <cellStyle name="Suma 2 13 48 2" xfId="30463"/>
    <cellStyle name="Suma 2 13 48 3" xfId="30464"/>
    <cellStyle name="Suma 2 13 49" xfId="30465"/>
    <cellStyle name="Suma 2 13 49 2" xfId="30466"/>
    <cellStyle name="Suma 2 13 49 3" xfId="30467"/>
    <cellStyle name="Suma 2 13 5" xfId="30468"/>
    <cellStyle name="Suma 2 13 5 2" xfId="30469"/>
    <cellStyle name="Suma 2 13 5 3" xfId="30470"/>
    <cellStyle name="Suma 2 13 5 4" xfId="30471"/>
    <cellStyle name="Suma 2 13 50" xfId="30472"/>
    <cellStyle name="Suma 2 13 50 2" xfId="30473"/>
    <cellStyle name="Suma 2 13 50 3" xfId="30474"/>
    <cellStyle name="Suma 2 13 51" xfId="30475"/>
    <cellStyle name="Suma 2 13 51 2" xfId="30476"/>
    <cellStyle name="Suma 2 13 51 3" xfId="30477"/>
    <cellStyle name="Suma 2 13 52" xfId="30478"/>
    <cellStyle name="Suma 2 13 52 2" xfId="30479"/>
    <cellStyle name="Suma 2 13 52 3" xfId="30480"/>
    <cellStyle name="Suma 2 13 53" xfId="30481"/>
    <cellStyle name="Suma 2 13 53 2" xfId="30482"/>
    <cellStyle name="Suma 2 13 53 3" xfId="30483"/>
    <cellStyle name="Suma 2 13 54" xfId="30484"/>
    <cellStyle name="Suma 2 13 54 2" xfId="30485"/>
    <cellStyle name="Suma 2 13 54 3" xfId="30486"/>
    <cellStyle name="Suma 2 13 55" xfId="30487"/>
    <cellStyle name="Suma 2 13 55 2" xfId="30488"/>
    <cellStyle name="Suma 2 13 55 3" xfId="30489"/>
    <cellStyle name="Suma 2 13 56" xfId="30490"/>
    <cellStyle name="Suma 2 13 56 2" xfId="30491"/>
    <cellStyle name="Suma 2 13 56 3" xfId="30492"/>
    <cellStyle name="Suma 2 13 57" xfId="30493"/>
    <cellStyle name="Suma 2 13 58" xfId="30494"/>
    <cellStyle name="Suma 2 13 6" xfId="30495"/>
    <cellStyle name="Suma 2 13 6 2" xfId="30496"/>
    <cellStyle name="Suma 2 13 6 3" xfId="30497"/>
    <cellStyle name="Suma 2 13 6 4" xfId="30498"/>
    <cellStyle name="Suma 2 13 7" xfId="30499"/>
    <cellStyle name="Suma 2 13 7 2" xfId="30500"/>
    <cellStyle name="Suma 2 13 7 3" xfId="30501"/>
    <cellStyle name="Suma 2 13 7 4" xfId="30502"/>
    <cellStyle name="Suma 2 13 8" xfId="30503"/>
    <cellStyle name="Suma 2 13 8 2" xfId="30504"/>
    <cellStyle name="Suma 2 13 8 3" xfId="30505"/>
    <cellStyle name="Suma 2 13 8 4" xfId="30506"/>
    <cellStyle name="Suma 2 13 9" xfId="30507"/>
    <cellStyle name="Suma 2 13 9 2" xfId="30508"/>
    <cellStyle name="Suma 2 13 9 3" xfId="30509"/>
    <cellStyle name="Suma 2 13 9 4" xfId="30510"/>
    <cellStyle name="Suma 2 14" xfId="30511"/>
    <cellStyle name="Suma 2 14 10" xfId="30512"/>
    <cellStyle name="Suma 2 14 10 2" xfId="30513"/>
    <cellStyle name="Suma 2 14 10 3" xfId="30514"/>
    <cellStyle name="Suma 2 14 10 4" xfId="30515"/>
    <cellStyle name="Suma 2 14 11" xfId="30516"/>
    <cellStyle name="Suma 2 14 11 2" xfId="30517"/>
    <cellStyle name="Suma 2 14 11 3" xfId="30518"/>
    <cellStyle name="Suma 2 14 11 4" xfId="30519"/>
    <cellStyle name="Suma 2 14 12" xfId="30520"/>
    <cellStyle name="Suma 2 14 12 2" xfId="30521"/>
    <cellStyle name="Suma 2 14 12 3" xfId="30522"/>
    <cellStyle name="Suma 2 14 12 4" xfId="30523"/>
    <cellStyle name="Suma 2 14 13" xfId="30524"/>
    <cellStyle name="Suma 2 14 13 2" xfId="30525"/>
    <cellStyle name="Suma 2 14 13 3" xfId="30526"/>
    <cellStyle name="Suma 2 14 13 4" xfId="30527"/>
    <cellStyle name="Suma 2 14 14" xfId="30528"/>
    <cellStyle name="Suma 2 14 14 2" xfId="30529"/>
    <cellStyle name="Suma 2 14 14 3" xfId="30530"/>
    <cellStyle name="Suma 2 14 14 4" xfId="30531"/>
    <cellStyle name="Suma 2 14 15" xfId="30532"/>
    <cellStyle name="Suma 2 14 15 2" xfId="30533"/>
    <cellStyle name="Suma 2 14 15 3" xfId="30534"/>
    <cellStyle name="Suma 2 14 15 4" xfId="30535"/>
    <cellStyle name="Suma 2 14 16" xfId="30536"/>
    <cellStyle name="Suma 2 14 16 2" xfId="30537"/>
    <cellStyle name="Suma 2 14 16 3" xfId="30538"/>
    <cellStyle name="Suma 2 14 16 4" xfId="30539"/>
    <cellStyle name="Suma 2 14 17" xfId="30540"/>
    <cellStyle name="Suma 2 14 17 2" xfId="30541"/>
    <cellStyle name="Suma 2 14 17 3" xfId="30542"/>
    <cellStyle name="Suma 2 14 17 4" xfId="30543"/>
    <cellStyle name="Suma 2 14 18" xfId="30544"/>
    <cellStyle name="Suma 2 14 18 2" xfId="30545"/>
    <cellStyle name="Suma 2 14 18 3" xfId="30546"/>
    <cellStyle name="Suma 2 14 18 4" xfId="30547"/>
    <cellStyle name="Suma 2 14 19" xfId="30548"/>
    <cellStyle name="Suma 2 14 19 2" xfId="30549"/>
    <cellStyle name="Suma 2 14 19 3" xfId="30550"/>
    <cellStyle name="Suma 2 14 19 4" xfId="30551"/>
    <cellStyle name="Suma 2 14 2" xfId="30552"/>
    <cellStyle name="Suma 2 14 2 2" xfId="30553"/>
    <cellStyle name="Suma 2 14 2 3" xfId="30554"/>
    <cellStyle name="Suma 2 14 2 4" xfId="30555"/>
    <cellStyle name="Suma 2 14 20" xfId="30556"/>
    <cellStyle name="Suma 2 14 20 2" xfId="30557"/>
    <cellStyle name="Suma 2 14 20 3" xfId="30558"/>
    <cellStyle name="Suma 2 14 20 4" xfId="30559"/>
    <cellStyle name="Suma 2 14 21" xfId="30560"/>
    <cellStyle name="Suma 2 14 21 2" xfId="30561"/>
    <cellStyle name="Suma 2 14 21 3" xfId="30562"/>
    <cellStyle name="Suma 2 14 22" xfId="30563"/>
    <cellStyle name="Suma 2 14 22 2" xfId="30564"/>
    <cellStyle name="Suma 2 14 22 3" xfId="30565"/>
    <cellStyle name="Suma 2 14 23" xfId="30566"/>
    <cellStyle name="Suma 2 14 23 2" xfId="30567"/>
    <cellStyle name="Suma 2 14 23 3" xfId="30568"/>
    <cellStyle name="Suma 2 14 24" xfId="30569"/>
    <cellStyle name="Suma 2 14 24 2" xfId="30570"/>
    <cellStyle name="Suma 2 14 24 3" xfId="30571"/>
    <cellStyle name="Suma 2 14 25" xfId="30572"/>
    <cellStyle name="Suma 2 14 25 2" xfId="30573"/>
    <cellStyle name="Suma 2 14 25 3" xfId="30574"/>
    <cellStyle name="Suma 2 14 26" xfId="30575"/>
    <cellStyle name="Suma 2 14 26 2" xfId="30576"/>
    <cellStyle name="Suma 2 14 26 3" xfId="30577"/>
    <cellStyle name="Suma 2 14 27" xfId="30578"/>
    <cellStyle name="Suma 2 14 27 2" xfId="30579"/>
    <cellStyle name="Suma 2 14 27 3" xfId="30580"/>
    <cellStyle name="Suma 2 14 28" xfId="30581"/>
    <cellStyle name="Suma 2 14 28 2" xfId="30582"/>
    <cellStyle name="Suma 2 14 28 3" xfId="30583"/>
    <cellStyle name="Suma 2 14 29" xfId="30584"/>
    <cellStyle name="Suma 2 14 29 2" xfId="30585"/>
    <cellStyle name="Suma 2 14 29 3" xfId="30586"/>
    <cellStyle name="Suma 2 14 3" xfId="30587"/>
    <cellStyle name="Suma 2 14 3 2" xfId="30588"/>
    <cellStyle name="Suma 2 14 3 3" xfId="30589"/>
    <cellStyle name="Suma 2 14 3 4" xfId="30590"/>
    <cellStyle name="Suma 2 14 30" xfId="30591"/>
    <cellStyle name="Suma 2 14 30 2" xfId="30592"/>
    <cellStyle name="Suma 2 14 30 3" xfId="30593"/>
    <cellStyle name="Suma 2 14 31" xfId="30594"/>
    <cellStyle name="Suma 2 14 31 2" xfId="30595"/>
    <cellStyle name="Suma 2 14 31 3" xfId="30596"/>
    <cellStyle name="Suma 2 14 32" xfId="30597"/>
    <cellStyle name="Suma 2 14 32 2" xfId="30598"/>
    <cellStyle name="Suma 2 14 32 3" xfId="30599"/>
    <cellStyle name="Suma 2 14 33" xfId="30600"/>
    <cellStyle name="Suma 2 14 33 2" xfId="30601"/>
    <cellStyle name="Suma 2 14 33 3" xfId="30602"/>
    <cellStyle name="Suma 2 14 34" xfId="30603"/>
    <cellStyle name="Suma 2 14 34 2" xfId="30604"/>
    <cellStyle name="Suma 2 14 34 3" xfId="30605"/>
    <cellStyle name="Suma 2 14 35" xfId="30606"/>
    <cellStyle name="Suma 2 14 35 2" xfId="30607"/>
    <cellStyle name="Suma 2 14 35 3" xfId="30608"/>
    <cellStyle name="Suma 2 14 36" xfId="30609"/>
    <cellStyle name="Suma 2 14 36 2" xfId="30610"/>
    <cellStyle name="Suma 2 14 36 3" xfId="30611"/>
    <cellStyle name="Suma 2 14 37" xfId="30612"/>
    <cellStyle name="Suma 2 14 37 2" xfId="30613"/>
    <cellStyle name="Suma 2 14 37 3" xfId="30614"/>
    <cellStyle name="Suma 2 14 38" xfId="30615"/>
    <cellStyle name="Suma 2 14 38 2" xfId="30616"/>
    <cellStyle name="Suma 2 14 38 3" xfId="30617"/>
    <cellStyle name="Suma 2 14 39" xfId="30618"/>
    <cellStyle name="Suma 2 14 39 2" xfId="30619"/>
    <cellStyle name="Suma 2 14 39 3" xfId="30620"/>
    <cellStyle name="Suma 2 14 4" xfId="30621"/>
    <cellStyle name="Suma 2 14 4 2" xfId="30622"/>
    <cellStyle name="Suma 2 14 4 3" xfId="30623"/>
    <cellStyle name="Suma 2 14 4 4" xfId="30624"/>
    <cellStyle name="Suma 2 14 40" xfId="30625"/>
    <cellStyle name="Suma 2 14 40 2" xfId="30626"/>
    <cellStyle name="Suma 2 14 40 3" xfId="30627"/>
    <cellStyle name="Suma 2 14 41" xfId="30628"/>
    <cellStyle name="Suma 2 14 41 2" xfId="30629"/>
    <cellStyle name="Suma 2 14 41 3" xfId="30630"/>
    <cellStyle name="Suma 2 14 42" xfId="30631"/>
    <cellStyle name="Suma 2 14 42 2" xfId="30632"/>
    <cellStyle name="Suma 2 14 42 3" xfId="30633"/>
    <cellStyle name="Suma 2 14 43" xfId="30634"/>
    <cellStyle name="Suma 2 14 43 2" xfId="30635"/>
    <cellStyle name="Suma 2 14 43 3" xfId="30636"/>
    <cellStyle name="Suma 2 14 44" xfId="30637"/>
    <cellStyle name="Suma 2 14 44 2" xfId="30638"/>
    <cellStyle name="Suma 2 14 44 3" xfId="30639"/>
    <cellStyle name="Suma 2 14 45" xfId="30640"/>
    <cellStyle name="Suma 2 14 45 2" xfId="30641"/>
    <cellStyle name="Suma 2 14 45 3" xfId="30642"/>
    <cellStyle name="Suma 2 14 46" xfId="30643"/>
    <cellStyle name="Suma 2 14 46 2" xfId="30644"/>
    <cellStyle name="Suma 2 14 46 3" xfId="30645"/>
    <cellStyle name="Suma 2 14 47" xfId="30646"/>
    <cellStyle name="Suma 2 14 47 2" xfId="30647"/>
    <cellStyle name="Suma 2 14 47 3" xfId="30648"/>
    <cellStyle name="Suma 2 14 48" xfId="30649"/>
    <cellStyle name="Suma 2 14 48 2" xfId="30650"/>
    <cellStyle name="Suma 2 14 48 3" xfId="30651"/>
    <cellStyle name="Suma 2 14 49" xfId="30652"/>
    <cellStyle name="Suma 2 14 49 2" xfId="30653"/>
    <cellStyle name="Suma 2 14 49 3" xfId="30654"/>
    <cellStyle name="Suma 2 14 5" xfId="30655"/>
    <cellStyle name="Suma 2 14 5 2" xfId="30656"/>
    <cellStyle name="Suma 2 14 5 3" xfId="30657"/>
    <cellStyle name="Suma 2 14 5 4" xfId="30658"/>
    <cellStyle name="Suma 2 14 50" xfId="30659"/>
    <cellStyle name="Suma 2 14 50 2" xfId="30660"/>
    <cellStyle name="Suma 2 14 50 3" xfId="30661"/>
    <cellStyle name="Suma 2 14 51" xfId="30662"/>
    <cellStyle name="Suma 2 14 51 2" xfId="30663"/>
    <cellStyle name="Suma 2 14 51 3" xfId="30664"/>
    <cellStyle name="Suma 2 14 52" xfId="30665"/>
    <cellStyle name="Suma 2 14 52 2" xfId="30666"/>
    <cellStyle name="Suma 2 14 52 3" xfId="30667"/>
    <cellStyle name="Suma 2 14 53" xfId="30668"/>
    <cellStyle name="Suma 2 14 53 2" xfId="30669"/>
    <cellStyle name="Suma 2 14 53 3" xfId="30670"/>
    <cellStyle name="Suma 2 14 54" xfId="30671"/>
    <cellStyle name="Suma 2 14 54 2" xfId="30672"/>
    <cellStyle name="Suma 2 14 54 3" xfId="30673"/>
    <cellStyle name="Suma 2 14 55" xfId="30674"/>
    <cellStyle name="Suma 2 14 55 2" xfId="30675"/>
    <cellStyle name="Suma 2 14 55 3" xfId="30676"/>
    <cellStyle name="Suma 2 14 56" xfId="30677"/>
    <cellStyle name="Suma 2 14 56 2" xfId="30678"/>
    <cellStyle name="Suma 2 14 56 3" xfId="30679"/>
    <cellStyle name="Suma 2 14 57" xfId="30680"/>
    <cellStyle name="Suma 2 14 58" xfId="30681"/>
    <cellStyle name="Suma 2 14 6" xfId="30682"/>
    <cellStyle name="Suma 2 14 6 2" xfId="30683"/>
    <cellStyle name="Suma 2 14 6 3" xfId="30684"/>
    <cellStyle name="Suma 2 14 6 4" xfId="30685"/>
    <cellStyle name="Suma 2 14 7" xfId="30686"/>
    <cellStyle name="Suma 2 14 7 2" xfId="30687"/>
    <cellStyle name="Suma 2 14 7 3" xfId="30688"/>
    <cellStyle name="Suma 2 14 7 4" xfId="30689"/>
    <cellStyle name="Suma 2 14 8" xfId="30690"/>
    <cellStyle name="Suma 2 14 8 2" xfId="30691"/>
    <cellStyle name="Suma 2 14 8 3" xfId="30692"/>
    <cellStyle name="Suma 2 14 8 4" xfId="30693"/>
    <cellStyle name="Suma 2 14 9" xfId="30694"/>
    <cellStyle name="Suma 2 14 9 2" xfId="30695"/>
    <cellStyle name="Suma 2 14 9 3" xfId="30696"/>
    <cellStyle name="Suma 2 14 9 4" xfId="30697"/>
    <cellStyle name="Suma 2 15" xfId="30698"/>
    <cellStyle name="Suma 2 15 10" xfId="30699"/>
    <cellStyle name="Suma 2 15 10 2" xfId="30700"/>
    <cellStyle name="Suma 2 15 10 3" xfId="30701"/>
    <cellStyle name="Suma 2 15 10 4" xfId="30702"/>
    <cellStyle name="Suma 2 15 11" xfId="30703"/>
    <cellStyle name="Suma 2 15 11 2" xfId="30704"/>
    <cellStyle name="Suma 2 15 11 3" xfId="30705"/>
    <cellStyle name="Suma 2 15 11 4" xfId="30706"/>
    <cellStyle name="Suma 2 15 12" xfId="30707"/>
    <cellStyle name="Suma 2 15 12 2" xfId="30708"/>
    <cellStyle name="Suma 2 15 12 3" xfId="30709"/>
    <cellStyle name="Suma 2 15 12 4" xfId="30710"/>
    <cellStyle name="Suma 2 15 13" xfId="30711"/>
    <cellStyle name="Suma 2 15 13 2" xfId="30712"/>
    <cellStyle name="Suma 2 15 13 3" xfId="30713"/>
    <cellStyle name="Suma 2 15 13 4" xfId="30714"/>
    <cellStyle name="Suma 2 15 14" xfId="30715"/>
    <cellStyle name="Suma 2 15 14 2" xfId="30716"/>
    <cellStyle name="Suma 2 15 14 3" xfId="30717"/>
    <cellStyle name="Suma 2 15 14 4" xfId="30718"/>
    <cellStyle name="Suma 2 15 15" xfId="30719"/>
    <cellStyle name="Suma 2 15 15 2" xfId="30720"/>
    <cellStyle name="Suma 2 15 15 3" xfId="30721"/>
    <cellStyle name="Suma 2 15 15 4" xfId="30722"/>
    <cellStyle name="Suma 2 15 16" xfId="30723"/>
    <cellStyle name="Suma 2 15 16 2" xfId="30724"/>
    <cellStyle name="Suma 2 15 16 3" xfId="30725"/>
    <cellStyle name="Suma 2 15 16 4" xfId="30726"/>
    <cellStyle name="Suma 2 15 17" xfId="30727"/>
    <cellStyle name="Suma 2 15 17 2" xfId="30728"/>
    <cellStyle name="Suma 2 15 17 3" xfId="30729"/>
    <cellStyle name="Suma 2 15 17 4" xfId="30730"/>
    <cellStyle name="Suma 2 15 18" xfId="30731"/>
    <cellStyle name="Suma 2 15 18 2" xfId="30732"/>
    <cellStyle name="Suma 2 15 18 3" xfId="30733"/>
    <cellStyle name="Suma 2 15 18 4" xfId="30734"/>
    <cellStyle name="Suma 2 15 19" xfId="30735"/>
    <cellStyle name="Suma 2 15 19 2" xfId="30736"/>
    <cellStyle name="Suma 2 15 19 3" xfId="30737"/>
    <cellStyle name="Suma 2 15 19 4" xfId="30738"/>
    <cellStyle name="Suma 2 15 2" xfId="30739"/>
    <cellStyle name="Suma 2 15 2 2" xfId="30740"/>
    <cellStyle name="Suma 2 15 2 3" xfId="30741"/>
    <cellStyle name="Suma 2 15 2 4" xfId="30742"/>
    <cellStyle name="Suma 2 15 20" xfId="30743"/>
    <cellStyle name="Suma 2 15 20 2" xfId="30744"/>
    <cellStyle name="Suma 2 15 20 3" xfId="30745"/>
    <cellStyle name="Suma 2 15 20 4" xfId="30746"/>
    <cellStyle name="Suma 2 15 21" xfId="30747"/>
    <cellStyle name="Suma 2 15 21 2" xfId="30748"/>
    <cellStyle name="Suma 2 15 21 3" xfId="30749"/>
    <cellStyle name="Suma 2 15 22" xfId="30750"/>
    <cellStyle name="Suma 2 15 22 2" xfId="30751"/>
    <cellStyle name="Suma 2 15 22 3" xfId="30752"/>
    <cellStyle name="Suma 2 15 23" xfId="30753"/>
    <cellStyle name="Suma 2 15 23 2" xfId="30754"/>
    <cellStyle name="Suma 2 15 23 3" xfId="30755"/>
    <cellStyle name="Suma 2 15 24" xfId="30756"/>
    <cellStyle name="Suma 2 15 24 2" xfId="30757"/>
    <cellStyle name="Suma 2 15 24 3" xfId="30758"/>
    <cellStyle name="Suma 2 15 25" xfId="30759"/>
    <cellStyle name="Suma 2 15 25 2" xfId="30760"/>
    <cellStyle name="Suma 2 15 25 3" xfId="30761"/>
    <cellStyle name="Suma 2 15 26" xfId="30762"/>
    <cellStyle name="Suma 2 15 26 2" xfId="30763"/>
    <cellStyle name="Suma 2 15 26 3" xfId="30764"/>
    <cellStyle name="Suma 2 15 27" xfId="30765"/>
    <cellStyle name="Suma 2 15 27 2" xfId="30766"/>
    <cellStyle name="Suma 2 15 27 3" xfId="30767"/>
    <cellStyle name="Suma 2 15 28" xfId="30768"/>
    <cellStyle name="Suma 2 15 28 2" xfId="30769"/>
    <cellStyle name="Suma 2 15 28 3" xfId="30770"/>
    <cellStyle name="Suma 2 15 29" xfId="30771"/>
    <cellStyle name="Suma 2 15 29 2" xfId="30772"/>
    <cellStyle name="Suma 2 15 29 3" xfId="30773"/>
    <cellStyle name="Suma 2 15 3" xfId="30774"/>
    <cellStyle name="Suma 2 15 3 2" xfId="30775"/>
    <cellStyle name="Suma 2 15 3 3" xfId="30776"/>
    <cellStyle name="Suma 2 15 3 4" xfId="30777"/>
    <cellStyle name="Suma 2 15 30" xfId="30778"/>
    <cellStyle name="Suma 2 15 30 2" xfId="30779"/>
    <cellStyle name="Suma 2 15 30 3" xfId="30780"/>
    <cellStyle name="Suma 2 15 31" xfId="30781"/>
    <cellStyle name="Suma 2 15 31 2" xfId="30782"/>
    <cellStyle name="Suma 2 15 31 3" xfId="30783"/>
    <cellStyle name="Suma 2 15 32" xfId="30784"/>
    <cellStyle name="Suma 2 15 32 2" xfId="30785"/>
    <cellStyle name="Suma 2 15 32 3" xfId="30786"/>
    <cellStyle name="Suma 2 15 33" xfId="30787"/>
    <cellStyle name="Suma 2 15 33 2" xfId="30788"/>
    <cellStyle name="Suma 2 15 33 3" xfId="30789"/>
    <cellStyle name="Suma 2 15 34" xfId="30790"/>
    <cellStyle name="Suma 2 15 34 2" xfId="30791"/>
    <cellStyle name="Suma 2 15 34 3" xfId="30792"/>
    <cellStyle name="Suma 2 15 35" xfId="30793"/>
    <cellStyle name="Suma 2 15 35 2" xfId="30794"/>
    <cellStyle name="Suma 2 15 35 3" xfId="30795"/>
    <cellStyle name="Suma 2 15 36" xfId="30796"/>
    <cellStyle name="Suma 2 15 36 2" xfId="30797"/>
    <cellStyle name="Suma 2 15 36 3" xfId="30798"/>
    <cellStyle name="Suma 2 15 37" xfId="30799"/>
    <cellStyle name="Suma 2 15 37 2" xfId="30800"/>
    <cellStyle name="Suma 2 15 37 3" xfId="30801"/>
    <cellStyle name="Suma 2 15 38" xfId="30802"/>
    <cellStyle name="Suma 2 15 38 2" xfId="30803"/>
    <cellStyle name="Suma 2 15 38 3" xfId="30804"/>
    <cellStyle name="Suma 2 15 39" xfId="30805"/>
    <cellStyle name="Suma 2 15 39 2" xfId="30806"/>
    <cellStyle name="Suma 2 15 39 3" xfId="30807"/>
    <cellStyle name="Suma 2 15 4" xfId="30808"/>
    <cellStyle name="Suma 2 15 4 2" xfId="30809"/>
    <cellStyle name="Suma 2 15 4 3" xfId="30810"/>
    <cellStyle name="Suma 2 15 4 4" xfId="30811"/>
    <cellStyle name="Suma 2 15 40" xfId="30812"/>
    <cellStyle name="Suma 2 15 40 2" xfId="30813"/>
    <cellStyle name="Suma 2 15 40 3" xfId="30814"/>
    <cellStyle name="Suma 2 15 41" xfId="30815"/>
    <cellStyle name="Suma 2 15 41 2" xfId="30816"/>
    <cellStyle name="Suma 2 15 41 3" xfId="30817"/>
    <cellStyle name="Suma 2 15 42" xfId="30818"/>
    <cellStyle name="Suma 2 15 42 2" xfId="30819"/>
    <cellStyle name="Suma 2 15 42 3" xfId="30820"/>
    <cellStyle name="Suma 2 15 43" xfId="30821"/>
    <cellStyle name="Suma 2 15 43 2" xfId="30822"/>
    <cellStyle name="Suma 2 15 43 3" xfId="30823"/>
    <cellStyle name="Suma 2 15 44" xfId="30824"/>
    <cellStyle name="Suma 2 15 44 2" xfId="30825"/>
    <cellStyle name="Suma 2 15 44 3" xfId="30826"/>
    <cellStyle name="Suma 2 15 45" xfId="30827"/>
    <cellStyle name="Suma 2 15 45 2" xfId="30828"/>
    <cellStyle name="Suma 2 15 45 3" xfId="30829"/>
    <cellStyle name="Suma 2 15 46" xfId="30830"/>
    <cellStyle name="Suma 2 15 46 2" xfId="30831"/>
    <cellStyle name="Suma 2 15 46 3" xfId="30832"/>
    <cellStyle name="Suma 2 15 47" xfId="30833"/>
    <cellStyle name="Suma 2 15 47 2" xfId="30834"/>
    <cellStyle name="Suma 2 15 47 3" xfId="30835"/>
    <cellStyle name="Suma 2 15 48" xfId="30836"/>
    <cellStyle name="Suma 2 15 48 2" xfId="30837"/>
    <cellStyle name="Suma 2 15 48 3" xfId="30838"/>
    <cellStyle name="Suma 2 15 49" xfId="30839"/>
    <cellStyle name="Suma 2 15 49 2" xfId="30840"/>
    <cellStyle name="Suma 2 15 49 3" xfId="30841"/>
    <cellStyle name="Suma 2 15 5" xfId="30842"/>
    <cellStyle name="Suma 2 15 5 2" xfId="30843"/>
    <cellStyle name="Suma 2 15 5 3" xfId="30844"/>
    <cellStyle name="Suma 2 15 5 4" xfId="30845"/>
    <cellStyle name="Suma 2 15 50" xfId="30846"/>
    <cellStyle name="Suma 2 15 50 2" xfId="30847"/>
    <cellStyle name="Suma 2 15 50 3" xfId="30848"/>
    <cellStyle name="Suma 2 15 51" xfId="30849"/>
    <cellStyle name="Suma 2 15 51 2" xfId="30850"/>
    <cellStyle name="Suma 2 15 51 3" xfId="30851"/>
    <cellStyle name="Suma 2 15 52" xfId="30852"/>
    <cellStyle name="Suma 2 15 52 2" xfId="30853"/>
    <cellStyle name="Suma 2 15 52 3" xfId="30854"/>
    <cellStyle name="Suma 2 15 53" xfId="30855"/>
    <cellStyle name="Suma 2 15 53 2" xfId="30856"/>
    <cellStyle name="Suma 2 15 53 3" xfId="30857"/>
    <cellStyle name="Suma 2 15 54" xfId="30858"/>
    <cellStyle name="Suma 2 15 54 2" xfId="30859"/>
    <cellStyle name="Suma 2 15 54 3" xfId="30860"/>
    <cellStyle name="Suma 2 15 55" xfId="30861"/>
    <cellStyle name="Suma 2 15 55 2" xfId="30862"/>
    <cellStyle name="Suma 2 15 55 3" xfId="30863"/>
    <cellStyle name="Suma 2 15 56" xfId="30864"/>
    <cellStyle name="Suma 2 15 56 2" xfId="30865"/>
    <cellStyle name="Suma 2 15 56 3" xfId="30866"/>
    <cellStyle name="Suma 2 15 57" xfId="30867"/>
    <cellStyle name="Suma 2 15 58" xfId="30868"/>
    <cellStyle name="Suma 2 15 6" xfId="30869"/>
    <cellStyle name="Suma 2 15 6 2" xfId="30870"/>
    <cellStyle name="Suma 2 15 6 3" xfId="30871"/>
    <cellStyle name="Suma 2 15 6 4" xfId="30872"/>
    <cellStyle name="Suma 2 15 7" xfId="30873"/>
    <cellStyle name="Suma 2 15 7 2" xfId="30874"/>
    <cellStyle name="Suma 2 15 7 3" xfId="30875"/>
    <cellStyle name="Suma 2 15 7 4" xfId="30876"/>
    <cellStyle name="Suma 2 15 8" xfId="30877"/>
    <cellStyle name="Suma 2 15 8 2" xfId="30878"/>
    <cellStyle name="Suma 2 15 8 3" xfId="30879"/>
    <cellStyle name="Suma 2 15 8 4" xfId="30880"/>
    <cellStyle name="Suma 2 15 9" xfId="30881"/>
    <cellStyle name="Suma 2 15 9 2" xfId="30882"/>
    <cellStyle name="Suma 2 15 9 3" xfId="30883"/>
    <cellStyle name="Suma 2 15 9 4" xfId="30884"/>
    <cellStyle name="Suma 2 16" xfId="30885"/>
    <cellStyle name="Suma 2 16 10" xfId="30886"/>
    <cellStyle name="Suma 2 16 10 2" xfId="30887"/>
    <cellStyle name="Suma 2 16 10 3" xfId="30888"/>
    <cellStyle name="Suma 2 16 10 4" xfId="30889"/>
    <cellStyle name="Suma 2 16 11" xfId="30890"/>
    <cellStyle name="Suma 2 16 11 2" xfId="30891"/>
    <cellStyle name="Suma 2 16 11 3" xfId="30892"/>
    <cellStyle name="Suma 2 16 11 4" xfId="30893"/>
    <cellStyle name="Suma 2 16 12" xfId="30894"/>
    <cellStyle name="Suma 2 16 12 2" xfId="30895"/>
    <cellStyle name="Suma 2 16 12 3" xfId="30896"/>
    <cellStyle name="Suma 2 16 12 4" xfId="30897"/>
    <cellStyle name="Suma 2 16 13" xfId="30898"/>
    <cellStyle name="Suma 2 16 13 2" xfId="30899"/>
    <cellStyle name="Suma 2 16 13 3" xfId="30900"/>
    <cellStyle name="Suma 2 16 13 4" xfId="30901"/>
    <cellStyle name="Suma 2 16 14" xfId="30902"/>
    <cellStyle name="Suma 2 16 14 2" xfId="30903"/>
    <cellStyle name="Suma 2 16 14 3" xfId="30904"/>
    <cellStyle name="Suma 2 16 14 4" xfId="30905"/>
    <cellStyle name="Suma 2 16 15" xfId="30906"/>
    <cellStyle name="Suma 2 16 15 2" xfId="30907"/>
    <cellStyle name="Suma 2 16 15 3" xfId="30908"/>
    <cellStyle name="Suma 2 16 15 4" xfId="30909"/>
    <cellStyle name="Suma 2 16 16" xfId="30910"/>
    <cellStyle name="Suma 2 16 16 2" xfId="30911"/>
    <cellStyle name="Suma 2 16 16 3" xfId="30912"/>
    <cellStyle name="Suma 2 16 16 4" xfId="30913"/>
    <cellStyle name="Suma 2 16 17" xfId="30914"/>
    <cellStyle name="Suma 2 16 17 2" xfId="30915"/>
    <cellStyle name="Suma 2 16 17 3" xfId="30916"/>
    <cellStyle name="Suma 2 16 17 4" xfId="30917"/>
    <cellStyle name="Suma 2 16 18" xfId="30918"/>
    <cellStyle name="Suma 2 16 18 2" xfId="30919"/>
    <cellStyle name="Suma 2 16 18 3" xfId="30920"/>
    <cellStyle name="Suma 2 16 18 4" xfId="30921"/>
    <cellStyle name="Suma 2 16 19" xfId="30922"/>
    <cellStyle name="Suma 2 16 19 2" xfId="30923"/>
    <cellStyle name="Suma 2 16 19 3" xfId="30924"/>
    <cellStyle name="Suma 2 16 19 4" xfId="30925"/>
    <cellStyle name="Suma 2 16 2" xfId="30926"/>
    <cellStyle name="Suma 2 16 2 2" xfId="30927"/>
    <cellStyle name="Suma 2 16 2 3" xfId="30928"/>
    <cellStyle name="Suma 2 16 2 4" xfId="30929"/>
    <cellStyle name="Suma 2 16 20" xfId="30930"/>
    <cellStyle name="Suma 2 16 20 2" xfId="30931"/>
    <cellStyle name="Suma 2 16 20 3" xfId="30932"/>
    <cellStyle name="Suma 2 16 20 4" xfId="30933"/>
    <cellStyle name="Suma 2 16 21" xfId="30934"/>
    <cellStyle name="Suma 2 16 21 2" xfId="30935"/>
    <cellStyle name="Suma 2 16 21 3" xfId="30936"/>
    <cellStyle name="Suma 2 16 22" xfId="30937"/>
    <cellStyle name="Suma 2 16 22 2" xfId="30938"/>
    <cellStyle name="Suma 2 16 22 3" xfId="30939"/>
    <cellStyle name="Suma 2 16 23" xfId="30940"/>
    <cellStyle name="Suma 2 16 23 2" xfId="30941"/>
    <cellStyle name="Suma 2 16 23 3" xfId="30942"/>
    <cellStyle name="Suma 2 16 24" xfId="30943"/>
    <cellStyle name="Suma 2 16 24 2" xfId="30944"/>
    <cellStyle name="Suma 2 16 24 3" xfId="30945"/>
    <cellStyle name="Suma 2 16 25" xfId="30946"/>
    <cellStyle name="Suma 2 16 25 2" xfId="30947"/>
    <cellStyle name="Suma 2 16 25 3" xfId="30948"/>
    <cellStyle name="Suma 2 16 26" xfId="30949"/>
    <cellStyle name="Suma 2 16 26 2" xfId="30950"/>
    <cellStyle name="Suma 2 16 26 3" xfId="30951"/>
    <cellStyle name="Suma 2 16 27" xfId="30952"/>
    <cellStyle name="Suma 2 16 27 2" xfId="30953"/>
    <cellStyle name="Suma 2 16 27 3" xfId="30954"/>
    <cellStyle name="Suma 2 16 28" xfId="30955"/>
    <cellStyle name="Suma 2 16 28 2" xfId="30956"/>
    <cellStyle name="Suma 2 16 28 3" xfId="30957"/>
    <cellStyle name="Suma 2 16 29" xfId="30958"/>
    <cellStyle name="Suma 2 16 29 2" xfId="30959"/>
    <cellStyle name="Suma 2 16 29 3" xfId="30960"/>
    <cellStyle name="Suma 2 16 3" xfId="30961"/>
    <cellStyle name="Suma 2 16 3 2" xfId="30962"/>
    <cellStyle name="Suma 2 16 3 3" xfId="30963"/>
    <cellStyle name="Suma 2 16 3 4" xfId="30964"/>
    <cellStyle name="Suma 2 16 30" xfId="30965"/>
    <cellStyle name="Suma 2 16 30 2" xfId="30966"/>
    <cellStyle name="Suma 2 16 30 3" xfId="30967"/>
    <cellStyle name="Suma 2 16 31" xfId="30968"/>
    <cellStyle name="Suma 2 16 31 2" xfId="30969"/>
    <cellStyle name="Suma 2 16 31 3" xfId="30970"/>
    <cellStyle name="Suma 2 16 32" xfId="30971"/>
    <cellStyle name="Suma 2 16 32 2" xfId="30972"/>
    <cellStyle name="Suma 2 16 32 3" xfId="30973"/>
    <cellStyle name="Suma 2 16 33" xfId="30974"/>
    <cellStyle name="Suma 2 16 33 2" xfId="30975"/>
    <cellStyle name="Suma 2 16 33 3" xfId="30976"/>
    <cellStyle name="Suma 2 16 34" xfId="30977"/>
    <cellStyle name="Suma 2 16 34 2" xfId="30978"/>
    <cellStyle name="Suma 2 16 34 3" xfId="30979"/>
    <cellStyle name="Suma 2 16 35" xfId="30980"/>
    <cellStyle name="Suma 2 16 35 2" xfId="30981"/>
    <cellStyle name="Suma 2 16 35 3" xfId="30982"/>
    <cellStyle name="Suma 2 16 36" xfId="30983"/>
    <cellStyle name="Suma 2 16 36 2" xfId="30984"/>
    <cellStyle name="Suma 2 16 36 3" xfId="30985"/>
    <cellStyle name="Suma 2 16 37" xfId="30986"/>
    <cellStyle name="Suma 2 16 37 2" xfId="30987"/>
    <cellStyle name="Suma 2 16 37 3" xfId="30988"/>
    <cellStyle name="Suma 2 16 38" xfId="30989"/>
    <cellStyle name="Suma 2 16 38 2" xfId="30990"/>
    <cellStyle name="Suma 2 16 38 3" xfId="30991"/>
    <cellStyle name="Suma 2 16 39" xfId="30992"/>
    <cellStyle name="Suma 2 16 39 2" xfId="30993"/>
    <cellStyle name="Suma 2 16 39 3" xfId="30994"/>
    <cellStyle name="Suma 2 16 4" xfId="30995"/>
    <cellStyle name="Suma 2 16 4 2" xfId="30996"/>
    <cellStyle name="Suma 2 16 4 3" xfId="30997"/>
    <cellStyle name="Suma 2 16 4 4" xfId="30998"/>
    <cellStyle name="Suma 2 16 40" xfId="30999"/>
    <cellStyle name="Suma 2 16 40 2" xfId="31000"/>
    <cellStyle name="Suma 2 16 40 3" xfId="31001"/>
    <cellStyle name="Suma 2 16 41" xfId="31002"/>
    <cellStyle name="Suma 2 16 41 2" xfId="31003"/>
    <cellStyle name="Suma 2 16 41 3" xfId="31004"/>
    <cellStyle name="Suma 2 16 42" xfId="31005"/>
    <cellStyle name="Suma 2 16 42 2" xfId="31006"/>
    <cellStyle name="Suma 2 16 42 3" xfId="31007"/>
    <cellStyle name="Suma 2 16 43" xfId="31008"/>
    <cellStyle name="Suma 2 16 43 2" xfId="31009"/>
    <cellStyle name="Suma 2 16 43 3" xfId="31010"/>
    <cellStyle name="Suma 2 16 44" xfId="31011"/>
    <cellStyle name="Suma 2 16 44 2" xfId="31012"/>
    <cellStyle name="Suma 2 16 44 3" xfId="31013"/>
    <cellStyle name="Suma 2 16 45" xfId="31014"/>
    <cellStyle name="Suma 2 16 45 2" xfId="31015"/>
    <cellStyle name="Suma 2 16 45 3" xfId="31016"/>
    <cellStyle name="Suma 2 16 46" xfId="31017"/>
    <cellStyle name="Suma 2 16 46 2" xfId="31018"/>
    <cellStyle name="Suma 2 16 46 3" xfId="31019"/>
    <cellStyle name="Suma 2 16 47" xfId="31020"/>
    <cellStyle name="Suma 2 16 47 2" xfId="31021"/>
    <cellStyle name="Suma 2 16 47 3" xfId="31022"/>
    <cellStyle name="Suma 2 16 48" xfId="31023"/>
    <cellStyle name="Suma 2 16 48 2" xfId="31024"/>
    <cellStyle name="Suma 2 16 48 3" xfId="31025"/>
    <cellStyle name="Suma 2 16 49" xfId="31026"/>
    <cellStyle name="Suma 2 16 49 2" xfId="31027"/>
    <cellStyle name="Suma 2 16 49 3" xfId="31028"/>
    <cellStyle name="Suma 2 16 5" xfId="31029"/>
    <cellStyle name="Suma 2 16 5 2" xfId="31030"/>
    <cellStyle name="Suma 2 16 5 3" xfId="31031"/>
    <cellStyle name="Suma 2 16 5 4" xfId="31032"/>
    <cellStyle name="Suma 2 16 50" xfId="31033"/>
    <cellStyle name="Suma 2 16 50 2" xfId="31034"/>
    <cellStyle name="Suma 2 16 50 3" xfId="31035"/>
    <cellStyle name="Suma 2 16 51" xfId="31036"/>
    <cellStyle name="Suma 2 16 51 2" xfId="31037"/>
    <cellStyle name="Suma 2 16 51 3" xfId="31038"/>
    <cellStyle name="Suma 2 16 52" xfId="31039"/>
    <cellStyle name="Suma 2 16 52 2" xfId="31040"/>
    <cellStyle name="Suma 2 16 52 3" xfId="31041"/>
    <cellStyle name="Suma 2 16 53" xfId="31042"/>
    <cellStyle name="Suma 2 16 53 2" xfId="31043"/>
    <cellStyle name="Suma 2 16 53 3" xfId="31044"/>
    <cellStyle name="Suma 2 16 54" xfId="31045"/>
    <cellStyle name="Suma 2 16 54 2" xfId="31046"/>
    <cellStyle name="Suma 2 16 54 3" xfId="31047"/>
    <cellStyle name="Suma 2 16 55" xfId="31048"/>
    <cellStyle name="Suma 2 16 55 2" xfId="31049"/>
    <cellStyle name="Suma 2 16 55 3" xfId="31050"/>
    <cellStyle name="Suma 2 16 56" xfId="31051"/>
    <cellStyle name="Suma 2 16 56 2" xfId="31052"/>
    <cellStyle name="Suma 2 16 56 3" xfId="31053"/>
    <cellStyle name="Suma 2 16 57" xfId="31054"/>
    <cellStyle name="Suma 2 16 58" xfId="31055"/>
    <cellStyle name="Suma 2 16 6" xfId="31056"/>
    <cellStyle name="Suma 2 16 6 2" xfId="31057"/>
    <cellStyle name="Suma 2 16 6 3" xfId="31058"/>
    <cellStyle name="Suma 2 16 6 4" xfId="31059"/>
    <cellStyle name="Suma 2 16 7" xfId="31060"/>
    <cellStyle name="Suma 2 16 7 2" xfId="31061"/>
    <cellStyle name="Suma 2 16 7 3" xfId="31062"/>
    <cellStyle name="Suma 2 16 7 4" xfId="31063"/>
    <cellStyle name="Suma 2 16 8" xfId="31064"/>
    <cellStyle name="Suma 2 16 8 2" xfId="31065"/>
    <cellStyle name="Suma 2 16 8 3" xfId="31066"/>
    <cellStyle name="Suma 2 16 8 4" xfId="31067"/>
    <cellStyle name="Suma 2 16 9" xfId="31068"/>
    <cellStyle name="Suma 2 16 9 2" xfId="31069"/>
    <cellStyle name="Suma 2 16 9 3" xfId="31070"/>
    <cellStyle name="Suma 2 16 9 4" xfId="31071"/>
    <cellStyle name="Suma 2 17" xfId="31072"/>
    <cellStyle name="Suma 2 17 10" xfId="31073"/>
    <cellStyle name="Suma 2 17 10 2" xfId="31074"/>
    <cellStyle name="Suma 2 17 10 3" xfId="31075"/>
    <cellStyle name="Suma 2 17 10 4" xfId="31076"/>
    <cellStyle name="Suma 2 17 11" xfId="31077"/>
    <cellStyle name="Suma 2 17 11 2" xfId="31078"/>
    <cellStyle name="Suma 2 17 11 3" xfId="31079"/>
    <cellStyle name="Suma 2 17 11 4" xfId="31080"/>
    <cellStyle name="Suma 2 17 12" xfId="31081"/>
    <cellStyle name="Suma 2 17 12 2" xfId="31082"/>
    <cellStyle name="Suma 2 17 12 3" xfId="31083"/>
    <cellStyle name="Suma 2 17 12 4" xfId="31084"/>
    <cellStyle name="Suma 2 17 13" xfId="31085"/>
    <cellStyle name="Suma 2 17 13 2" xfId="31086"/>
    <cellStyle name="Suma 2 17 13 3" xfId="31087"/>
    <cellStyle name="Suma 2 17 13 4" xfId="31088"/>
    <cellStyle name="Suma 2 17 14" xfId="31089"/>
    <cellStyle name="Suma 2 17 14 2" xfId="31090"/>
    <cellStyle name="Suma 2 17 14 3" xfId="31091"/>
    <cellStyle name="Suma 2 17 14 4" xfId="31092"/>
    <cellStyle name="Suma 2 17 15" xfId="31093"/>
    <cellStyle name="Suma 2 17 15 2" xfId="31094"/>
    <cellStyle name="Suma 2 17 15 3" xfId="31095"/>
    <cellStyle name="Suma 2 17 15 4" xfId="31096"/>
    <cellStyle name="Suma 2 17 16" xfId="31097"/>
    <cellStyle name="Suma 2 17 16 2" xfId="31098"/>
    <cellStyle name="Suma 2 17 16 3" xfId="31099"/>
    <cellStyle name="Suma 2 17 16 4" xfId="31100"/>
    <cellStyle name="Suma 2 17 17" xfId="31101"/>
    <cellStyle name="Suma 2 17 17 2" xfId="31102"/>
    <cellStyle name="Suma 2 17 17 3" xfId="31103"/>
    <cellStyle name="Suma 2 17 17 4" xfId="31104"/>
    <cellStyle name="Suma 2 17 18" xfId="31105"/>
    <cellStyle name="Suma 2 17 18 2" xfId="31106"/>
    <cellStyle name="Suma 2 17 18 3" xfId="31107"/>
    <cellStyle name="Suma 2 17 18 4" xfId="31108"/>
    <cellStyle name="Suma 2 17 19" xfId="31109"/>
    <cellStyle name="Suma 2 17 19 2" xfId="31110"/>
    <cellStyle name="Suma 2 17 19 3" xfId="31111"/>
    <cellStyle name="Suma 2 17 19 4" xfId="31112"/>
    <cellStyle name="Suma 2 17 2" xfId="31113"/>
    <cellStyle name="Suma 2 17 2 2" xfId="31114"/>
    <cellStyle name="Suma 2 17 2 3" xfId="31115"/>
    <cellStyle name="Suma 2 17 2 4" xfId="31116"/>
    <cellStyle name="Suma 2 17 20" xfId="31117"/>
    <cellStyle name="Suma 2 17 20 2" xfId="31118"/>
    <cellStyle name="Suma 2 17 20 3" xfId="31119"/>
    <cellStyle name="Suma 2 17 20 4" xfId="31120"/>
    <cellStyle name="Suma 2 17 21" xfId="31121"/>
    <cellStyle name="Suma 2 17 21 2" xfId="31122"/>
    <cellStyle name="Suma 2 17 21 3" xfId="31123"/>
    <cellStyle name="Suma 2 17 22" xfId="31124"/>
    <cellStyle name="Suma 2 17 22 2" xfId="31125"/>
    <cellStyle name="Suma 2 17 22 3" xfId="31126"/>
    <cellStyle name="Suma 2 17 23" xfId="31127"/>
    <cellStyle name="Suma 2 17 23 2" xfId="31128"/>
    <cellStyle name="Suma 2 17 23 3" xfId="31129"/>
    <cellStyle name="Suma 2 17 24" xfId="31130"/>
    <cellStyle name="Suma 2 17 24 2" xfId="31131"/>
    <cellStyle name="Suma 2 17 24 3" xfId="31132"/>
    <cellStyle name="Suma 2 17 25" xfId="31133"/>
    <cellStyle name="Suma 2 17 25 2" xfId="31134"/>
    <cellStyle name="Suma 2 17 25 3" xfId="31135"/>
    <cellStyle name="Suma 2 17 26" xfId="31136"/>
    <cellStyle name="Suma 2 17 26 2" xfId="31137"/>
    <cellStyle name="Suma 2 17 26 3" xfId="31138"/>
    <cellStyle name="Suma 2 17 27" xfId="31139"/>
    <cellStyle name="Suma 2 17 27 2" xfId="31140"/>
    <cellStyle name="Suma 2 17 27 3" xfId="31141"/>
    <cellStyle name="Suma 2 17 28" xfId="31142"/>
    <cellStyle name="Suma 2 17 28 2" xfId="31143"/>
    <cellStyle name="Suma 2 17 28 3" xfId="31144"/>
    <cellStyle name="Suma 2 17 29" xfId="31145"/>
    <cellStyle name="Suma 2 17 29 2" xfId="31146"/>
    <cellStyle name="Suma 2 17 29 3" xfId="31147"/>
    <cellStyle name="Suma 2 17 3" xfId="31148"/>
    <cellStyle name="Suma 2 17 3 2" xfId="31149"/>
    <cellStyle name="Suma 2 17 3 3" xfId="31150"/>
    <cellStyle name="Suma 2 17 3 4" xfId="31151"/>
    <cellStyle name="Suma 2 17 30" xfId="31152"/>
    <cellStyle name="Suma 2 17 30 2" xfId="31153"/>
    <cellStyle name="Suma 2 17 30 3" xfId="31154"/>
    <cellStyle name="Suma 2 17 31" xfId="31155"/>
    <cellStyle name="Suma 2 17 31 2" xfId="31156"/>
    <cellStyle name="Suma 2 17 31 3" xfId="31157"/>
    <cellStyle name="Suma 2 17 32" xfId="31158"/>
    <cellStyle name="Suma 2 17 32 2" xfId="31159"/>
    <cellStyle name="Suma 2 17 32 3" xfId="31160"/>
    <cellStyle name="Suma 2 17 33" xfId="31161"/>
    <cellStyle name="Suma 2 17 33 2" xfId="31162"/>
    <cellStyle name="Suma 2 17 33 3" xfId="31163"/>
    <cellStyle name="Suma 2 17 34" xfId="31164"/>
    <cellStyle name="Suma 2 17 34 2" xfId="31165"/>
    <cellStyle name="Suma 2 17 34 3" xfId="31166"/>
    <cellStyle name="Suma 2 17 35" xfId="31167"/>
    <cellStyle name="Suma 2 17 35 2" xfId="31168"/>
    <cellStyle name="Suma 2 17 35 3" xfId="31169"/>
    <cellStyle name="Suma 2 17 36" xfId="31170"/>
    <cellStyle name="Suma 2 17 36 2" xfId="31171"/>
    <cellStyle name="Suma 2 17 36 3" xfId="31172"/>
    <cellStyle name="Suma 2 17 37" xfId="31173"/>
    <cellStyle name="Suma 2 17 37 2" xfId="31174"/>
    <cellStyle name="Suma 2 17 37 3" xfId="31175"/>
    <cellStyle name="Suma 2 17 38" xfId="31176"/>
    <cellStyle name="Suma 2 17 38 2" xfId="31177"/>
    <cellStyle name="Suma 2 17 38 3" xfId="31178"/>
    <cellStyle name="Suma 2 17 39" xfId="31179"/>
    <cellStyle name="Suma 2 17 39 2" xfId="31180"/>
    <cellStyle name="Suma 2 17 39 3" xfId="31181"/>
    <cellStyle name="Suma 2 17 4" xfId="31182"/>
    <cellStyle name="Suma 2 17 4 2" xfId="31183"/>
    <cellStyle name="Suma 2 17 4 3" xfId="31184"/>
    <cellStyle name="Suma 2 17 4 4" xfId="31185"/>
    <cellStyle name="Suma 2 17 40" xfId="31186"/>
    <cellStyle name="Suma 2 17 40 2" xfId="31187"/>
    <cellStyle name="Suma 2 17 40 3" xfId="31188"/>
    <cellStyle name="Suma 2 17 41" xfId="31189"/>
    <cellStyle name="Suma 2 17 41 2" xfId="31190"/>
    <cellStyle name="Suma 2 17 41 3" xfId="31191"/>
    <cellStyle name="Suma 2 17 42" xfId="31192"/>
    <cellStyle name="Suma 2 17 42 2" xfId="31193"/>
    <cellStyle name="Suma 2 17 42 3" xfId="31194"/>
    <cellStyle name="Suma 2 17 43" xfId="31195"/>
    <cellStyle name="Suma 2 17 43 2" xfId="31196"/>
    <cellStyle name="Suma 2 17 43 3" xfId="31197"/>
    <cellStyle name="Suma 2 17 44" xfId="31198"/>
    <cellStyle name="Suma 2 17 44 2" xfId="31199"/>
    <cellStyle name="Suma 2 17 44 3" xfId="31200"/>
    <cellStyle name="Suma 2 17 45" xfId="31201"/>
    <cellStyle name="Suma 2 17 45 2" xfId="31202"/>
    <cellStyle name="Suma 2 17 45 3" xfId="31203"/>
    <cellStyle name="Suma 2 17 46" xfId="31204"/>
    <cellStyle name="Suma 2 17 46 2" xfId="31205"/>
    <cellStyle name="Suma 2 17 46 3" xfId="31206"/>
    <cellStyle name="Suma 2 17 47" xfId="31207"/>
    <cellStyle name="Suma 2 17 47 2" xfId="31208"/>
    <cellStyle name="Suma 2 17 47 3" xfId="31209"/>
    <cellStyle name="Suma 2 17 48" xfId="31210"/>
    <cellStyle name="Suma 2 17 48 2" xfId="31211"/>
    <cellStyle name="Suma 2 17 48 3" xfId="31212"/>
    <cellStyle name="Suma 2 17 49" xfId="31213"/>
    <cellStyle name="Suma 2 17 49 2" xfId="31214"/>
    <cellStyle name="Suma 2 17 49 3" xfId="31215"/>
    <cellStyle name="Suma 2 17 5" xfId="31216"/>
    <cellStyle name="Suma 2 17 5 2" xfId="31217"/>
    <cellStyle name="Suma 2 17 5 3" xfId="31218"/>
    <cellStyle name="Suma 2 17 5 4" xfId="31219"/>
    <cellStyle name="Suma 2 17 50" xfId="31220"/>
    <cellStyle name="Suma 2 17 50 2" xfId="31221"/>
    <cellStyle name="Suma 2 17 50 3" xfId="31222"/>
    <cellStyle name="Suma 2 17 51" xfId="31223"/>
    <cellStyle name="Suma 2 17 51 2" xfId="31224"/>
    <cellStyle name="Suma 2 17 51 3" xfId="31225"/>
    <cellStyle name="Suma 2 17 52" xfId="31226"/>
    <cellStyle name="Suma 2 17 52 2" xfId="31227"/>
    <cellStyle name="Suma 2 17 52 3" xfId="31228"/>
    <cellStyle name="Suma 2 17 53" xfId="31229"/>
    <cellStyle name="Suma 2 17 53 2" xfId="31230"/>
    <cellStyle name="Suma 2 17 53 3" xfId="31231"/>
    <cellStyle name="Suma 2 17 54" xfId="31232"/>
    <cellStyle name="Suma 2 17 54 2" xfId="31233"/>
    <cellStyle name="Suma 2 17 54 3" xfId="31234"/>
    <cellStyle name="Suma 2 17 55" xfId="31235"/>
    <cellStyle name="Suma 2 17 55 2" xfId="31236"/>
    <cellStyle name="Suma 2 17 55 3" xfId="31237"/>
    <cellStyle name="Suma 2 17 56" xfId="31238"/>
    <cellStyle name="Suma 2 17 56 2" xfId="31239"/>
    <cellStyle name="Suma 2 17 56 3" xfId="31240"/>
    <cellStyle name="Suma 2 17 57" xfId="31241"/>
    <cellStyle name="Suma 2 17 58" xfId="31242"/>
    <cellStyle name="Suma 2 17 6" xfId="31243"/>
    <cellStyle name="Suma 2 17 6 2" xfId="31244"/>
    <cellStyle name="Suma 2 17 6 3" xfId="31245"/>
    <cellStyle name="Suma 2 17 6 4" xfId="31246"/>
    <cellStyle name="Suma 2 17 7" xfId="31247"/>
    <cellStyle name="Suma 2 17 7 2" xfId="31248"/>
    <cellStyle name="Suma 2 17 7 3" xfId="31249"/>
    <cellStyle name="Suma 2 17 7 4" xfId="31250"/>
    <cellStyle name="Suma 2 17 8" xfId="31251"/>
    <cellStyle name="Suma 2 17 8 2" xfId="31252"/>
    <cellStyle name="Suma 2 17 8 3" xfId="31253"/>
    <cellStyle name="Suma 2 17 8 4" xfId="31254"/>
    <cellStyle name="Suma 2 17 9" xfId="31255"/>
    <cellStyle name="Suma 2 17 9 2" xfId="31256"/>
    <cellStyle name="Suma 2 17 9 3" xfId="31257"/>
    <cellStyle name="Suma 2 17 9 4" xfId="31258"/>
    <cellStyle name="Suma 2 18" xfId="31259"/>
    <cellStyle name="Suma 2 18 10" xfId="31260"/>
    <cellStyle name="Suma 2 18 10 2" xfId="31261"/>
    <cellStyle name="Suma 2 18 10 3" xfId="31262"/>
    <cellStyle name="Suma 2 18 10 4" xfId="31263"/>
    <cellStyle name="Suma 2 18 11" xfId="31264"/>
    <cellStyle name="Suma 2 18 11 2" xfId="31265"/>
    <cellStyle name="Suma 2 18 11 3" xfId="31266"/>
    <cellStyle name="Suma 2 18 11 4" xfId="31267"/>
    <cellStyle name="Suma 2 18 12" xfId="31268"/>
    <cellStyle name="Suma 2 18 12 2" xfId="31269"/>
    <cellStyle name="Suma 2 18 12 3" xfId="31270"/>
    <cellStyle name="Suma 2 18 12 4" xfId="31271"/>
    <cellStyle name="Suma 2 18 13" xfId="31272"/>
    <cellStyle name="Suma 2 18 13 2" xfId="31273"/>
    <cellStyle name="Suma 2 18 13 3" xfId="31274"/>
    <cellStyle name="Suma 2 18 13 4" xfId="31275"/>
    <cellStyle name="Suma 2 18 14" xfId="31276"/>
    <cellStyle name="Suma 2 18 14 2" xfId="31277"/>
    <cellStyle name="Suma 2 18 14 3" xfId="31278"/>
    <cellStyle name="Suma 2 18 14 4" xfId="31279"/>
    <cellStyle name="Suma 2 18 15" xfId="31280"/>
    <cellStyle name="Suma 2 18 15 2" xfId="31281"/>
    <cellStyle name="Suma 2 18 15 3" xfId="31282"/>
    <cellStyle name="Suma 2 18 15 4" xfId="31283"/>
    <cellStyle name="Suma 2 18 16" xfId="31284"/>
    <cellStyle name="Suma 2 18 16 2" xfId="31285"/>
    <cellStyle name="Suma 2 18 16 3" xfId="31286"/>
    <cellStyle name="Suma 2 18 16 4" xfId="31287"/>
    <cellStyle name="Suma 2 18 17" xfId="31288"/>
    <cellStyle name="Suma 2 18 17 2" xfId="31289"/>
    <cellStyle name="Suma 2 18 17 3" xfId="31290"/>
    <cellStyle name="Suma 2 18 17 4" xfId="31291"/>
    <cellStyle name="Suma 2 18 18" xfId="31292"/>
    <cellStyle name="Suma 2 18 18 2" xfId="31293"/>
    <cellStyle name="Suma 2 18 18 3" xfId="31294"/>
    <cellStyle name="Suma 2 18 18 4" xfId="31295"/>
    <cellStyle name="Suma 2 18 19" xfId="31296"/>
    <cellStyle name="Suma 2 18 19 2" xfId="31297"/>
    <cellStyle name="Suma 2 18 19 3" xfId="31298"/>
    <cellStyle name="Suma 2 18 19 4" xfId="31299"/>
    <cellStyle name="Suma 2 18 2" xfId="31300"/>
    <cellStyle name="Suma 2 18 2 2" xfId="31301"/>
    <cellStyle name="Suma 2 18 2 3" xfId="31302"/>
    <cellStyle name="Suma 2 18 2 4" xfId="31303"/>
    <cellStyle name="Suma 2 18 20" xfId="31304"/>
    <cellStyle name="Suma 2 18 20 2" xfId="31305"/>
    <cellStyle name="Suma 2 18 20 3" xfId="31306"/>
    <cellStyle name="Suma 2 18 20 4" xfId="31307"/>
    <cellStyle name="Suma 2 18 21" xfId="31308"/>
    <cellStyle name="Suma 2 18 21 2" xfId="31309"/>
    <cellStyle name="Suma 2 18 21 3" xfId="31310"/>
    <cellStyle name="Suma 2 18 22" xfId="31311"/>
    <cellStyle name="Suma 2 18 22 2" xfId="31312"/>
    <cellStyle name="Suma 2 18 22 3" xfId="31313"/>
    <cellStyle name="Suma 2 18 23" xfId="31314"/>
    <cellStyle name="Suma 2 18 23 2" xfId="31315"/>
    <cellStyle name="Suma 2 18 23 3" xfId="31316"/>
    <cellStyle name="Suma 2 18 24" xfId="31317"/>
    <cellStyle name="Suma 2 18 24 2" xfId="31318"/>
    <cellStyle name="Suma 2 18 24 3" xfId="31319"/>
    <cellStyle name="Suma 2 18 25" xfId="31320"/>
    <cellStyle name="Suma 2 18 25 2" xfId="31321"/>
    <cellStyle name="Suma 2 18 25 3" xfId="31322"/>
    <cellStyle name="Suma 2 18 26" xfId="31323"/>
    <cellStyle name="Suma 2 18 26 2" xfId="31324"/>
    <cellStyle name="Suma 2 18 26 3" xfId="31325"/>
    <cellStyle name="Suma 2 18 27" xfId="31326"/>
    <cellStyle name="Suma 2 18 27 2" xfId="31327"/>
    <cellStyle name="Suma 2 18 27 3" xfId="31328"/>
    <cellStyle name="Suma 2 18 28" xfId="31329"/>
    <cellStyle name="Suma 2 18 28 2" xfId="31330"/>
    <cellStyle name="Suma 2 18 28 3" xfId="31331"/>
    <cellStyle name="Suma 2 18 29" xfId="31332"/>
    <cellStyle name="Suma 2 18 29 2" xfId="31333"/>
    <cellStyle name="Suma 2 18 29 3" xfId="31334"/>
    <cellStyle name="Suma 2 18 3" xfId="31335"/>
    <cellStyle name="Suma 2 18 3 2" xfId="31336"/>
    <cellStyle name="Suma 2 18 3 3" xfId="31337"/>
    <cellStyle name="Suma 2 18 3 4" xfId="31338"/>
    <cellStyle name="Suma 2 18 30" xfId="31339"/>
    <cellStyle name="Suma 2 18 30 2" xfId="31340"/>
    <cellStyle name="Suma 2 18 30 3" xfId="31341"/>
    <cellStyle name="Suma 2 18 31" xfId="31342"/>
    <cellStyle name="Suma 2 18 31 2" xfId="31343"/>
    <cellStyle name="Suma 2 18 31 3" xfId="31344"/>
    <cellStyle name="Suma 2 18 32" xfId="31345"/>
    <cellStyle name="Suma 2 18 32 2" xfId="31346"/>
    <cellStyle name="Suma 2 18 32 3" xfId="31347"/>
    <cellStyle name="Suma 2 18 33" xfId="31348"/>
    <cellStyle name="Suma 2 18 33 2" xfId="31349"/>
    <cellStyle name="Suma 2 18 33 3" xfId="31350"/>
    <cellStyle name="Suma 2 18 34" xfId="31351"/>
    <cellStyle name="Suma 2 18 34 2" xfId="31352"/>
    <cellStyle name="Suma 2 18 34 3" xfId="31353"/>
    <cellStyle name="Suma 2 18 35" xfId="31354"/>
    <cellStyle name="Suma 2 18 35 2" xfId="31355"/>
    <cellStyle name="Suma 2 18 35 3" xfId="31356"/>
    <cellStyle name="Suma 2 18 36" xfId="31357"/>
    <cellStyle name="Suma 2 18 36 2" xfId="31358"/>
    <cellStyle name="Suma 2 18 36 3" xfId="31359"/>
    <cellStyle name="Suma 2 18 37" xfId="31360"/>
    <cellStyle name="Suma 2 18 37 2" xfId="31361"/>
    <cellStyle name="Suma 2 18 37 3" xfId="31362"/>
    <cellStyle name="Suma 2 18 38" xfId="31363"/>
    <cellStyle name="Suma 2 18 38 2" xfId="31364"/>
    <cellStyle name="Suma 2 18 38 3" xfId="31365"/>
    <cellStyle name="Suma 2 18 39" xfId="31366"/>
    <cellStyle name="Suma 2 18 39 2" xfId="31367"/>
    <cellStyle name="Suma 2 18 39 3" xfId="31368"/>
    <cellStyle name="Suma 2 18 4" xfId="31369"/>
    <cellStyle name="Suma 2 18 4 2" xfId="31370"/>
    <cellStyle name="Suma 2 18 4 3" xfId="31371"/>
    <cellStyle name="Suma 2 18 4 4" xfId="31372"/>
    <cellStyle name="Suma 2 18 40" xfId="31373"/>
    <cellStyle name="Suma 2 18 40 2" xfId="31374"/>
    <cellStyle name="Suma 2 18 40 3" xfId="31375"/>
    <cellStyle name="Suma 2 18 41" xfId="31376"/>
    <cellStyle name="Suma 2 18 41 2" xfId="31377"/>
    <cellStyle name="Suma 2 18 41 3" xfId="31378"/>
    <cellStyle name="Suma 2 18 42" xfId="31379"/>
    <cellStyle name="Suma 2 18 42 2" xfId="31380"/>
    <cellStyle name="Suma 2 18 42 3" xfId="31381"/>
    <cellStyle name="Suma 2 18 43" xfId="31382"/>
    <cellStyle name="Suma 2 18 43 2" xfId="31383"/>
    <cellStyle name="Suma 2 18 43 3" xfId="31384"/>
    <cellStyle name="Suma 2 18 44" xfId="31385"/>
    <cellStyle name="Suma 2 18 44 2" xfId="31386"/>
    <cellStyle name="Suma 2 18 44 3" xfId="31387"/>
    <cellStyle name="Suma 2 18 45" xfId="31388"/>
    <cellStyle name="Suma 2 18 45 2" xfId="31389"/>
    <cellStyle name="Suma 2 18 45 3" xfId="31390"/>
    <cellStyle name="Suma 2 18 46" xfId="31391"/>
    <cellStyle name="Suma 2 18 46 2" xfId="31392"/>
    <cellStyle name="Suma 2 18 46 3" xfId="31393"/>
    <cellStyle name="Suma 2 18 47" xfId="31394"/>
    <cellStyle name="Suma 2 18 47 2" xfId="31395"/>
    <cellStyle name="Suma 2 18 47 3" xfId="31396"/>
    <cellStyle name="Suma 2 18 48" xfId="31397"/>
    <cellStyle name="Suma 2 18 48 2" xfId="31398"/>
    <cellStyle name="Suma 2 18 48 3" xfId="31399"/>
    <cellStyle name="Suma 2 18 49" xfId="31400"/>
    <cellStyle name="Suma 2 18 49 2" xfId="31401"/>
    <cellStyle name="Suma 2 18 49 3" xfId="31402"/>
    <cellStyle name="Suma 2 18 5" xfId="31403"/>
    <cellStyle name="Suma 2 18 5 2" xfId="31404"/>
    <cellStyle name="Suma 2 18 5 3" xfId="31405"/>
    <cellStyle name="Suma 2 18 5 4" xfId="31406"/>
    <cellStyle name="Suma 2 18 50" xfId="31407"/>
    <cellStyle name="Suma 2 18 50 2" xfId="31408"/>
    <cellStyle name="Suma 2 18 50 3" xfId="31409"/>
    <cellStyle name="Suma 2 18 51" xfId="31410"/>
    <cellStyle name="Suma 2 18 51 2" xfId="31411"/>
    <cellStyle name="Suma 2 18 51 3" xfId="31412"/>
    <cellStyle name="Suma 2 18 52" xfId="31413"/>
    <cellStyle name="Suma 2 18 52 2" xfId="31414"/>
    <cellStyle name="Suma 2 18 52 3" xfId="31415"/>
    <cellStyle name="Suma 2 18 53" xfId="31416"/>
    <cellStyle name="Suma 2 18 53 2" xfId="31417"/>
    <cellStyle name="Suma 2 18 53 3" xfId="31418"/>
    <cellStyle name="Suma 2 18 54" xfId="31419"/>
    <cellStyle name="Suma 2 18 54 2" xfId="31420"/>
    <cellStyle name="Suma 2 18 54 3" xfId="31421"/>
    <cellStyle name="Suma 2 18 55" xfId="31422"/>
    <cellStyle name="Suma 2 18 55 2" xfId="31423"/>
    <cellStyle name="Suma 2 18 55 3" xfId="31424"/>
    <cellStyle name="Suma 2 18 56" xfId="31425"/>
    <cellStyle name="Suma 2 18 56 2" xfId="31426"/>
    <cellStyle name="Suma 2 18 56 3" xfId="31427"/>
    <cellStyle name="Suma 2 18 57" xfId="31428"/>
    <cellStyle name="Suma 2 18 58" xfId="31429"/>
    <cellStyle name="Suma 2 18 6" xfId="31430"/>
    <cellStyle name="Suma 2 18 6 2" xfId="31431"/>
    <cellStyle name="Suma 2 18 6 3" xfId="31432"/>
    <cellStyle name="Suma 2 18 6 4" xfId="31433"/>
    <cellStyle name="Suma 2 18 7" xfId="31434"/>
    <cellStyle name="Suma 2 18 7 2" xfId="31435"/>
    <cellStyle name="Suma 2 18 7 3" xfId="31436"/>
    <cellStyle name="Suma 2 18 7 4" xfId="31437"/>
    <cellStyle name="Suma 2 18 8" xfId="31438"/>
    <cellStyle name="Suma 2 18 8 2" xfId="31439"/>
    <cellStyle name="Suma 2 18 8 3" xfId="31440"/>
    <cellStyle name="Suma 2 18 8 4" xfId="31441"/>
    <cellStyle name="Suma 2 18 9" xfId="31442"/>
    <cellStyle name="Suma 2 18 9 2" xfId="31443"/>
    <cellStyle name="Suma 2 18 9 3" xfId="31444"/>
    <cellStyle name="Suma 2 18 9 4" xfId="31445"/>
    <cellStyle name="Suma 2 19" xfId="31446"/>
    <cellStyle name="Suma 2 19 10" xfId="31447"/>
    <cellStyle name="Suma 2 19 10 2" xfId="31448"/>
    <cellStyle name="Suma 2 19 10 3" xfId="31449"/>
    <cellStyle name="Suma 2 19 10 4" xfId="31450"/>
    <cellStyle name="Suma 2 19 11" xfId="31451"/>
    <cellStyle name="Suma 2 19 11 2" xfId="31452"/>
    <cellStyle name="Suma 2 19 11 3" xfId="31453"/>
    <cellStyle name="Suma 2 19 11 4" xfId="31454"/>
    <cellStyle name="Suma 2 19 12" xfId="31455"/>
    <cellStyle name="Suma 2 19 12 2" xfId="31456"/>
    <cellStyle name="Suma 2 19 12 3" xfId="31457"/>
    <cellStyle name="Suma 2 19 12 4" xfId="31458"/>
    <cellStyle name="Suma 2 19 13" xfId="31459"/>
    <cellStyle name="Suma 2 19 13 2" xfId="31460"/>
    <cellStyle name="Suma 2 19 13 3" xfId="31461"/>
    <cellStyle name="Suma 2 19 13 4" xfId="31462"/>
    <cellStyle name="Suma 2 19 14" xfId="31463"/>
    <cellStyle name="Suma 2 19 14 2" xfId="31464"/>
    <cellStyle name="Suma 2 19 14 3" xfId="31465"/>
    <cellStyle name="Suma 2 19 14 4" xfId="31466"/>
    <cellStyle name="Suma 2 19 15" xfId="31467"/>
    <cellStyle name="Suma 2 19 15 2" xfId="31468"/>
    <cellStyle name="Suma 2 19 15 3" xfId="31469"/>
    <cellStyle name="Suma 2 19 15 4" xfId="31470"/>
    <cellStyle name="Suma 2 19 16" xfId="31471"/>
    <cellStyle name="Suma 2 19 16 2" xfId="31472"/>
    <cellStyle name="Suma 2 19 16 3" xfId="31473"/>
    <cellStyle name="Suma 2 19 16 4" xfId="31474"/>
    <cellStyle name="Suma 2 19 17" xfId="31475"/>
    <cellStyle name="Suma 2 19 17 2" xfId="31476"/>
    <cellStyle name="Suma 2 19 17 3" xfId="31477"/>
    <cellStyle name="Suma 2 19 17 4" xfId="31478"/>
    <cellStyle name="Suma 2 19 18" xfId="31479"/>
    <cellStyle name="Suma 2 19 18 2" xfId="31480"/>
    <cellStyle name="Suma 2 19 18 3" xfId="31481"/>
    <cellStyle name="Suma 2 19 18 4" xfId="31482"/>
    <cellStyle name="Suma 2 19 19" xfId="31483"/>
    <cellStyle name="Suma 2 19 19 2" xfId="31484"/>
    <cellStyle name="Suma 2 19 19 3" xfId="31485"/>
    <cellStyle name="Suma 2 19 19 4" xfId="31486"/>
    <cellStyle name="Suma 2 19 2" xfId="31487"/>
    <cellStyle name="Suma 2 19 2 2" xfId="31488"/>
    <cellStyle name="Suma 2 19 2 3" xfId="31489"/>
    <cellStyle name="Suma 2 19 2 4" xfId="31490"/>
    <cellStyle name="Suma 2 19 20" xfId="31491"/>
    <cellStyle name="Suma 2 19 20 2" xfId="31492"/>
    <cellStyle name="Suma 2 19 20 3" xfId="31493"/>
    <cellStyle name="Suma 2 19 20 4" xfId="31494"/>
    <cellStyle name="Suma 2 19 21" xfId="31495"/>
    <cellStyle name="Suma 2 19 21 2" xfId="31496"/>
    <cellStyle name="Suma 2 19 21 3" xfId="31497"/>
    <cellStyle name="Suma 2 19 22" xfId="31498"/>
    <cellStyle name="Suma 2 19 22 2" xfId="31499"/>
    <cellStyle name="Suma 2 19 22 3" xfId="31500"/>
    <cellStyle name="Suma 2 19 23" xfId="31501"/>
    <cellStyle name="Suma 2 19 23 2" xfId="31502"/>
    <cellStyle name="Suma 2 19 23 3" xfId="31503"/>
    <cellStyle name="Suma 2 19 24" xfId="31504"/>
    <cellStyle name="Suma 2 19 24 2" xfId="31505"/>
    <cellStyle name="Suma 2 19 24 3" xfId="31506"/>
    <cellStyle name="Suma 2 19 25" xfId="31507"/>
    <cellStyle name="Suma 2 19 25 2" xfId="31508"/>
    <cellStyle name="Suma 2 19 25 3" xfId="31509"/>
    <cellStyle name="Suma 2 19 26" xfId="31510"/>
    <cellStyle name="Suma 2 19 26 2" xfId="31511"/>
    <cellStyle name="Suma 2 19 26 3" xfId="31512"/>
    <cellStyle name="Suma 2 19 27" xfId="31513"/>
    <cellStyle name="Suma 2 19 27 2" xfId="31514"/>
    <cellStyle name="Suma 2 19 27 3" xfId="31515"/>
    <cellStyle name="Suma 2 19 28" xfId="31516"/>
    <cellStyle name="Suma 2 19 28 2" xfId="31517"/>
    <cellStyle name="Suma 2 19 28 3" xfId="31518"/>
    <cellStyle name="Suma 2 19 29" xfId="31519"/>
    <cellStyle name="Suma 2 19 29 2" xfId="31520"/>
    <cellStyle name="Suma 2 19 29 3" xfId="31521"/>
    <cellStyle name="Suma 2 19 3" xfId="31522"/>
    <cellStyle name="Suma 2 19 3 2" xfId="31523"/>
    <cellStyle name="Suma 2 19 3 3" xfId="31524"/>
    <cellStyle name="Suma 2 19 3 4" xfId="31525"/>
    <cellStyle name="Suma 2 19 30" xfId="31526"/>
    <cellStyle name="Suma 2 19 30 2" xfId="31527"/>
    <cellStyle name="Suma 2 19 30 3" xfId="31528"/>
    <cellStyle name="Suma 2 19 31" xfId="31529"/>
    <cellStyle name="Suma 2 19 31 2" xfId="31530"/>
    <cellStyle name="Suma 2 19 31 3" xfId="31531"/>
    <cellStyle name="Suma 2 19 32" xfId="31532"/>
    <cellStyle name="Suma 2 19 32 2" xfId="31533"/>
    <cellStyle name="Suma 2 19 32 3" xfId="31534"/>
    <cellStyle name="Suma 2 19 33" xfId="31535"/>
    <cellStyle name="Suma 2 19 33 2" xfId="31536"/>
    <cellStyle name="Suma 2 19 33 3" xfId="31537"/>
    <cellStyle name="Suma 2 19 34" xfId="31538"/>
    <cellStyle name="Suma 2 19 34 2" xfId="31539"/>
    <cellStyle name="Suma 2 19 34 3" xfId="31540"/>
    <cellStyle name="Suma 2 19 35" xfId="31541"/>
    <cellStyle name="Suma 2 19 35 2" xfId="31542"/>
    <cellStyle name="Suma 2 19 35 3" xfId="31543"/>
    <cellStyle name="Suma 2 19 36" xfId="31544"/>
    <cellStyle name="Suma 2 19 36 2" xfId="31545"/>
    <cellStyle name="Suma 2 19 36 3" xfId="31546"/>
    <cellStyle name="Suma 2 19 37" xfId="31547"/>
    <cellStyle name="Suma 2 19 37 2" xfId="31548"/>
    <cellStyle name="Suma 2 19 37 3" xfId="31549"/>
    <cellStyle name="Suma 2 19 38" xfId="31550"/>
    <cellStyle name="Suma 2 19 38 2" xfId="31551"/>
    <cellStyle name="Suma 2 19 38 3" xfId="31552"/>
    <cellStyle name="Suma 2 19 39" xfId="31553"/>
    <cellStyle name="Suma 2 19 39 2" xfId="31554"/>
    <cellStyle name="Suma 2 19 39 3" xfId="31555"/>
    <cellStyle name="Suma 2 19 4" xfId="31556"/>
    <cellStyle name="Suma 2 19 4 2" xfId="31557"/>
    <cellStyle name="Suma 2 19 4 3" xfId="31558"/>
    <cellStyle name="Suma 2 19 4 4" xfId="31559"/>
    <cellStyle name="Suma 2 19 40" xfId="31560"/>
    <cellStyle name="Suma 2 19 40 2" xfId="31561"/>
    <cellStyle name="Suma 2 19 40 3" xfId="31562"/>
    <cellStyle name="Suma 2 19 41" xfId="31563"/>
    <cellStyle name="Suma 2 19 41 2" xfId="31564"/>
    <cellStyle name="Suma 2 19 41 3" xfId="31565"/>
    <cellStyle name="Suma 2 19 42" xfId="31566"/>
    <cellStyle name="Suma 2 19 42 2" xfId="31567"/>
    <cellStyle name="Suma 2 19 42 3" xfId="31568"/>
    <cellStyle name="Suma 2 19 43" xfId="31569"/>
    <cellStyle name="Suma 2 19 43 2" xfId="31570"/>
    <cellStyle name="Suma 2 19 43 3" xfId="31571"/>
    <cellStyle name="Suma 2 19 44" xfId="31572"/>
    <cellStyle name="Suma 2 19 44 2" xfId="31573"/>
    <cellStyle name="Suma 2 19 44 3" xfId="31574"/>
    <cellStyle name="Suma 2 19 45" xfId="31575"/>
    <cellStyle name="Suma 2 19 45 2" xfId="31576"/>
    <cellStyle name="Suma 2 19 45 3" xfId="31577"/>
    <cellStyle name="Suma 2 19 46" xfId="31578"/>
    <cellStyle name="Suma 2 19 46 2" xfId="31579"/>
    <cellStyle name="Suma 2 19 46 3" xfId="31580"/>
    <cellStyle name="Suma 2 19 47" xfId="31581"/>
    <cellStyle name="Suma 2 19 47 2" xfId="31582"/>
    <cellStyle name="Suma 2 19 47 3" xfId="31583"/>
    <cellStyle name="Suma 2 19 48" xfId="31584"/>
    <cellStyle name="Suma 2 19 48 2" xfId="31585"/>
    <cellStyle name="Suma 2 19 48 3" xfId="31586"/>
    <cellStyle name="Suma 2 19 49" xfId="31587"/>
    <cellStyle name="Suma 2 19 49 2" xfId="31588"/>
    <cellStyle name="Suma 2 19 49 3" xfId="31589"/>
    <cellStyle name="Suma 2 19 5" xfId="31590"/>
    <cellStyle name="Suma 2 19 5 2" xfId="31591"/>
    <cellStyle name="Suma 2 19 5 3" xfId="31592"/>
    <cellStyle name="Suma 2 19 5 4" xfId="31593"/>
    <cellStyle name="Suma 2 19 50" xfId="31594"/>
    <cellStyle name="Suma 2 19 50 2" xfId="31595"/>
    <cellStyle name="Suma 2 19 50 3" xfId="31596"/>
    <cellStyle name="Suma 2 19 51" xfId="31597"/>
    <cellStyle name="Suma 2 19 51 2" xfId="31598"/>
    <cellStyle name="Suma 2 19 51 3" xfId="31599"/>
    <cellStyle name="Suma 2 19 52" xfId="31600"/>
    <cellStyle name="Suma 2 19 52 2" xfId="31601"/>
    <cellStyle name="Suma 2 19 52 3" xfId="31602"/>
    <cellStyle name="Suma 2 19 53" xfId="31603"/>
    <cellStyle name="Suma 2 19 53 2" xfId="31604"/>
    <cellStyle name="Suma 2 19 53 3" xfId="31605"/>
    <cellStyle name="Suma 2 19 54" xfId="31606"/>
    <cellStyle name="Suma 2 19 54 2" xfId="31607"/>
    <cellStyle name="Suma 2 19 54 3" xfId="31608"/>
    <cellStyle name="Suma 2 19 55" xfId="31609"/>
    <cellStyle name="Suma 2 19 55 2" xfId="31610"/>
    <cellStyle name="Suma 2 19 55 3" xfId="31611"/>
    <cellStyle name="Suma 2 19 56" xfId="31612"/>
    <cellStyle name="Suma 2 19 56 2" xfId="31613"/>
    <cellStyle name="Suma 2 19 56 3" xfId="31614"/>
    <cellStyle name="Suma 2 19 57" xfId="31615"/>
    <cellStyle name="Suma 2 19 58" xfId="31616"/>
    <cellStyle name="Suma 2 19 6" xfId="31617"/>
    <cellStyle name="Suma 2 19 6 2" xfId="31618"/>
    <cellStyle name="Suma 2 19 6 3" xfId="31619"/>
    <cellStyle name="Suma 2 19 6 4" xfId="31620"/>
    <cellStyle name="Suma 2 19 7" xfId="31621"/>
    <cellStyle name="Suma 2 19 7 2" xfId="31622"/>
    <cellStyle name="Suma 2 19 7 3" xfId="31623"/>
    <cellStyle name="Suma 2 19 7 4" xfId="31624"/>
    <cellStyle name="Suma 2 19 8" xfId="31625"/>
    <cellStyle name="Suma 2 19 8 2" xfId="31626"/>
    <cellStyle name="Suma 2 19 8 3" xfId="31627"/>
    <cellStyle name="Suma 2 19 8 4" xfId="31628"/>
    <cellStyle name="Suma 2 19 9" xfId="31629"/>
    <cellStyle name="Suma 2 19 9 2" xfId="31630"/>
    <cellStyle name="Suma 2 19 9 3" xfId="31631"/>
    <cellStyle name="Suma 2 19 9 4" xfId="31632"/>
    <cellStyle name="Suma 2 2" xfId="31633"/>
    <cellStyle name="Suma 2 2 10" xfId="31634"/>
    <cellStyle name="Suma 2 2 10 2" xfId="31635"/>
    <cellStyle name="Suma 2 2 10 3" xfId="31636"/>
    <cellStyle name="Suma 2 2 10 4" xfId="31637"/>
    <cellStyle name="Suma 2 2 11" xfId="31638"/>
    <cellStyle name="Suma 2 2 11 2" xfId="31639"/>
    <cellStyle name="Suma 2 2 11 3" xfId="31640"/>
    <cellStyle name="Suma 2 2 11 4" xfId="31641"/>
    <cellStyle name="Suma 2 2 12" xfId="31642"/>
    <cellStyle name="Suma 2 2 12 2" xfId="31643"/>
    <cellStyle name="Suma 2 2 12 3" xfId="31644"/>
    <cellStyle name="Suma 2 2 12 4" xfId="31645"/>
    <cellStyle name="Suma 2 2 13" xfId="31646"/>
    <cellStyle name="Suma 2 2 13 2" xfId="31647"/>
    <cellStyle name="Suma 2 2 13 3" xfId="31648"/>
    <cellStyle name="Suma 2 2 13 4" xfId="31649"/>
    <cellStyle name="Suma 2 2 14" xfId="31650"/>
    <cellStyle name="Suma 2 2 14 2" xfId="31651"/>
    <cellStyle name="Suma 2 2 14 3" xfId="31652"/>
    <cellStyle name="Suma 2 2 14 4" xfId="31653"/>
    <cellStyle name="Suma 2 2 15" xfId="31654"/>
    <cellStyle name="Suma 2 2 15 2" xfId="31655"/>
    <cellStyle name="Suma 2 2 15 3" xfId="31656"/>
    <cellStyle name="Suma 2 2 15 4" xfId="31657"/>
    <cellStyle name="Suma 2 2 16" xfId="31658"/>
    <cellStyle name="Suma 2 2 16 2" xfId="31659"/>
    <cellStyle name="Suma 2 2 16 3" xfId="31660"/>
    <cellStyle name="Suma 2 2 16 4" xfId="31661"/>
    <cellStyle name="Suma 2 2 17" xfId="31662"/>
    <cellStyle name="Suma 2 2 17 2" xfId="31663"/>
    <cellStyle name="Suma 2 2 17 3" xfId="31664"/>
    <cellStyle name="Suma 2 2 17 4" xfId="31665"/>
    <cellStyle name="Suma 2 2 18" xfId="31666"/>
    <cellStyle name="Suma 2 2 18 2" xfId="31667"/>
    <cellStyle name="Suma 2 2 18 3" xfId="31668"/>
    <cellStyle name="Suma 2 2 18 4" xfId="31669"/>
    <cellStyle name="Suma 2 2 19" xfId="31670"/>
    <cellStyle name="Suma 2 2 19 2" xfId="31671"/>
    <cellStyle name="Suma 2 2 19 3" xfId="31672"/>
    <cellStyle name="Suma 2 2 19 4" xfId="31673"/>
    <cellStyle name="Suma 2 2 2" xfId="31674"/>
    <cellStyle name="Suma 2 2 2 2" xfId="31675"/>
    <cellStyle name="Suma 2 2 2 3" xfId="31676"/>
    <cellStyle name="Suma 2 2 2 4" xfId="31677"/>
    <cellStyle name="Suma 2 2 20" xfId="31678"/>
    <cellStyle name="Suma 2 2 20 2" xfId="31679"/>
    <cellStyle name="Suma 2 2 20 3" xfId="31680"/>
    <cellStyle name="Suma 2 2 20 4" xfId="31681"/>
    <cellStyle name="Suma 2 2 21" xfId="31682"/>
    <cellStyle name="Suma 2 2 21 2" xfId="31683"/>
    <cellStyle name="Suma 2 2 21 3" xfId="31684"/>
    <cellStyle name="Suma 2 2 22" xfId="31685"/>
    <cellStyle name="Suma 2 2 22 2" xfId="31686"/>
    <cellStyle name="Suma 2 2 22 3" xfId="31687"/>
    <cellStyle name="Suma 2 2 23" xfId="31688"/>
    <cellStyle name="Suma 2 2 23 2" xfId="31689"/>
    <cellStyle name="Suma 2 2 23 3" xfId="31690"/>
    <cellStyle name="Suma 2 2 24" xfId="31691"/>
    <cellStyle name="Suma 2 2 24 2" xfId="31692"/>
    <cellStyle name="Suma 2 2 24 3" xfId="31693"/>
    <cellStyle name="Suma 2 2 25" xfId="31694"/>
    <cellStyle name="Suma 2 2 25 2" xfId="31695"/>
    <cellStyle name="Suma 2 2 25 3" xfId="31696"/>
    <cellStyle name="Suma 2 2 26" xfId="31697"/>
    <cellStyle name="Suma 2 2 26 2" xfId="31698"/>
    <cellStyle name="Suma 2 2 26 3" xfId="31699"/>
    <cellStyle name="Suma 2 2 27" xfId="31700"/>
    <cellStyle name="Suma 2 2 27 2" xfId="31701"/>
    <cellStyle name="Suma 2 2 27 3" xfId="31702"/>
    <cellStyle name="Suma 2 2 28" xfId="31703"/>
    <cellStyle name="Suma 2 2 28 2" xfId="31704"/>
    <cellStyle name="Suma 2 2 28 3" xfId="31705"/>
    <cellStyle name="Suma 2 2 29" xfId="31706"/>
    <cellStyle name="Suma 2 2 29 2" xfId="31707"/>
    <cellStyle name="Suma 2 2 29 3" xfId="31708"/>
    <cellStyle name="Suma 2 2 3" xfId="31709"/>
    <cellStyle name="Suma 2 2 3 2" xfId="31710"/>
    <cellStyle name="Suma 2 2 3 3" xfId="31711"/>
    <cellStyle name="Suma 2 2 3 4" xfId="31712"/>
    <cellStyle name="Suma 2 2 30" xfId="31713"/>
    <cellStyle name="Suma 2 2 30 2" xfId="31714"/>
    <cellStyle name="Suma 2 2 30 3" xfId="31715"/>
    <cellStyle name="Suma 2 2 31" xfId="31716"/>
    <cellStyle name="Suma 2 2 31 2" xfId="31717"/>
    <cellStyle name="Suma 2 2 31 3" xfId="31718"/>
    <cellStyle name="Suma 2 2 32" xfId="31719"/>
    <cellStyle name="Suma 2 2 32 2" xfId="31720"/>
    <cellStyle name="Suma 2 2 32 3" xfId="31721"/>
    <cellStyle name="Suma 2 2 33" xfId="31722"/>
    <cellStyle name="Suma 2 2 33 2" xfId="31723"/>
    <cellStyle name="Suma 2 2 33 3" xfId="31724"/>
    <cellStyle name="Suma 2 2 34" xfId="31725"/>
    <cellStyle name="Suma 2 2 34 2" xfId="31726"/>
    <cellStyle name="Suma 2 2 34 3" xfId="31727"/>
    <cellStyle name="Suma 2 2 35" xfId="31728"/>
    <cellStyle name="Suma 2 2 35 2" xfId="31729"/>
    <cellStyle name="Suma 2 2 35 3" xfId="31730"/>
    <cellStyle name="Suma 2 2 36" xfId="31731"/>
    <cellStyle name="Suma 2 2 36 2" xfId="31732"/>
    <cellStyle name="Suma 2 2 36 3" xfId="31733"/>
    <cellStyle name="Suma 2 2 37" xfId="31734"/>
    <cellStyle name="Suma 2 2 37 2" xfId="31735"/>
    <cellStyle name="Suma 2 2 37 3" xfId="31736"/>
    <cellStyle name="Suma 2 2 38" xfId="31737"/>
    <cellStyle name="Suma 2 2 38 2" xfId="31738"/>
    <cellStyle name="Suma 2 2 38 3" xfId="31739"/>
    <cellStyle name="Suma 2 2 39" xfId="31740"/>
    <cellStyle name="Suma 2 2 39 2" xfId="31741"/>
    <cellStyle name="Suma 2 2 39 3" xfId="31742"/>
    <cellStyle name="Suma 2 2 4" xfId="31743"/>
    <cellStyle name="Suma 2 2 4 2" xfId="31744"/>
    <cellStyle name="Suma 2 2 4 3" xfId="31745"/>
    <cellStyle name="Suma 2 2 4 4" xfId="31746"/>
    <cellStyle name="Suma 2 2 40" xfId="31747"/>
    <cellStyle name="Suma 2 2 40 2" xfId="31748"/>
    <cellStyle name="Suma 2 2 40 3" xfId="31749"/>
    <cellStyle name="Suma 2 2 41" xfId="31750"/>
    <cellStyle name="Suma 2 2 41 2" xfId="31751"/>
    <cellStyle name="Suma 2 2 41 3" xfId="31752"/>
    <cellStyle name="Suma 2 2 42" xfId="31753"/>
    <cellStyle name="Suma 2 2 42 2" xfId="31754"/>
    <cellStyle name="Suma 2 2 42 3" xfId="31755"/>
    <cellStyle name="Suma 2 2 43" xfId="31756"/>
    <cellStyle name="Suma 2 2 43 2" xfId="31757"/>
    <cellStyle name="Suma 2 2 43 3" xfId="31758"/>
    <cellStyle name="Suma 2 2 44" xfId="31759"/>
    <cellStyle name="Suma 2 2 44 2" xfId="31760"/>
    <cellStyle name="Suma 2 2 44 3" xfId="31761"/>
    <cellStyle name="Suma 2 2 45" xfId="31762"/>
    <cellStyle name="Suma 2 2 45 2" xfId="31763"/>
    <cellStyle name="Suma 2 2 45 3" xfId="31764"/>
    <cellStyle name="Suma 2 2 46" xfId="31765"/>
    <cellStyle name="Suma 2 2 46 2" xfId="31766"/>
    <cellStyle name="Suma 2 2 46 3" xfId="31767"/>
    <cellStyle name="Suma 2 2 47" xfId="31768"/>
    <cellStyle name="Suma 2 2 47 2" xfId="31769"/>
    <cellStyle name="Suma 2 2 47 3" xfId="31770"/>
    <cellStyle name="Suma 2 2 48" xfId="31771"/>
    <cellStyle name="Suma 2 2 48 2" xfId="31772"/>
    <cellStyle name="Suma 2 2 48 3" xfId="31773"/>
    <cellStyle name="Suma 2 2 49" xfId="31774"/>
    <cellStyle name="Suma 2 2 49 2" xfId="31775"/>
    <cellStyle name="Suma 2 2 49 3" xfId="31776"/>
    <cellStyle name="Suma 2 2 5" xfId="31777"/>
    <cellStyle name="Suma 2 2 5 2" xfId="31778"/>
    <cellStyle name="Suma 2 2 5 3" xfId="31779"/>
    <cellStyle name="Suma 2 2 5 4" xfId="31780"/>
    <cellStyle name="Suma 2 2 50" xfId="31781"/>
    <cellStyle name="Suma 2 2 50 2" xfId="31782"/>
    <cellStyle name="Suma 2 2 50 3" xfId="31783"/>
    <cellStyle name="Suma 2 2 51" xfId="31784"/>
    <cellStyle name="Suma 2 2 51 2" xfId="31785"/>
    <cellStyle name="Suma 2 2 51 3" xfId="31786"/>
    <cellStyle name="Suma 2 2 52" xfId="31787"/>
    <cellStyle name="Suma 2 2 52 2" xfId="31788"/>
    <cellStyle name="Suma 2 2 52 3" xfId="31789"/>
    <cellStyle name="Suma 2 2 53" xfId="31790"/>
    <cellStyle name="Suma 2 2 53 2" xfId="31791"/>
    <cellStyle name="Suma 2 2 53 3" xfId="31792"/>
    <cellStyle name="Suma 2 2 54" xfId="31793"/>
    <cellStyle name="Suma 2 2 54 2" xfId="31794"/>
    <cellStyle name="Suma 2 2 54 3" xfId="31795"/>
    <cellStyle name="Suma 2 2 55" xfId="31796"/>
    <cellStyle name="Suma 2 2 55 2" xfId="31797"/>
    <cellStyle name="Suma 2 2 55 3" xfId="31798"/>
    <cellStyle name="Suma 2 2 56" xfId="31799"/>
    <cellStyle name="Suma 2 2 56 2" xfId="31800"/>
    <cellStyle name="Suma 2 2 56 3" xfId="31801"/>
    <cellStyle name="Suma 2 2 57" xfId="31802"/>
    <cellStyle name="Suma 2 2 58" xfId="31803"/>
    <cellStyle name="Suma 2 2 59" xfId="31804"/>
    <cellStyle name="Suma 2 2 6" xfId="31805"/>
    <cellStyle name="Suma 2 2 6 2" xfId="31806"/>
    <cellStyle name="Suma 2 2 6 3" xfId="31807"/>
    <cellStyle name="Suma 2 2 6 4" xfId="31808"/>
    <cellStyle name="Suma 2 2 7" xfId="31809"/>
    <cellStyle name="Suma 2 2 7 2" xfId="31810"/>
    <cellStyle name="Suma 2 2 7 3" xfId="31811"/>
    <cellStyle name="Suma 2 2 7 4" xfId="31812"/>
    <cellStyle name="Suma 2 2 8" xfId="31813"/>
    <cellStyle name="Suma 2 2 8 2" xfId="31814"/>
    <cellStyle name="Suma 2 2 8 3" xfId="31815"/>
    <cellStyle name="Suma 2 2 8 4" xfId="31816"/>
    <cellStyle name="Suma 2 2 9" xfId="31817"/>
    <cellStyle name="Suma 2 2 9 2" xfId="31818"/>
    <cellStyle name="Suma 2 2 9 3" xfId="31819"/>
    <cellStyle name="Suma 2 2 9 4" xfId="31820"/>
    <cellStyle name="Suma 2 20" xfId="31821"/>
    <cellStyle name="Suma 2 20 10" xfId="31822"/>
    <cellStyle name="Suma 2 20 10 2" xfId="31823"/>
    <cellStyle name="Suma 2 20 10 3" xfId="31824"/>
    <cellStyle name="Suma 2 20 10 4" xfId="31825"/>
    <cellStyle name="Suma 2 20 11" xfId="31826"/>
    <cellStyle name="Suma 2 20 11 2" xfId="31827"/>
    <cellStyle name="Suma 2 20 11 3" xfId="31828"/>
    <cellStyle name="Suma 2 20 11 4" xfId="31829"/>
    <cellStyle name="Suma 2 20 12" xfId="31830"/>
    <cellStyle name="Suma 2 20 12 2" xfId="31831"/>
    <cellStyle name="Suma 2 20 12 3" xfId="31832"/>
    <cellStyle name="Suma 2 20 12 4" xfId="31833"/>
    <cellStyle name="Suma 2 20 13" xfId="31834"/>
    <cellStyle name="Suma 2 20 13 2" xfId="31835"/>
    <cellStyle name="Suma 2 20 13 3" xfId="31836"/>
    <cellStyle name="Suma 2 20 13 4" xfId="31837"/>
    <cellStyle name="Suma 2 20 14" xfId="31838"/>
    <cellStyle name="Suma 2 20 14 2" xfId="31839"/>
    <cellStyle name="Suma 2 20 14 3" xfId="31840"/>
    <cellStyle name="Suma 2 20 14 4" xfId="31841"/>
    <cellStyle name="Suma 2 20 15" xfId="31842"/>
    <cellStyle name="Suma 2 20 15 2" xfId="31843"/>
    <cellStyle name="Suma 2 20 15 3" xfId="31844"/>
    <cellStyle name="Suma 2 20 15 4" xfId="31845"/>
    <cellStyle name="Suma 2 20 16" xfId="31846"/>
    <cellStyle name="Suma 2 20 16 2" xfId="31847"/>
    <cellStyle name="Suma 2 20 16 3" xfId="31848"/>
    <cellStyle name="Suma 2 20 16 4" xfId="31849"/>
    <cellStyle name="Suma 2 20 17" xfId="31850"/>
    <cellStyle name="Suma 2 20 17 2" xfId="31851"/>
    <cellStyle name="Suma 2 20 17 3" xfId="31852"/>
    <cellStyle name="Suma 2 20 17 4" xfId="31853"/>
    <cellStyle name="Suma 2 20 18" xfId="31854"/>
    <cellStyle name="Suma 2 20 18 2" xfId="31855"/>
    <cellStyle name="Suma 2 20 18 3" xfId="31856"/>
    <cellStyle name="Suma 2 20 18 4" xfId="31857"/>
    <cellStyle name="Suma 2 20 19" xfId="31858"/>
    <cellStyle name="Suma 2 20 19 2" xfId="31859"/>
    <cellStyle name="Suma 2 20 19 3" xfId="31860"/>
    <cellStyle name="Suma 2 20 19 4" xfId="31861"/>
    <cellStyle name="Suma 2 20 2" xfId="31862"/>
    <cellStyle name="Suma 2 20 2 2" xfId="31863"/>
    <cellStyle name="Suma 2 20 2 3" xfId="31864"/>
    <cellStyle name="Suma 2 20 2 4" xfId="31865"/>
    <cellStyle name="Suma 2 20 20" xfId="31866"/>
    <cellStyle name="Suma 2 20 20 2" xfId="31867"/>
    <cellStyle name="Suma 2 20 20 3" xfId="31868"/>
    <cellStyle name="Suma 2 20 20 4" xfId="31869"/>
    <cellStyle name="Suma 2 20 21" xfId="31870"/>
    <cellStyle name="Suma 2 20 21 2" xfId="31871"/>
    <cellStyle name="Suma 2 20 21 3" xfId="31872"/>
    <cellStyle name="Suma 2 20 22" xfId="31873"/>
    <cellStyle name="Suma 2 20 22 2" xfId="31874"/>
    <cellStyle name="Suma 2 20 22 3" xfId="31875"/>
    <cellStyle name="Suma 2 20 23" xfId="31876"/>
    <cellStyle name="Suma 2 20 23 2" xfId="31877"/>
    <cellStyle name="Suma 2 20 23 3" xfId="31878"/>
    <cellStyle name="Suma 2 20 24" xfId="31879"/>
    <cellStyle name="Suma 2 20 24 2" xfId="31880"/>
    <cellStyle name="Suma 2 20 24 3" xfId="31881"/>
    <cellStyle name="Suma 2 20 25" xfId="31882"/>
    <cellStyle name="Suma 2 20 25 2" xfId="31883"/>
    <cellStyle name="Suma 2 20 25 3" xfId="31884"/>
    <cellStyle name="Suma 2 20 26" xfId="31885"/>
    <cellStyle name="Suma 2 20 26 2" xfId="31886"/>
    <cellStyle name="Suma 2 20 26 3" xfId="31887"/>
    <cellStyle name="Suma 2 20 27" xfId="31888"/>
    <cellStyle name="Suma 2 20 27 2" xfId="31889"/>
    <cellStyle name="Suma 2 20 27 3" xfId="31890"/>
    <cellStyle name="Suma 2 20 28" xfId="31891"/>
    <cellStyle name="Suma 2 20 28 2" xfId="31892"/>
    <cellStyle name="Suma 2 20 28 3" xfId="31893"/>
    <cellStyle name="Suma 2 20 29" xfId="31894"/>
    <cellStyle name="Suma 2 20 29 2" xfId="31895"/>
    <cellStyle name="Suma 2 20 29 3" xfId="31896"/>
    <cellStyle name="Suma 2 20 3" xfId="31897"/>
    <cellStyle name="Suma 2 20 3 2" xfId="31898"/>
    <cellStyle name="Suma 2 20 3 3" xfId="31899"/>
    <cellStyle name="Suma 2 20 3 4" xfId="31900"/>
    <cellStyle name="Suma 2 20 30" xfId="31901"/>
    <cellStyle name="Suma 2 20 30 2" xfId="31902"/>
    <cellStyle name="Suma 2 20 30 3" xfId="31903"/>
    <cellStyle name="Suma 2 20 31" xfId="31904"/>
    <cellStyle name="Suma 2 20 31 2" xfId="31905"/>
    <cellStyle name="Suma 2 20 31 3" xfId="31906"/>
    <cellStyle name="Suma 2 20 32" xfId="31907"/>
    <cellStyle name="Suma 2 20 32 2" xfId="31908"/>
    <cellStyle name="Suma 2 20 32 3" xfId="31909"/>
    <cellStyle name="Suma 2 20 33" xfId="31910"/>
    <cellStyle name="Suma 2 20 33 2" xfId="31911"/>
    <cellStyle name="Suma 2 20 33 3" xfId="31912"/>
    <cellStyle name="Suma 2 20 34" xfId="31913"/>
    <cellStyle name="Suma 2 20 34 2" xfId="31914"/>
    <cellStyle name="Suma 2 20 34 3" xfId="31915"/>
    <cellStyle name="Suma 2 20 35" xfId="31916"/>
    <cellStyle name="Suma 2 20 35 2" xfId="31917"/>
    <cellStyle name="Suma 2 20 35 3" xfId="31918"/>
    <cellStyle name="Suma 2 20 36" xfId="31919"/>
    <cellStyle name="Suma 2 20 36 2" xfId="31920"/>
    <cellStyle name="Suma 2 20 36 3" xfId="31921"/>
    <cellStyle name="Suma 2 20 37" xfId="31922"/>
    <cellStyle name="Suma 2 20 37 2" xfId="31923"/>
    <cellStyle name="Suma 2 20 37 3" xfId="31924"/>
    <cellStyle name="Suma 2 20 38" xfId="31925"/>
    <cellStyle name="Suma 2 20 38 2" xfId="31926"/>
    <cellStyle name="Suma 2 20 38 3" xfId="31927"/>
    <cellStyle name="Suma 2 20 39" xfId="31928"/>
    <cellStyle name="Suma 2 20 39 2" xfId="31929"/>
    <cellStyle name="Suma 2 20 39 3" xfId="31930"/>
    <cellStyle name="Suma 2 20 4" xfId="31931"/>
    <cellStyle name="Suma 2 20 4 2" xfId="31932"/>
    <cellStyle name="Suma 2 20 4 3" xfId="31933"/>
    <cellStyle name="Suma 2 20 4 4" xfId="31934"/>
    <cellStyle name="Suma 2 20 40" xfId="31935"/>
    <cellStyle name="Suma 2 20 40 2" xfId="31936"/>
    <cellStyle name="Suma 2 20 40 3" xfId="31937"/>
    <cellStyle name="Suma 2 20 41" xfId="31938"/>
    <cellStyle name="Suma 2 20 41 2" xfId="31939"/>
    <cellStyle name="Suma 2 20 41 3" xfId="31940"/>
    <cellStyle name="Suma 2 20 42" xfId="31941"/>
    <cellStyle name="Suma 2 20 42 2" xfId="31942"/>
    <cellStyle name="Suma 2 20 42 3" xfId="31943"/>
    <cellStyle name="Suma 2 20 43" xfId="31944"/>
    <cellStyle name="Suma 2 20 43 2" xfId="31945"/>
    <cellStyle name="Suma 2 20 43 3" xfId="31946"/>
    <cellStyle name="Suma 2 20 44" xfId="31947"/>
    <cellStyle name="Suma 2 20 44 2" xfId="31948"/>
    <cellStyle name="Suma 2 20 44 3" xfId="31949"/>
    <cellStyle name="Suma 2 20 45" xfId="31950"/>
    <cellStyle name="Suma 2 20 45 2" xfId="31951"/>
    <cellStyle name="Suma 2 20 45 3" xfId="31952"/>
    <cellStyle name="Suma 2 20 46" xfId="31953"/>
    <cellStyle name="Suma 2 20 46 2" xfId="31954"/>
    <cellStyle name="Suma 2 20 46 3" xfId="31955"/>
    <cellStyle name="Suma 2 20 47" xfId="31956"/>
    <cellStyle name="Suma 2 20 47 2" xfId="31957"/>
    <cellStyle name="Suma 2 20 47 3" xfId="31958"/>
    <cellStyle name="Suma 2 20 48" xfId="31959"/>
    <cellStyle name="Suma 2 20 48 2" xfId="31960"/>
    <cellStyle name="Suma 2 20 48 3" xfId="31961"/>
    <cellStyle name="Suma 2 20 49" xfId="31962"/>
    <cellStyle name="Suma 2 20 49 2" xfId="31963"/>
    <cellStyle name="Suma 2 20 49 3" xfId="31964"/>
    <cellStyle name="Suma 2 20 5" xfId="31965"/>
    <cellStyle name="Suma 2 20 5 2" xfId="31966"/>
    <cellStyle name="Suma 2 20 5 3" xfId="31967"/>
    <cellStyle name="Suma 2 20 5 4" xfId="31968"/>
    <cellStyle name="Suma 2 20 50" xfId="31969"/>
    <cellStyle name="Suma 2 20 50 2" xfId="31970"/>
    <cellStyle name="Suma 2 20 50 3" xfId="31971"/>
    <cellStyle name="Suma 2 20 51" xfId="31972"/>
    <cellStyle name="Suma 2 20 51 2" xfId="31973"/>
    <cellStyle name="Suma 2 20 51 3" xfId="31974"/>
    <cellStyle name="Suma 2 20 52" xfId="31975"/>
    <cellStyle name="Suma 2 20 52 2" xfId="31976"/>
    <cellStyle name="Suma 2 20 52 3" xfId="31977"/>
    <cellStyle name="Suma 2 20 53" xfId="31978"/>
    <cellStyle name="Suma 2 20 53 2" xfId="31979"/>
    <cellStyle name="Suma 2 20 53 3" xfId="31980"/>
    <cellStyle name="Suma 2 20 54" xfId="31981"/>
    <cellStyle name="Suma 2 20 54 2" xfId="31982"/>
    <cellStyle name="Suma 2 20 54 3" xfId="31983"/>
    <cellStyle name="Suma 2 20 55" xfId="31984"/>
    <cellStyle name="Suma 2 20 55 2" xfId="31985"/>
    <cellStyle name="Suma 2 20 55 3" xfId="31986"/>
    <cellStyle name="Suma 2 20 56" xfId="31987"/>
    <cellStyle name="Suma 2 20 56 2" xfId="31988"/>
    <cellStyle name="Suma 2 20 56 3" xfId="31989"/>
    <cellStyle name="Suma 2 20 57" xfId="31990"/>
    <cellStyle name="Suma 2 20 58" xfId="31991"/>
    <cellStyle name="Suma 2 20 6" xfId="31992"/>
    <cellStyle name="Suma 2 20 6 2" xfId="31993"/>
    <cellStyle name="Suma 2 20 6 3" xfId="31994"/>
    <cellStyle name="Suma 2 20 6 4" xfId="31995"/>
    <cellStyle name="Suma 2 20 7" xfId="31996"/>
    <cellStyle name="Suma 2 20 7 2" xfId="31997"/>
    <cellStyle name="Suma 2 20 7 3" xfId="31998"/>
    <cellStyle name="Suma 2 20 7 4" xfId="31999"/>
    <cellStyle name="Suma 2 20 8" xfId="32000"/>
    <cellStyle name="Suma 2 20 8 2" xfId="32001"/>
    <cellStyle name="Suma 2 20 8 3" xfId="32002"/>
    <cellStyle name="Suma 2 20 8 4" xfId="32003"/>
    <cellStyle name="Suma 2 20 9" xfId="32004"/>
    <cellStyle name="Suma 2 20 9 2" xfId="32005"/>
    <cellStyle name="Suma 2 20 9 3" xfId="32006"/>
    <cellStyle name="Suma 2 20 9 4" xfId="32007"/>
    <cellStyle name="Suma 2 21" xfId="32008"/>
    <cellStyle name="Suma 2 21 10" xfId="32009"/>
    <cellStyle name="Suma 2 21 10 2" xfId="32010"/>
    <cellStyle name="Suma 2 21 10 3" xfId="32011"/>
    <cellStyle name="Suma 2 21 10 4" xfId="32012"/>
    <cellStyle name="Suma 2 21 11" xfId="32013"/>
    <cellStyle name="Suma 2 21 11 2" xfId="32014"/>
    <cellStyle name="Suma 2 21 11 3" xfId="32015"/>
    <cellStyle name="Suma 2 21 11 4" xfId="32016"/>
    <cellStyle name="Suma 2 21 12" xfId="32017"/>
    <cellStyle name="Suma 2 21 12 2" xfId="32018"/>
    <cellStyle name="Suma 2 21 12 3" xfId="32019"/>
    <cellStyle name="Suma 2 21 12 4" xfId="32020"/>
    <cellStyle name="Suma 2 21 13" xfId="32021"/>
    <cellStyle name="Suma 2 21 13 2" xfId="32022"/>
    <cellStyle name="Suma 2 21 13 3" xfId="32023"/>
    <cellStyle name="Suma 2 21 13 4" xfId="32024"/>
    <cellStyle name="Suma 2 21 14" xfId="32025"/>
    <cellStyle name="Suma 2 21 14 2" xfId="32026"/>
    <cellStyle name="Suma 2 21 14 3" xfId="32027"/>
    <cellStyle name="Suma 2 21 14 4" xfId="32028"/>
    <cellStyle name="Suma 2 21 15" xfId="32029"/>
    <cellStyle name="Suma 2 21 15 2" xfId="32030"/>
    <cellStyle name="Suma 2 21 15 3" xfId="32031"/>
    <cellStyle name="Suma 2 21 15 4" xfId="32032"/>
    <cellStyle name="Suma 2 21 16" xfId="32033"/>
    <cellStyle name="Suma 2 21 16 2" xfId="32034"/>
    <cellStyle name="Suma 2 21 16 3" xfId="32035"/>
    <cellStyle name="Suma 2 21 16 4" xfId="32036"/>
    <cellStyle name="Suma 2 21 17" xfId="32037"/>
    <cellStyle name="Suma 2 21 17 2" xfId="32038"/>
    <cellStyle name="Suma 2 21 17 3" xfId="32039"/>
    <cellStyle name="Suma 2 21 17 4" xfId="32040"/>
    <cellStyle name="Suma 2 21 18" xfId="32041"/>
    <cellStyle name="Suma 2 21 18 2" xfId="32042"/>
    <cellStyle name="Suma 2 21 18 3" xfId="32043"/>
    <cellStyle name="Suma 2 21 18 4" xfId="32044"/>
    <cellStyle name="Suma 2 21 19" xfId="32045"/>
    <cellStyle name="Suma 2 21 19 2" xfId="32046"/>
    <cellStyle name="Suma 2 21 19 3" xfId="32047"/>
    <cellStyle name="Suma 2 21 19 4" xfId="32048"/>
    <cellStyle name="Suma 2 21 2" xfId="32049"/>
    <cellStyle name="Suma 2 21 2 2" xfId="32050"/>
    <cellStyle name="Suma 2 21 2 3" xfId="32051"/>
    <cellStyle name="Suma 2 21 2 4" xfId="32052"/>
    <cellStyle name="Suma 2 21 20" xfId="32053"/>
    <cellStyle name="Suma 2 21 20 2" xfId="32054"/>
    <cellStyle name="Suma 2 21 20 3" xfId="32055"/>
    <cellStyle name="Suma 2 21 20 4" xfId="32056"/>
    <cellStyle name="Suma 2 21 21" xfId="32057"/>
    <cellStyle name="Suma 2 21 21 2" xfId="32058"/>
    <cellStyle name="Suma 2 21 21 3" xfId="32059"/>
    <cellStyle name="Suma 2 21 22" xfId="32060"/>
    <cellStyle name="Suma 2 21 22 2" xfId="32061"/>
    <cellStyle name="Suma 2 21 22 3" xfId="32062"/>
    <cellStyle name="Suma 2 21 23" xfId="32063"/>
    <cellStyle name="Suma 2 21 23 2" xfId="32064"/>
    <cellStyle name="Suma 2 21 23 3" xfId="32065"/>
    <cellStyle name="Suma 2 21 24" xfId="32066"/>
    <cellStyle name="Suma 2 21 24 2" xfId="32067"/>
    <cellStyle name="Suma 2 21 24 3" xfId="32068"/>
    <cellStyle name="Suma 2 21 25" xfId="32069"/>
    <cellStyle name="Suma 2 21 25 2" xfId="32070"/>
    <cellStyle name="Suma 2 21 25 3" xfId="32071"/>
    <cellStyle name="Suma 2 21 26" xfId="32072"/>
    <cellStyle name="Suma 2 21 26 2" xfId="32073"/>
    <cellStyle name="Suma 2 21 26 3" xfId="32074"/>
    <cellStyle name="Suma 2 21 27" xfId="32075"/>
    <cellStyle name="Suma 2 21 27 2" xfId="32076"/>
    <cellStyle name="Suma 2 21 27 3" xfId="32077"/>
    <cellStyle name="Suma 2 21 28" xfId="32078"/>
    <cellStyle name="Suma 2 21 28 2" xfId="32079"/>
    <cellStyle name="Suma 2 21 28 3" xfId="32080"/>
    <cellStyle name="Suma 2 21 29" xfId="32081"/>
    <cellStyle name="Suma 2 21 29 2" xfId="32082"/>
    <cellStyle name="Suma 2 21 29 3" xfId="32083"/>
    <cellStyle name="Suma 2 21 3" xfId="32084"/>
    <cellStyle name="Suma 2 21 3 2" xfId="32085"/>
    <cellStyle name="Suma 2 21 3 3" xfId="32086"/>
    <cellStyle name="Suma 2 21 3 4" xfId="32087"/>
    <cellStyle name="Suma 2 21 30" xfId="32088"/>
    <cellStyle name="Suma 2 21 30 2" xfId="32089"/>
    <cellStyle name="Suma 2 21 30 3" xfId="32090"/>
    <cellStyle name="Suma 2 21 31" xfId="32091"/>
    <cellStyle name="Suma 2 21 31 2" xfId="32092"/>
    <cellStyle name="Suma 2 21 31 3" xfId="32093"/>
    <cellStyle name="Suma 2 21 32" xfId="32094"/>
    <cellStyle name="Suma 2 21 32 2" xfId="32095"/>
    <cellStyle name="Suma 2 21 32 3" xfId="32096"/>
    <cellStyle name="Suma 2 21 33" xfId="32097"/>
    <cellStyle name="Suma 2 21 33 2" xfId="32098"/>
    <cellStyle name="Suma 2 21 33 3" xfId="32099"/>
    <cellStyle name="Suma 2 21 34" xfId="32100"/>
    <cellStyle name="Suma 2 21 34 2" xfId="32101"/>
    <cellStyle name="Suma 2 21 34 3" xfId="32102"/>
    <cellStyle name="Suma 2 21 35" xfId="32103"/>
    <cellStyle name="Suma 2 21 35 2" xfId="32104"/>
    <cellStyle name="Suma 2 21 35 3" xfId="32105"/>
    <cellStyle name="Suma 2 21 36" xfId="32106"/>
    <cellStyle name="Suma 2 21 36 2" xfId="32107"/>
    <cellStyle name="Suma 2 21 36 3" xfId="32108"/>
    <cellStyle name="Suma 2 21 37" xfId="32109"/>
    <cellStyle name="Suma 2 21 37 2" xfId="32110"/>
    <cellStyle name="Suma 2 21 37 3" xfId="32111"/>
    <cellStyle name="Suma 2 21 38" xfId="32112"/>
    <cellStyle name="Suma 2 21 38 2" xfId="32113"/>
    <cellStyle name="Suma 2 21 38 3" xfId="32114"/>
    <cellStyle name="Suma 2 21 39" xfId="32115"/>
    <cellStyle name="Suma 2 21 39 2" xfId="32116"/>
    <cellStyle name="Suma 2 21 39 3" xfId="32117"/>
    <cellStyle name="Suma 2 21 4" xfId="32118"/>
    <cellStyle name="Suma 2 21 4 2" xfId="32119"/>
    <cellStyle name="Suma 2 21 4 3" xfId="32120"/>
    <cellStyle name="Suma 2 21 4 4" xfId="32121"/>
    <cellStyle name="Suma 2 21 40" xfId="32122"/>
    <cellStyle name="Suma 2 21 40 2" xfId="32123"/>
    <cellStyle name="Suma 2 21 40 3" xfId="32124"/>
    <cellStyle name="Suma 2 21 41" xfId="32125"/>
    <cellStyle name="Suma 2 21 41 2" xfId="32126"/>
    <cellStyle name="Suma 2 21 41 3" xfId="32127"/>
    <cellStyle name="Suma 2 21 42" xfId="32128"/>
    <cellStyle name="Suma 2 21 42 2" xfId="32129"/>
    <cellStyle name="Suma 2 21 42 3" xfId="32130"/>
    <cellStyle name="Suma 2 21 43" xfId="32131"/>
    <cellStyle name="Suma 2 21 43 2" xfId="32132"/>
    <cellStyle name="Suma 2 21 43 3" xfId="32133"/>
    <cellStyle name="Suma 2 21 44" xfId="32134"/>
    <cellStyle name="Suma 2 21 44 2" xfId="32135"/>
    <cellStyle name="Suma 2 21 44 3" xfId="32136"/>
    <cellStyle name="Suma 2 21 45" xfId="32137"/>
    <cellStyle name="Suma 2 21 45 2" xfId="32138"/>
    <cellStyle name="Suma 2 21 45 3" xfId="32139"/>
    <cellStyle name="Suma 2 21 46" xfId="32140"/>
    <cellStyle name="Suma 2 21 46 2" xfId="32141"/>
    <cellStyle name="Suma 2 21 46 3" xfId="32142"/>
    <cellStyle name="Suma 2 21 47" xfId="32143"/>
    <cellStyle name="Suma 2 21 47 2" xfId="32144"/>
    <cellStyle name="Suma 2 21 47 3" xfId="32145"/>
    <cellStyle name="Suma 2 21 48" xfId="32146"/>
    <cellStyle name="Suma 2 21 48 2" xfId="32147"/>
    <cellStyle name="Suma 2 21 48 3" xfId="32148"/>
    <cellStyle name="Suma 2 21 49" xfId="32149"/>
    <cellStyle name="Suma 2 21 49 2" xfId="32150"/>
    <cellStyle name="Suma 2 21 49 3" xfId="32151"/>
    <cellStyle name="Suma 2 21 5" xfId="32152"/>
    <cellStyle name="Suma 2 21 5 2" xfId="32153"/>
    <cellStyle name="Suma 2 21 5 3" xfId="32154"/>
    <cellStyle name="Suma 2 21 5 4" xfId="32155"/>
    <cellStyle name="Suma 2 21 50" xfId="32156"/>
    <cellStyle name="Suma 2 21 50 2" xfId="32157"/>
    <cellStyle name="Suma 2 21 50 3" xfId="32158"/>
    <cellStyle name="Suma 2 21 51" xfId="32159"/>
    <cellStyle name="Suma 2 21 51 2" xfId="32160"/>
    <cellStyle name="Suma 2 21 51 3" xfId="32161"/>
    <cellStyle name="Suma 2 21 52" xfId="32162"/>
    <cellStyle name="Suma 2 21 52 2" xfId="32163"/>
    <cellStyle name="Suma 2 21 52 3" xfId="32164"/>
    <cellStyle name="Suma 2 21 53" xfId="32165"/>
    <cellStyle name="Suma 2 21 53 2" xfId="32166"/>
    <cellStyle name="Suma 2 21 53 3" xfId="32167"/>
    <cellStyle name="Suma 2 21 54" xfId="32168"/>
    <cellStyle name="Suma 2 21 54 2" xfId="32169"/>
    <cellStyle name="Suma 2 21 54 3" xfId="32170"/>
    <cellStyle name="Suma 2 21 55" xfId="32171"/>
    <cellStyle name="Suma 2 21 55 2" xfId="32172"/>
    <cellStyle name="Suma 2 21 55 3" xfId="32173"/>
    <cellStyle name="Suma 2 21 56" xfId="32174"/>
    <cellStyle name="Suma 2 21 56 2" xfId="32175"/>
    <cellStyle name="Suma 2 21 56 3" xfId="32176"/>
    <cellStyle name="Suma 2 21 57" xfId="32177"/>
    <cellStyle name="Suma 2 21 58" xfId="32178"/>
    <cellStyle name="Suma 2 21 6" xfId="32179"/>
    <cellStyle name="Suma 2 21 6 2" xfId="32180"/>
    <cellStyle name="Suma 2 21 6 3" xfId="32181"/>
    <cellStyle name="Suma 2 21 6 4" xfId="32182"/>
    <cellStyle name="Suma 2 21 7" xfId="32183"/>
    <cellStyle name="Suma 2 21 7 2" xfId="32184"/>
    <cellStyle name="Suma 2 21 7 3" xfId="32185"/>
    <cellStyle name="Suma 2 21 7 4" xfId="32186"/>
    <cellStyle name="Suma 2 21 8" xfId="32187"/>
    <cellStyle name="Suma 2 21 8 2" xfId="32188"/>
    <cellStyle name="Suma 2 21 8 3" xfId="32189"/>
    <cellStyle name="Suma 2 21 8 4" xfId="32190"/>
    <cellStyle name="Suma 2 21 9" xfId="32191"/>
    <cellStyle name="Suma 2 21 9 2" xfId="32192"/>
    <cellStyle name="Suma 2 21 9 3" xfId="32193"/>
    <cellStyle name="Suma 2 21 9 4" xfId="32194"/>
    <cellStyle name="Suma 2 22" xfId="32195"/>
    <cellStyle name="Suma 2 22 10" xfId="32196"/>
    <cellStyle name="Suma 2 22 10 2" xfId="32197"/>
    <cellStyle name="Suma 2 22 10 3" xfId="32198"/>
    <cellStyle name="Suma 2 22 10 4" xfId="32199"/>
    <cellStyle name="Suma 2 22 11" xfId="32200"/>
    <cellStyle name="Suma 2 22 11 2" xfId="32201"/>
    <cellStyle name="Suma 2 22 11 3" xfId="32202"/>
    <cellStyle name="Suma 2 22 11 4" xfId="32203"/>
    <cellStyle name="Suma 2 22 12" xfId="32204"/>
    <cellStyle name="Suma 2 22 12 2" xfId="32205"/>
    <cellStyle name="Suma 2 22 12 3" xfId="32206"/>
    <cellStyle name="Suma 2 22 12 4" xfId="32207"/>
    <cellStyle name="Suma 2 22 13" xfId="32208"/>
    <cellStyle name="Suma 2 22 13 2" xfId="32209"/>
    <cellStyle name="Suma 2 22 13 3" xfId="32210"/>
    <cellStyle name="Suma 2 22 13 4" xfId="32211"/>
    <cellStyle name="Suma 2 22 14" xfId="32212"/>
    <cellStyle name="Suma 2 22 14 2" xfId="32213"/>
    <cellStyle name="Suma 2 22 14 3" xfId="32214"/>
    <cellStyle name="Suma 2 22 14 4" xfId="32215"/>
    <cellStyle name="Suma 2 22 15" xfId="32216"/>
    <cellStyle name="Suma 2 22 15 2" xfId="32217"/>
    <cellStyle name="Suma 2 22 15 3" xfId="32218"/>
    <cellStyle name="Suma 2 22 15 4" xfId="32219"/>
    <cellStyle name="Suma 2 22 16" xfId="32220"/>
    <cellStyle name="Suma 2 22 16 2" xfId="32221"/>
    <cellStyle name="Suma 2 22 16 3" xfId="32222"/>
    <cellStyle name="Suma 2 22 16 4" xfId="32223"/>
    <cellStyle name="Suma 2 22 17" xfId="32224"/>
    <cellStyle name="Suma 2 22 17 2" xfId="32225"/>
    <cellStyle name="Suma 2 22 17 3" xfId="32226"/>
    <cellStyle name="Suma 2 22 17 4" xfId="32227"/>
    <cellStyle name="Suma 2 22 18" xfId="32228"/>
    <cellStyle name="Suma 2 22 18 2" xfId="32229"/>
    <cellStyle name="Suma 2 22 18 3" xfId="32230"/>
    <cellStyle name="Suma 2 22 18 4" xfId="32231"/>
    <cellStyle name="Suma 2 22 19" xfId="32232"/>
    <cellStyle name="Suma 2 22 19 2" xfId="32233"/>
    <cellStyle name="Suma 2 22 19 3" xfId="32234"/>
    <cellStyle name="Suma 2 22 19 4" xfId="32235"/>
    <cellStyle name="Suma 2 22 2" xfId="32236"/>
    <cellStyle name="Suma 2 22 2 2" xfId="32237"/>
    <cellStyle name="Suma 2 22 2 3" xfId="32238"/>
    <cellStyle name="Suma 2 22 2 4" xfId="32239"/>
    <cellStyle name="Suma 2 22 20" xfId="32240"/>
    <cellStyle name="Suma 2 22 20 2" xfId="32241"/>
    <cellStyle name="Suma 2 22 20 3" xfId="32242"/>
    <cellStyle name="Suma 2 22 20 4" xfId="32243"/>
    <cellStyle name="Suma 2 22 21" xfId="32244"/>
    <cellStyle name="Suma 2 22 21 2" xfId="32245"/>
    <cellStyle name="Suma 2 22 21 3" xfId="32246"/>
    <cellStyle name="Suma 2 22 22" xfId="32247"/>
    <cellStyle name="Suma 2 22 22 2" xfId="32248"/>
    <cellStyle name="Suma 2 22 22 3" xfId="32249"/>
    <cellStyle name="Suma 2 22 23" xfId="32250"/>
    <cellStyle name="Suma 2 22 23 2" xfId="32251"/>
    <cellStyle name="Suma 2 22 23 3" xfId="32252"/>
    <cellStyle name="Suma 2 22 24" xfId="32253"/>
    <cellStyle name="Suma 2 22 24 2" xfId="32254"/>
    <cellStyle name="Suma 2 22 24 3" xfId="32255"/>
    <cellStyle name="Suma 2 22 25" xfId="32256"/>
    <cellStyle name="Suma 2 22 25 2" xfId="32257"/>
    <cellStyle name="Suma 2 22 25 3" xfId="32258"/>
    <cellStyle name="Suma 2 22 26" xfId="32259"/>
    <cellStyle name="Suma 2 22 26 2" xfId="32260"/>
    <cellStyle name="Suma 2 22 26 3" xfId="32261"/>
    <cellStyle name="Suma 2 22 27" xfId="32262"/>
    <cellStyle name="Suma 2 22 27 2" xfId="32263"/>
    <cellStyle name="Suma 2 22 27 3" xfId="32264"/>
    <cellStyle name="Suma 2 22 28" xfId="32265"/>
    <cellStyle name="Suma 2 22 28 2" xfId="32266"/>
    <cellStyle name="Suma 2 22 28 3" xfId="32267"/>
    <cellStyle name="Suma 2 22 29" xfId="32268"/>
    <cellStyle name="Suma 2 22 29 2" xfId="32269"/>
    <cellStyle name="Suma 2 22 29 3" xfId="32270"/>
    <cellStyle name="Suma 2 22 3" xfId="32271"/>
    <cellStyle name="Suma 2 22 3 2" xfId="32272"/>
    <cellStyle name="Suma 2 22 3 3" xfId="32273"/>
    <cellStyle name="Suma 2 22 3 4" xfId="32274"/>
    <cellStyle name="Suma 2 22 30" xfId="32275"/>
    <cellStyle name="Suma 2 22 30 2" xfId="32276"/>
    <cellStyle name="Suma 2 22 30 3" xfId="32277"/>
    <cellStyle name="Suma 2 22 31" xfId="32278"/>
    <cellStyle name="Suma 2 22 31 2" xfId="32279"/>
    <cellStyle name="Suma 2 22 31 3" xfId="32280"/>
    <cellStyle name="Suma 2 22 32" xfId="32281"/>
    <cellStyle name="Suma 2 22 32 2" xfId="32282"/>
    <cellStyle name="Suma 2 22 32 3" xfId="32283"/>
    <cellStyle name="Suma 2 22 33" xfId="32284"/>
    <cellStyle name="Suma 2 22 33 2" xfId="32285"/>
    <cellStyle name="Suma 2 22 33 3" xfId="32286"/>
    <cellStyle name="Suma 2 22 34" xfId="32287"/>
    <cellStyle name="Suma 2 22 34 2" xfId="32288"/>
    <cellStyle name="Suma 2 22 34 3" xfId="32289"/>
    <cellStyle name="Suma 2 22 35" xfId="32290"/>
    <cellStyle name="Suma 2 22 35 2" xfId="32291"/>
    <cellStyle name="Suma 2 22 35 3" xfId="32292"/>
    <cellStyle name="Suma 2 22 36" xfId="32293"/>
    <cellStyle name="Suma 2 22 36 2" xfId="32294"/>
    <cellStyle name="Suma 2 22 36 3" xfId="32295"/>
    <cellStyle name="Suma 2 22 37" xfId="32296"/>
    <cellStyle name="Suma 2 22 37 2" xfId="32297"/>
    <cellStyle name="Suma 2 22 37 3" xfId="32298"/>
    <cellStyle name="Suma 2 22 38" xfId="32299"/>
    <cellStyle name="Suma 2 22 38 2" xfId="32300"/>
    <cellStyle name="Suma 2 22 38 3" xfId="32301"/>
    <cellStyle name="Suma 2 22 39" xfId="32302"/>
    <cellStyle name="Suma 2 22 39 2" xfId="32303"/>
    <cellStyle name="Suma 2 22 39 3" xfId="32304"/>
    <cellStyle name="Suma 2 22 4" xfId="32305"/>
    <cellStyle name="Suma 2 22 4 2" xfId="32306"/>
    <cellStyle name="Suma 2 22 4 3" xfId="32307"/>
    <cellStyle name="Suma 2 22 4 4" xfId="32308"/>
    <cellStyle name="Suma 2 22 40" xfId="32309"/>
    <cellStyle name="Suma 2 22 40 2" xfId="32310"/>
    <cellStyle name="Suma 2 22 40 3" xfId="32311"/>
    <cellStyle name="Suma 2 22 41" xfId="32312"/>
    <cellStyle name="Suma 2 22 41 2" xfId="32313"/>
    <cellStyle name="Suma 2 22 41 3" xfId="32314"/>
    <cellStyle name="Suma 2 22 42" xfId="32315"/>
    <cellStyle name="Suma 2 22 42 2" xfId="32316"/>
    <cellStyle name="Suma 2 22 42 3" xfId="32317"/>
    <cellStyle name="Suma 2 22 43" xfId="32318"/>
    <cellStyle name="Suma 2 22 43 2" xfId="32319"/>
    <cellStyle name="Suma 2 22 43 3" xfId="32320"/>
    <cellStyle name="Suma 2 22 44" xfId="32321"/>
    <cellStyle name="Suma 2 22 44 2" xfId="32322"/>
    <cellStyle name="Suma 2 22 44 3" xfId="32323"/>
    <cellStyle name="Suma 2 22 45" xfId="32324"/>
    <cellStyle name="Suma 2 22 45 2" xfId="32325"/>
    <cellStyle name="Suma 2 22 45 3" xfId="32326"/>
    <cellStyle name="Suma 2 22 46" xfId="32327"/>
    <cellStyle name="Suma 2 22 46 2" xfId="32328"/>
    <cellStyle name="Suma 2 22 46 3" xfId="32329"/>
    <cellStyle name="Suma 2 22 47" xfId="32330"/>
    <cellStyle name="Suma 2 22 47 2" xfId="32331"/>
    <cellStyle name="Suma 2 22 47 3" xfId="32332"/>
    <cellStyle name="Suma 2 22 48" xfId="32333"/>
    <cellStyle name="Suma 2 22 48 2" xfId="32334"/>
    <cellStyle name="Suma 2 22 48 3" xfId="32335"/>
    <cellStyle name="Suma 2 22 49" xfId="32336"/>
    <cellStyle name="Suma 2 22 49 2" xfId="32337"/>
    <cellStyle name="Suma 2 22 49 3" xfId="32338"/>
    <cellStyle name="Suma 2 22 5" xfId="32339"/>
    <cellStyle name="Suma 2 22 5 2" xfId="32340"/>
    <cellStyle name="Suma 2 22 5 3" xfId="32341"/>
    <cellStyle name="Suma 2 22 5 4" xfId="32342"/>
    <cellStyle name="Suma 2 22 50" xfId="32343"/>
    <cellStyle name="Suma 2 22 50 2" xfId="32344"/>
    <cellStyle name="Suma 2 22 50 3" xfId="32345"/>
    <cellStyle name="Suma 2 22 51" xfId="32346"/>
    <cellStyle name="Suma 2 22 51 2" xfId="32347"/>
    <cellStyle name="Suma 2 22 51 3" xfId="32348"/>
    <cellStyle name="Suma 2 22 52" xfId="32349"/>
    <cellStyle name="Suma 2 22 52 2" xfId="32350"/>
    <cellStyle name="Suma 2 22 52 3" xfId="32351"/>
    <cellStyle name="Suma 2 22 53" xfId="32352"/>
    <cellStyle name="Suma 2 22 53 2" xfId="32353"/>
    <cellStyle name="Suma 2 22 53 3" xfId="32354"/>
    <cellStyle name="Suma 2 22 54" xfId="32355"/>
    <cellStyle name="Suma 2 22 54 2" xfId="32356"/>
    <cellStyle name="Suma 2 22 54 3" xfId="32357"/>
    <cellStyle name="Suma 2 22 55" xfId="32358"/>
    <cellStyle name="Suma 2 22 55 2" xfId="32359"/>
    <cellStyle name="Suma 2 22 55 3" xfId="32360"/>
    <cellStyle name="Suma 2 22 56" xfId="32361"/>
    <cellStyle name="Suma 2 22 56 2" xfId="32362"/>
    <cellStyle name="Suma 2 22 56 3" xfId="32363"/>
    <cellStyle name="Suma 2 22 57" xfId="32364"/>
    <cellStyle name="Suma 2 22 58" xfId="32365"/>
    <cellStyle name="Suma 2 22 6" xfId="32366"/>
    <cellStyle name="Suma 2 22 6 2" xfId="32367"/>
    <cellStyle name="Suma 2 22 6 3" xfId="32368"/>
    <cellStyle name="Suma 2 22 6 4" xfId="32369"/>
    <cellStyle name="Suma 2 22 7" xfId="32370"/>
    <cellStyle name="Suma 2 22 7 2" xfId="32371"/>
    <cellStyle name="Suma 2 22 7 3" xfId="32372"/>
    <cellStyle name="Suma 2 22 7 4" xfId="32373"/>
    <cellStyle name="Suma 2 22 8" xfId="32374"/>
    <cellStyle name="Suma 2 22 8 2" xfId="32375"/>
    <cellStyle name="Suma 2 22 8 3" xfId="32376"/>
    <cellStyle name="Suma 2 22 8 4" xfId="32377"/>
    <cellStyle name="Suma 2 22 9" xfId="32378"/>
    <cellStyle name="Suma 2 22 9 2" xfId="32379"/>
    <cellStyle name="Suma 2 22 9 3" xfId="32380"/>
    <cellStyle name="Suma 2 22 9 4" xfId="32381"/>
    <cellStyle name="Suma 2 23" xfId="32382"/>
    <cellStyle name="Suma 2 23 10" xfId="32383"/>
    <cellStyle name="Suma 2 23 10 2" xfId="32384"/>
    <cellStyle name="Suma 2 23 10 3" xfId="32385"/>
    <cellStyle name="Suma 2 23 10 4" xfId="32386"/>
    <cellStyle name="Suma 2 23 11" xfId="32387"/>
    <cellStyle name="Suma 2 23 11 2" xfId="32388"/>
    <cellStyle name="Suma 2 23 11 3" xfId="32389"/>
    <cellStyle name="Suma 2 23 11 4" xfId="32390"/>
    <cellStyle name="Suma 2 23 12" xfId="32391"/>
    <cellStyle name="Suma 2 23 12 2" xfId="32392"/>
    <cellStyle name="Suma 2 23 12 3" xfId="32393"/>
    <cellStyle name="Suma 2 23 12 4" xfId="32394"/>
    <cellStyle name="Suma 2 23 13" xfId="32395"/>
    <cellStyle name="Suma 2 23 13 2" xfId="32396"/>
    <cellStyle name="Suma 2 23 13 3" xfId="32397"/>
    <cellStyle name="Suma 2 23 13 4" xfId="32398"/>
    <cellStyle name="Suma 2 23 14" xfId="32399"/>
    <cellStyle name="Suma 2 23 14 2" xfId="32400"/>
    <cellStyle name="Suma 2 23 14 3" xfId="32401"/>
    <cellStyle name="Suma 2 23 14 4" xfId="32402"/>
    <cellStyle name="Suma 2 23 15" xfId="32403"/>
    <cellStyle name="Suma 2 23 15 2" xfId="32404"/>
    <cellStyle name="Suma 2 23 15 3" xfId="32405"/>
    <cellStyle name="Suma 2 23 15 4" xfId="32406"/>
    <cellStyle name="Suma 2 23 16" xfId="32407"/>
    <cellStyle name="Suma 2 23 16 2" xfId="32408"/>
    <cellStyle name="Suma 2 23 16 3" xfId="32409"/>
    <cellStyle name="Suma 2 23 16 4" xfId="32410"/>
    <cellStyle name="Suma 2 23 17" xfId="32411"/>
    <cellStyle name="Suma 2 23 17 2" xfId="32412"/>
    <cellStyle name="Suma 2 23 17 3" xfId="32413"/>
    <cellStyle name="Suma 2 23 17 4" xfId="32414"/>
    <cellStyle name="Suma 2 23 18" xfId="32415"/>
    <cellStyle name="Suma 2 23 18 2" xfId="32416"/>
    <cellStyle name="Suma 2 23 18 3" xfId="32417"/>
    <cellStyle name="Suma 2 23 18 4" xfId="32418"/>
    <cellStyle name="Suma 2 23 19" xfId="32419"/>
    <cellStyle name="Suma 2 23 19 2" xfId="32420"/>
    <cellStyle name="Suma 2 23 19 3" xfId="32421"/>
    <cellStyle name="Suma 2 23 19 4" xfId="32422"/>
    <cellStyle name="Suma 2 23 2" xfId="32423"/>
    <cellStyle name="Suma 2 23 2 2" xfId="32424"/>
    <cellStyle name="Suma 2 23 2 3" xfId="32425"/>
    <cellStyle name="Suma 2 23 2 4" xfId="32426"/>
    <cellStyle name="Suma 2 23 20" xfId="32427"/>
    <cellStyle name="Suma 2 23 20 2" xfId="32428"/>
    <cellStyle name="Suma 2 23 20 3" xfId="32429"/>
    <cellStyle name="Suma 2 23 20 4" xfId="32430"/>
    <cellStyle name="Suma 2 23 21" xfId="32431"/>
    <cellStyle name="Suma 2 23 21 2" xfId="32432"/>
    <cellStyle name="Suma 2 23 21 3" xfId="32433"/>
    <cellStyle name="Suma 2 23 22" xfId="32434"/>
    <cellStyle name="Suma 2 23 22 2" xfId="32435"/>
    <cellStyle name="Suma 2 23 22 3" xfId="32436"/>
    <cellStyle name="Suma 2 23 23" xfId="32437"/>
    <cellStyle name="Suma 2 23 23 2" xfId="32438"/>
    <cellStyle name="Suma 2 23 23 3" xfId="32439"/>
    <cellStyle name="Suma 2 23 24" xfId="32440"/>
    <cellStyle name="Suma 2 23 24 2" xfId="32441"/>
    <cellStyle name="Suma 2 23 24 3" xfId="32442"/>
    <cellStyle name="Suma 2 23 25" xfId="32443"/>
    <cellStyle name="Suma 2 23 25 2" xfId="32444"/>
    <cellStyle name="Suma 2 23 25 3" xfId="32445"/>
    <cellStyle name="Suma 2 23 26" xfId="32446"/>
    <cellStyle name="Suma 2 23 26 2" xfId="32447"/>
    <cellStyle name="Suma 2 23 26 3" xfId="32448"/>
    <cellStyle name="Suma 2 23 27" xfId="32449"/>
    <cellStyle name="Suma 2 23 27 2" xfId="32450"/>
    <cellStyle name="Suma 2 23 27 3" xfId="32451"/>
    <cellStyle name="Suma 2 23 28" xfId="32452"/>
    <cellStyle name="Suma 2 23 28 2" xfId="32453"/>
    <cellStyle name="Suma 2 23 28 3" xfId="32454"/>
    <cellStyle name="Suma 2 23 29" xfId="32455"/>
    <cellStyle name="Suma 2 23 29 2" xfId="32456"/>
    <cellStyle name="Suma 2 23 29 3" xfId="32457"/>
    <cellStyle name="Suma 2 23 3" xfId="32458"/>
    <cellStyle name="Suma 2 23 3 2" xfId="32459"/>
    <cellStyle name="Suma 2 23 3 3" xfId="32460"/>
    <cellStyle name="Suma 2 23 3 4" xfId="32461"/>
    <cellStyle name="Suma 2 23 30" xfId="32462"/>
    <cellStyle name="Suma 2 23 30 2" xfId="32463"/>
    <cellStyle name="Suma 2 23 30 3" xfId="32464"/>
    <cellStyle name="Suma 2 23 31" xfId="32465"/>
    <cellStyle name="Suma 2 23 31 2" xfId="32466"/>
    <cellStyle name="Suma 2 23 31 3" xfId="32467"/>
    <cellStyle name="Suma 2 23 32" xfId="32468"/>
    <cellStyle name="Suma 2 23 32 2" xfId="32469"/>
    <cellStyle name="Suma 2 23 32 3" xfId="32470"/>
    <cellStyle name="Suma 2 23 33" xfId="32471"/>
    <cellStyle name="Suma 2 23 33 2" xfId="32472"/>
    <cellStyle name="Suma 2 23 33 3" xfId="32473"/>
    <cellStyle name="Suma 2 23 34" xfId="32474"/>
    <cellStyle name="Suma 2 23 34 2" xfId="32475"/>
    <cellStyle name="Suma 2 23 34 3" xfId="32476"/>
    <cellStyle name="Suma 2 23 35" xfId="32477"/>
    <cellStyle name="Suma 2 23 35 2" xfId="32478"/>
    <cellStyle name="Suma 2 23 35 3" xfId="32479"/>
    <cellStyle name="Suma 2 23 36" xfId="32480"/>
    <cellStyle name="Suma 2 23 36 2" xfId="32481"/>
    <cellStyle name="Suma 2 23 36 3" xfId="32482"/>
    <cellStyle name="Suma 2 23 37" xfId="32483"/>
    <cellStyle name="Suma 2 23 37 2" xfId="32484"/>
    <cellStyle name="Suma 2 23 37 3" xfId="32485"/>
    <cellStyle name="Suma 2 23 38" xfId="32486"/>
    <cellStyle name="Suma 2 23 38 2" xfId="32487"/>
    <cellStyle name="Suma 2 23 38 3" xfId="32488"/>
    <cellStyle name="Suma 2 23 39" xfId="32489"/>
    <cellStyle name="Suma 2 23 39 2" xfId="32490"/>
    <cellStyle name="Suma 2 23 39 3" xfId="32491"/>
    <cellStyle name="Suma 2 23 4" xfId="32492"/>
    <cellStyle name="Suma 2 23 4 2" xfId="32493"/>
    <cellStyle name="Suma 2 23 4 3" xfId="32494"/>
    <cellStyle name="Suma 2 23 4 4" xfId="32495"/>
    <cellStyle name="Suma 2 23 40" xfId="32496"/>
    <cellStyle name="Suma 2 23 40 2" xfId="32497"/>
    <cellStyle name="Suma 2 23 40 3" xfId="32498"/>
    <cellStyle name="Suma 2 23 41" xfId="32499"/>
    <cellStyle name="Suma 2 23 41 2" xfId="32500"/>
    <cellStyle name="Suma 2 23 41 3" xfId="32501"/>
    <cellStyle name="Suma 2 23 42" xfId="32502"/>
    <cellStyle name="Suma 2 23 42 2" xfId="32503"/>
    <cellStyle name="Suma 2 23 42 3" xfId="32504"/>
    <cellStyle name="Suma 2 23 43" xfId="32505"/>
    <cellStyle name="Suma 2 23 43 2" xfId="32506"/>
    <cellStyle name="Suma 2 23 43 3" xfId="32507"/>
    <cellStyle name="Suma 2 23 44" xfId="32508"/>
    <cellStyle name="Suma 2 23 44 2" xfId="32509"/>
    <cellStyle name="Suma 2 23 44 3" xfId="32510"/>
    <cellStyle name="Suma 2 23 45" xfId="32511"/>
    <cellStyle name="Suma 2 23 45 2" xfId="32512"/>
    <cellStyle name="Suma 2 23 45 3" xfId="32513"/>
    <cellStyle name="Suma 2 23 46" xfId="32514"/>
    <cellStyle name="Suma 2 23 46 2" xfId="32515"/>
    <cellStyle name="Suma 2 23 46 3" xfId="32516"/>
    <cellStyle name="Suma 2 23 47" xfId="32517"/>
    <cellStyle name="Suma 2 23 47 2" xfId="32518"/>
    <cellStyle name="Suma 2 23 47 3" xfId="32519"/>
    <cellStyle name="Suma 2 23 48" xfId="32520"/>
    <cellStyle name="Suma 2 23 48 2" xfId="32521"/>
    <cellStyle name="Suma 2 23 48 3" xfId="32522"/>
    <cellStyle name="Suma 2 23 49" xfId="32523"/>
    <cellStyle name="Suma 2 23 49 2" xfId="32524"/>
    <cellStyle name="Suma 2 23 49 3" xfId="32525"/>
    <cellStyle name="Suma 2 23 5" xfId="32526"/>
    <cellStyle name="Suma 2 23 5 2" xfId="32527"/>
    <cellStyle name="Suma 2 23 5 3" xfId="32528"/>
    <cellStyle name="Suma 2 23 5 4" xfId="32529"/>
    <cellStyle name="Suma 2 23 50" xfId="32530"/>
    <cellStyle name="Suma 2 23 50 2" xfId="32531"/>
    <cellStyle name="Suma 2 23 50 3" xfId="32532"/>
    <cellStyle name="Suma 2 23 51" xfId="32533"/>
    <cellStyle name="Suma 2 23 51 2" xfId="32534"/>
    <cellStyle name="Suma 2 23 51 3" xfId="32535"/>
    <cellStyle name="Suma 2 23 52" xfId="32536"/>
    <cellStyle name="Suma 2 23 52 2" xfId="32537"/>
    <cellStyle name="Suma 2 23 52 3" xfId="32538"/>
    <cellStyle name="Suma 2 23 53" xfId="32539"/>
    <cellStyle name="Suma 2 23 53 2" xfId="32540"/>
    <cellStyle name="Suma 2 23 53 3" xfId="32541"/>
    <cellStyle name="Suma 2 23 54" xfId="32542"/>
    <cellStyle name="Suma 2 23 54 2" xfId="32543"/>
    <cellStyle name="Suma 2 23 54 3" xfId="32544"/>
    <cellStyle name="Suma 2 23 55" xfId="32545"/>
    <cellStyle name="Suma 2 23 55 2" xfId="32546"/>
    <cellStyle name="Suma 2 23 55 3" xfId="32547"/>
    <cellStyle name="Suma 2 23 56" xfId="32548"/>
    <cellStyle name="Suma 2 23 56 2" xfId="32549"/>
    <cellStyle name="Suma 2 23 56 3" xfId="32550"/>
    <cellStyle name="Suma 2 23 57" xfId="32551"/>
    <cellStyle name="Suma 2 23 58" xfId="32552"/>
    <cellStyle name="Suma 2 23 6" xfId="32553"/>
    <cellStyle name="Suma 2 23 6 2" xfId="32554"/>
    <cellStyle name="Suma 2 23 6 3" xfId="32555"/>
    <cellStyle name="Suma 2 23 6 4" xfId="32556"/>
    <cellStyle name="Suma 2 23 7" xfId="32557"/>
    <cellStyle name="Suma 2 23 7 2" xfId="32558"/>
    <cellStyle name="Suma 2 23 7 3" xfId="32559"/>
    <cellStyle name="Suma 2 23 7 4" xfId="32560"/>
    <cellStyle name="Suma 2 23 8" xfId="32561"/>
    <cellStyle name="Suma 2 23 8 2" xfId="32562"/>
    <cellStyle name="Suma 2 23 8 3" xfId="32563"/>
    <cellStyle name="Suma 2 23 8 4" xfId="32564"/>
    <cellStyle name="Suma 2 23 9" xfId="32565"/>
    <cellStyle name="Suma 2 23 9 2" xfId="32566"/>
    <cellStyle name="Suma 2 23 9 3" xfId="32567"/>
    <cellStyle name="Suma 2 23 9 4" xfId="32568"/>
    <cellStyle name="Suma 2 24" xfId="32569"/>
    <cellStyle name="Suma 2 24 10" xfId="32570"/>
    <cellStyle name="Suma 2 24 10 2" xfId="32571"/>
    <cellStyle name="Suma 2 24 10 3" xfId="32572"/>
    <cellStyle name="Suma 2 24 10 4" xfId="32573"/>
    <cellStyle name="Suma 2 24 11" xfId="32574"/>
    <cellStyle name="Suma 2 24 11 2" xfId="32575"/>
    <cellStyle name="Suma 2 24 11 3" xfId="32576"/>
    <cellStyle name="Suma 2 24 11 4" xfId="32577"/>
    <cellStyle name="Suma 2 24 12" xfId="32578"/>
    <cellStyle name="Suma 2 24 12 2" xfId="32579"/>
    <cellStyle name="Suma 2 24 12 3" xfId="32580"/>
    <cellStyle name="Suma 2 24 12 4" xfId="32581"/>
    <cellStyle name="Suma 2 24 13" xfId="32582"/>
    <cellStyle name="Suma 2 24 13 2" xfId="32583"/>
    <cellStyle name="Suma 2 24 13 3" xfId="32584"/>
    <cellStyle name="Suma 2 24 13 4" xfId="32585"/>
    <cellStyle name="Suma 2 24 14" xfId="32586"/>
    <cellStyle name="Suma 2 24 14 2" xfId="32587"/>
    <cellStyle name="Suma 2 24 14 3" xfId="32588"/>
    <cellStyle name="Suma 2 24 14 4" xfId="32589"/>
    <cellStyle name="Suma 2 24 15" xfId="32590"/>
    <cellStyle name="Suma 2 24 15 2" xfId="32591"/>
    <cellStyle name="Suma 2 24 15 3" xfId="32592"/>
    <cellStyle name="Suma 2 24 15 4" xfId="32593"/>
    <cellStyle name="Suma 2 24 16" xfId="32594"/>
    <cellStyle name="Suma 2 24 16 2" xfId="32595"/>
    <cellStyle name="Suma 2 24 16 3" xfId="32596"/>
    <cellStyle name="Suma 2 24 16 4" xfId="32597"/>
    <cellStyle name="Suma 2 24 17" xfId="32598"/>
    <cellStyle name="Suma 2 24 17 2" xfId="32599"/>
    <cellStyle name="Suma 2 24 17 3" xfId="32600"/>
    <cellStyle name="Suma 2 24 17 4" xfId="32601"/>
    <cellStyle name="Suma 2 24 18" xfId="32602"/>
    <cellStyle name="Suma 2 24 18 2" xfId="32603"/>
    <cellStyle name="Suma 2 24 18 3" xfId="32604"/>
    <cellStyle name="Suma 2 24 18 4" xfId="32605"/>
    <cellStyle name="Suma 2 24 19" xfId="32606"/>
    <cellStyle name="Suma 2 24 19 2" xfId="32607"/>
    <cellStyle name="Suma 2 24 19 3" xfId="32608"/>
    <cellStyle name="Suma 2 24 19 4" xfId="32609"/>
    <cellStyle name="Suma 2 24 2" xfId="32610"/>
    <cellStyle name="Suma 2 24 2 2" xfId="32611"/>
    <cellStyle name="Suma 2 24 2 3" xfId="32612"/>
    <cellStyle name="Suma 2 24 2 4" xfId="32613"/>
    <cellStyle name="Suma 2 24 20" xfId="32614"/>
    <cellStyle name="Suma 2 24 20 2" xfId="32615"/>
    <cellStyle name="Suma 2 24 20 3" xfId="32616"/>
    <cellStyle name="Suma 2 24 20 4" xfId="32617"/>
    <cellStyle name="Suma 2 24 21" xfId="32618"/>
    <cellStyle name="Suma 2 24 21 2" xfId="32619"/>
    <cellStyle name="Suma 2 24 21 3" xfId="32620"/>
    <cellStyle name="Suma 2 24 22" xfId="32621"/>
    <cellStyle name="Suma 2 24 22 2" xfId="32622"/>
    <cellStyle name="Suma 2 24 22 3" xfId="32623"/>
    <cellStyle name="Suma 2 24 23" xfId="32624"/>
    <cellStyle name="Suma 2 24 23 2" xfId="32625"/>
    <cellStyle name="Suma 2 24 23 3" xfId="32626"/>
    <cellStyle name="Suma 2 24 24" xfId="32627"/>
    <cellStyle name="Suma 2 24 24 2" xfId="32628"/>
    <cellStyle name="Suma 2 24 24 3" xfId="32629"/>
    <cellStyle name="Suma 2 24 25" xfId="32630"/>
    <cellStyle name="Suma 2 24 25 2" xfId="32631"/>
    <cellStyle name="Suma 2 24 25 3" xfId="32632"/>
    <cellStyle name="Suma 2 24 26" xfId="32633"/>
    <cellStyle name="Suma 2 24 26 2" xfId="32634"/>
    <cellStyle name="Suma 2 24 26 3" xfId="32635"/>
    <cellStyle name="Suma 2 24 27" xfId="32636"/>
    <cellStyle name="Suma 2 24 27 2" xfId="32637"/>
    <cellStyle name="Suma 2 24 27 3" xfId="32638"/>
    <cellStyle name="Suma 2 24 28" xfId="32639"/>
    <cellStyle name="Suma 2 24 28 2" xfId="32640"/>
    <cellStyle name="Suma 2 24 28 3" xfId="32641"/>
    <cellStyle name="Suma 2 24 29" xfId="32642"/>
    <cellStyle name="Suma 2 24 29 2" xfId="32643"/>
    <cellStyle name="Suma 2 24 29 3" xfId="32644"/>
    <cellStyle name="Suma 2 24 3" xfId="32645"/>
    <cellStyle name="Suma 2 24 3 2" xfId="32646"/>
    <cellStyle name="Suma 2 24 3 3" xfId="32647"/>
    <cellStyle name="Suma 2 24 3 4" xfId="32648"/>
    <cellStyle name="Suma 2 24 30" xfId="32649"/>
    <cellStyle name="Suma 2 24 30 2" xfId="32650"/>
    <cellStyle name="Suma 2 24 30 3" xfId="32651"/>
    <cellStyle name="Suma 2 24 31" xfId="32652"/>
    <cellStyle name="Suma 2 24 31 2" xfId="32653"/>
    <cellStyle name="Suma 2 24 31 3" xfId="32654"/>
    <cellStyle name="Suma 2 24 32" xfId="32655"/>
    <cellStyle name="Suma 2 24 32 2" xfId="32656"/>
    <cellStyle name="Suma 2 24 32 3" xfId="32657"/>
    <cellStyle name="Suma 2 24 33" xfId="32658"/>
    <cellStyle name="Suma 2 24 33 2" xfId="32659"/>
    <cellStyle name="Suma 2 24 33 3" xfId="32660"/>
    <cellStyle name="Suma 2 24 34" xfId="32661"/>
    <cellStyle name="Suma 2 24 34 2" xfId="32662"/>
    <cellStyle name="Suma 2 24 34 3" xfId="32663"/>
    <cellStyle name="Suma 2 24 35" xfId="32664"/>
    <cellStyle name="Suma 2 24 35 2" xfId="32665"/>
    <cellStyle name="Suma 2 24 35 3" xfId="32666"/>
    <cellStyle name="Suma 2 24 36" xfId="32667"/>
    <cellStyle name="Suma 2 24 36 2" xfId="32668"/>
    <cellStyle name="Suma 2 24 36 3" xfId="32669"/>
    <cellStyle name="Suma 2 24 37" xfId="32670"/>
    <cellStyle name="Suma 2 24 37 2" xfId="32671"/>
    <cellStyle name="Suma 2 24 37 3" xfId="32672"/>
    <cellStyle name="Suma 2 24 38" xfId="32673"/>
    <cellStyle name="Suma 2 24 38 2" xfId="32674"/>
    <cellStyle name="Suma 2 24 38 3" xfId="32675"/>
    <cellStyle name="Suma 2 24 39" xfId="32676"/>
    <cellStyle name="Suma 2 24 39 2" xfId="32677"/>
    <cellStyle name="Suma 2 24 39 3" xfId="32678"/>
    <cellStyle name="Suma 2 24 4" xfId="32679"/>
    <cellStyle name="Suma 2 24 4 2" xfId="32680"/>
    <cellStyle name="Suma 2 24 4 3" xfId="32681"/>
    <cellStyle name="Suma 2 24 4 4" xfId="32682"/>
    <cellStyle name="Suma 2 24 40" xfId="32683"/>
    <cellStyle name="Suma 2 24 40 2" xfId="32684"/>
    <cellStyle name="Suma 2 24 40 3" xfId="32685"/>
    <cellStyle name="Suma 2 24 41" xfId="32686"/>
    <cellStyle name="Suma 2 24 41 2" xfId="32687"/>
    <cellStyle name="Suma 2 24 41 3" xfId="32688"/>
    <cellStyle name="Suma 2 24 42" xfId="32689"/>
    <cellStyle name="Suma 2 24 42 2" xfId="32690"/>
    <cellStyle name="Suma 2 24 42 3" xfId="32691"/>
    <cellStyle name="Suma 2 24 43" xfId="32692"/>
    <cellStyle name="Suma 2 24 43 2" xfId="32693"/>
    <cellStyle name="Suma 2 24 43 3" xfId="32694"/>
    <cellStyle name="Suma 2 24 44" xfId="32695"/>
    <cellStyle name="Suma 2 24 44 2" xfId="32696"/>
    <cellStyle name="Suma 2 24 44 3" xfId="32697"/>
    <cellStyle name="Suma 2 24 45" xfId="32698"/>
    <cellStyle name="Suma 2 24 45 2" xfId="32699"/>
    <cellStyle name="Suma 2 24 45 3" xfId="32700"/>
    <cellStyle name="Suma 2 24 46" xfId="32701"/>
    <cellStyle name="Suma 2 24 46 2" xfId="32702"/>
    <cellStyle name="Suma 2 24 46 3" xfId="32703"/>
    <cellStyle name="Suma 2 24 47" xfId="32704"/>
    <cellStyle name="Suma 2 24 47 2" xfId="32705"/>
    <cellStyle name="Suma 2 24 47 3" xfId="32706"/>
    <cellStyle name="Suma 2 24 48" xfId="32707"/>
    <cellStyle name="Suma 2 24 48 2" xfId="32708"/>
    <cellStyle name="Suma 2 24 48 3" xfId="32709"/>
    <cellStyle name="Suma 2 24 49" xfId="32710"/>
    <cellStyle name="Suma 2 24 49 2" xfId="32711"/>
    <cellStyle name="Suma 2 24 49 3" xfId="32712"/>
    <cellStyle name="Suma 2 24 5" xfId="32713"/>
    <cellStyle name="Suma 2 24 5 2" xfId="32714"/>
    <cellStyle name="Suma 2 24 5 3" xfId="32715"/>
    <cellStyle name="Suma 2 24 5 4" xfId="32716"/>
    <cellStyle name="Suma 2 24 50" xfId="32717"/>
    <cellStyle name="Suma 2 24 50 2" xfId="32718"/>
    <cellStyle name="Suma 2 24 50 3" xfId="32719"/>
    <cellStyle name="Suma 2 24 51" xfId="32720"/>
    <cellStyle name="Suma 2 24 51 2" xfId="32721"/>
    <cellStyle name="Suma 2 24 51 3" xfId="32722"/>
    <cellStyle name="Suma 2 24 52" xfId="32723"/>
    <cellStyle name="Suma 2 24 52 2" xfId="32724"/>
    <cellStyle name="Suma 2 24 52 3" xfId="32725"/>
    <cellStyle name="Suma 2 24 53" xfId="32726"/>
    <cellStyle name="Suma 2 24 53 2" xfId="32727"/>
    <cellStyle name="Suma 2 24 53 3" xfId="32728"/>
    <cellStyle name="Suma 2 24 54" xfId="32729"/>
    <cellStyle name="Suma 2 24 54 2" xfId="32730"/>
    <cellStyle name="Suma 2 24 54 3" xfId="32731"/>
    <cellStyle name="Suma 2 24 55" xfId="32732"/>
    <cellStyle name="Suma 2 24 55 2" xfId="32733"/>
    <cellStyle name="Suma 2 24 55 3" xfId="32734"/>
    <cellStyle name="Suma 2 24 56" xfId="32735"/>
    <cellStyle name="Suma 2 24 56 2" xfId="32736"/>
    <cellStyle name="Suma 2 24 56 3" xfId="32737"/>
    <cellStyle name="Suma 2 24 57" xfId="32738"/>
    <cellStyle name="Suma 2 24 58" xfId="32739"/>
    <cellStyle name="Suma 2 24 6" xfId="32740"/>
    <cellStyle name="Suma 2 24 6 2" xfId="32741"/>
    <cellStyle name="Suma 2 24 6 3" xfId="32742"/>
    <cellStyle name="Suma 2 24 6 4" xfId="32743"/>
    <cellStyle name="Suma 2 24 7" xfId="32744"/>
    <cellStyle name="Suma 2 24 7 2" xfId="32745"/>
    <cellStyle name="Suma 2 24 7 3" xfId="32746"/>
    <cellStyle name="Suma 2 24 7 4" xfId="32747"/>
    <cellStyle name="Suma 2 24 8" xfId="32748"/>
    <cellStyle name="Suma 2 24 8 2" xfId="32749"/>
    <cellStyle name="Suma 2 24 8 3" xfId="32750"/>
    <cellStyle name="Suma 2 24 8 4" xfId="32751"/>
    <cellStyle name="Suma 2 24 9" xfId="32752"/>
    <cellStyle name="Suma 2 24 9 2" xfId="32753"/>
    <cellStyle name="Suma 2 24 9 3" xfId="32754"/>
    <cellStyle name="Suma 2 24 9 4" xfId="32755"/>
    <cellStyle name="Suma 2 25" xfId="32756"/>
    <cellStyle name="Suma 2 25 10" xfId="32757"/>
    <cellStyle name="Suma 2 25 10 2" xfId="32758"/>
    <cellStyle name="Suma 2 25 10 3" xfId="32759"/>
    <cellStyle name="Suma 2 25 10 4" xfId="32760"/>
    <cellStyle name="Suma 2 25 11" xfId="32761"/>
    <cellStyle name="Suma 2 25 11 2" xfId="32762"/>
    <cellStyle name="Suma 2 25 11 3" xfId="32763"/>
    <cellStyle name="Suma 2 25 11 4" xfId="32764"/>
    <cellStyle name="Suma 2 25 12" xfId="32765"/>
    <cellStyle name="Suma 2 25 12 2" xfId="32766"/>
    <cellStyle name="Suma 2 25 12 3" xfId="32767"/>
    <cellStyle name="Suma 2 25 12 4" xfId="32768"/>
    <cellStyle name="Suma 2 25 13" xfId="32769"/>
    <cellStyle name="Suma 2 25 13 2" xfId="32770"/>
    <cellStyle name="Suma 2 25 13 3" xfId="32771"/>
    <cellStyle name="Suma 2 25 13 4" xfId="32772"/>
    <cellStyle name="Suma 2 25 14" xfId="32773"/>
    <cellStyle name="Suma 2 25 14 2" xfId="32774"/>
    <cellStyle name="Suma 2 25 14 3" xfId="32775"/>
    <cellStyle name="Suma 2 25 14 4" xfId="32776"/>
    <cellStyle name="Suma 2 25 15" xfId="32777"/>
    <cellStyle name="Suma 2 25 15 2" xfId="32778"/>
    <cellStyle name="Suma 2 25 15 3" xfId="32779"/>
    <cellStyle name="Suma 2 25 15 4" xfId="32780"/>
    <cellStyle name="Suma 2 25 16" xfId="32781"/>
    <cellStyle name="Suma 2 25 16 2" xfId="32782"/>
    <cellStyle name="Suma 2 25 16 3" xfId="32783"/>
    <cellStyle name="Suma 2 25 16 4" xfId="32784"/>
    <cellStyle name="Suma 2 25 17" xfId="32785"/>
    <cellStyle name="Suma 2 25 17 2" xfId="32786"/>
    <cellStyle name="Suma 2 25 17 3" xfId="32787"/>
    <cellStyle name="Suma 2 25 17 4" xfId="32788"/>
    <cellStyle name="Suma 2 25 18" xfId="32789"/>
    <cellStyle name="Suma 2 25 18 2" xfId="32790"/>
    <cellStyle name="Suma 2 25 18 3" xfId="32791"/>
    <cellStyle name="Suma 2 25 18 4" xfId="32792"/>
    <cellStyle name="Suma 2 25 19" xfId="32793"/>
    <cellStyle name="Suma 2 25 19 2" xfId="32794"/>
    <cellStyle name="Suma 2 25 19 3" xfId="32795"/>
    <cellStyle name="Suma 2 25 19 4" xfId="32796"/>
    <cellStyle name="Suma 2 25 2" xfId="32797"/>
    <cellStyle name="Suma 2 25 2 2" xfId="32798"/>
    <cellStyle name="Suma 2 25 2 3" xfId="32799"/>
    <cellStyle name="Suma 2 25 2 4" xfId="32800"/>
    <cellStyle name="Suma 2 25 20" xfId="32801"/>
    <cellStyle name="Suma 2 25 20 2" xfId="32802"/>
    <cellStyle name="Suma 2 25 20 3" xfId="32803"/>
    <cellStyle name="Suma 2 25 20 4" xfId="32804"/>
    <cellStyle name="Suma 2 25 21" xfId="32805"/>
    <cellStyle name="Suma 2 25 21 2" xfId="32806"/>
    <cellStyle name="Suma 2 25 21 3" xfId="32807"/>
    <cellStyle name="Suma 2 25 22" xfId="32808"/>
    <cellStyle name="Suma 2 25 22 2" xfId="32809"/>
    <cellStyle name="Suma 2 25 22 3" xfId="32810"/>
    <cellStyle name="Suma 2 25 23" xfId="32811"/>
    <cellStyle name="Suma 2 25 23 2" xfId="32812"/>
    <cellStyle name="Suma 2 25 23 3" xfId="32813"/>
    <cellStyle name="Suma 2 25 24" xfId="32814"/>
    <cellStyle name="Suma 2 25 24 2" xfId="32815"/>
    <cellStyle name="Suma 2 25 24 3" xfId="32816"/>
    <cellStyle name="Suma 2 25 25" xfId="32817"/>
    <cellStyle name="Suma 2 25 25 2" xfId="32818"/>
    <cellStyle name="Suma 2 25 25 3" xfId="32819"/>
    <cellStyle name="Suma 2 25 26" xfId="32820"/>
    <cellStyle name="Suma 2 25 26 2" xfId="32821"/>
    <cellStyle name="Suma 2 25 26 3" xfId="32822"/>
    <cellStyle name="Suma 2 25 27" xfId="32823"/>
    <cellStyle name="Suma 2 25 27 2" xfId="32824"/>
    <cellStyle name="Suma 2 25 27 3" xfId="32825"/>
    <cellStyle name="Suma 2 25 28" xfId="32826"/>
    <cellStyle name="Suma 2 25 28 2" xfId="32827"/>
    <cellStyle name="Suma 2 25 28 3" xfId="32828"/>
    <cellStyle name="Suma 2 25 29" xfId="32829"/>
    <cellStyle name="Suma 2 25 29 2" xfId="32830"/>
    <cellStyle name="Suma 2 25 29 3" xfId="32831"/>
    <cellStyle name="Suma 2 25 3" xfId="32832"/>
    <cellStyle name="Suma 2 25 3 2" xfId="32833"/>
    <cellStyle name="Suma 2 25 3 3" xfId="32834"/>
    <cellStyle name="Suma 2 25 3 4" xfId="32835"/>
    <cellStyle name="Suma 2 25 30" xfId="32836"/>
    <cellStyle name="Suma 2 25 30 2" xfId="32837"/>
    <cellStyle name="Suma 2 25 30 3" xfId="32838"/>
    <cellStyle name="Suma 2 25 31" xfId="32839"/>
    <cellStyle name="Suma 2 25 31 2" xfId="32840"/>
    <cellStyle name="Suma 2 25 31 3" xfId="32841"/>
    <cellStyle name="Suma 2 25 32" xfId="32842"/>
    <cellStyle name="Suma 2 25 32 2" xfId="32843"/>
    <cellStyle name="Suma 2 25 32 3" xfId="32844"/>
    <cellStyle name="Suma 2 25 33" xfId="32845"/>
    <cellStyle name="Suma 2 25 33 2" xfId="32846"/>
    <cellStyle name="Suma 2 25 33 3" xfId="32847"/>
    <cellStyle name="Suma 2 25 34" xfId="32848"/>
    <cellStyle name="Suma 2 25 34 2" xfId="32849"/>
    <cellStyle name="Suma 2 25 34 3" xfId="32850"/>
    <cellStyle name="Suma 2 25 35" xfId="32851"/>
    <cellStyle name="Suma 2 25 35 2" xfId="32852"/>
    <cellStyle name="Suma 2 25 35 3" xfId="32853"/>
    <cellStyle name="Suma 2 25 36" xfId="32854"/>
    <cellStyle name="Suma 2 25 36 2" xfId="32855"/>
    <cellStyle name="Suma 2 25 36 3" xfId="32856"/>
    <cellStyle name="Suma 2 25 37" xfId="32857"/>
    <cellStyle name="Suma 2 25 37 2" xfId="32858"/>
    <cellStyle name="Suma 2 25 37 3" xfId="32859"/>
    <cellStyle name="Suma 2 25 38" xfId="32860"/>
    <cellStyle name="Suma 2 25 38 2" xfId="32861"/>
    <cellStyle name="Suma 2 25 38 3" xfId="32862"/>
    <cellStyle name="Suma 2 25 39" xfId="32863"/>
    <cellStyle name="Suma 2 25 39 2" xfId="32864"/>
    <cellStyle name="Suma 2 25 39 3" xfId="32865"/>
    <cellStyle name="Suma 2 25 4" xfId="32866"/>
    <cellStyle name="Suma 2 25 4 2" xfId="32867"/>
    <cellStyle name="Suma 2 25 4 3" xfId="32868"/>
    <cellStyle name="Suma 2 25 4 4" xfId="32869"/>
    <cellStyle name="Suma 2 25 40" xfId="32870"/>
    <cellStyle name="Suma 2 25 40 2" xfId="32871"/>
    <cellStyle name="Suma 2 25 40 3" xfId="32872"/>
    <cellStyle name="Suma 2 25 41" xfId="32873"/>
    <cellStyle name="Suma 2 25 41 2" xfId="32874"/>
    <cellStyle name="Suma 2 25 41 3" xfId="32875"/>
    <cellStyle name="Suma 2 25 42" xfId="32876"/>
    <cellStyle name="Suma 2 25 42 2" xfId="32877"/>
    <cellStyle name="Suma 2 25 42 3" xfId="32878"/>
    <cellStyle name="Suma 2 25 43" xfId="32879"/>
    <cellStyle name="Suma 2 25 43 2" xfId="32880"/>
    <cellStyle name="Suma 2 25 43 3" xfId="32881"/>
    <cellStyle name="Suma 2 25 44" xfId="32882"/>
    <cellStyle name="Suma 2 25 44 2" xfId="32883"/>
    <cellStyle name="Suma 2 25 44 3" xfId="32884"/>
    <cellStyle name="Suma 2 25 45" xfId="32885"/>
    <cellStyle name="Suma 2 25 45 2" xfId="32886"/>
    <cellStyle name="Suma 2 25 45 3" xfId="32887"/>
    <cellStyle name="Suma 2 25 46" xfId="32888"/>
    <cellStyle name="Suma 2 25 46 2" xfId="32889"/>
    <cellStyle name="Suma 2 25 46 3" xfId="32890"/>
    <cellStyle name="Suma 2 25 47" xfId="32891"/>
    <cellStyle name="Suma 2 25 47 2" xfId="32892"/>
    <cellStyle name="Suma 2 25 47 3" xfId="32893"/>
    <cellStyle name="Suma 2 25 48" xfId="32894"/>
    <cellStyle name="Suma 2 25 48 2" xfId="32895"/>
    <cellStyle name="Suma 2 25 48 3" xfId="32896"/>
    <cellStyle name="Suma 2 25 49" xfId="32897"/>
    <cellStyle name="Suma 2 25 49 2" xfId="32898"/>
    <cellStyle name="Suma 2 25 49 3" xfId="32899"/>
    <cellStyle name="Suma 2 25 5" xfId="32900"/>
    <cellStyle name="Suma 2 25 5 2" xfId="32901"/>
    <cellStyle name="Suma 2 25 5 3" xfId="32902"/>
    <cellStyle name="Suma 2 25 5 4" xfId="32903"/>
    <cellStyle name="Suma 2 25 50" xfId="32904"/>
    <cellStyle name="Suma 2 25 50 2" xfId="32905"/>
    <cellStyle name="Suma 2 25 50 3" xfId="32906"/>
    <cellStyle name="Suma 2 25 51" xfId="32907"/>
    <cellStyle name="Suma 2 25 51 2" xfId="32908"/>
    <cellStyle name="Suma 2 25 51 3" xfId="32909"/>
    <cellStyle name="Suma 2 25 52" xfId="32910"/>
    <cellStyle name="Suma 2 25 52 2" xfId="32911"/>
    <cellStyle name="Suma 2 25 52 3" xfId="32912"/>
    <cellStyle name="Suma 2 25 53" xfId="32913"/>
    <cellStyle name="Suma 2 25 53 2" xfId="32914"/>
    <cellStyle name="Suma 2 25 53 3" xfId="32915"/>
    <cellStyle name="Suma 2 25 54" xfId="32916"/>
    <cellStyle name="Suma 2 25 54 2" xfId="32917"/>
    <cellStyle name="Suma 2 25 54 3" xfId="32918"/>
    <cellStyle name="Suma 2 25 55" xfId="32919"/>
    <cellStyle name="Suma 2 25 55 2" xfId="32920"/>
    <cellStyle name="Suma 2 25 55 3" xfId="32921"/>
    <cellStyle name="Suma 2 25 56" xfId="32922"/>
    <cellStyle name="Suma 2 25 56 2" xfId="32923"/>
    <cellStyle name="Suma 2 25 56 3" xfId="32924"/>
    <cellStyle name="Suma 2 25 57" xfId="32925"/>
    <cellStyle name="Suma 2 25 58" xfId="32926"/>
    <cellStyle name="Suma 2 25 6" xfId="32927"/>
    <cellStyle name="Suma 2 25 6 2" xfId="32928"/>
    <cellStyle name="Suma 2 25 6 3" xfId="32929"/>
    <cellStyle name="Suma 2 25 6 4" xfId="32930"/>
    <cellStyle name="Suma 2 25 7" xfId="32931"/>
    <cellStyle name="Suma 2 25 7 2" xfId="32932"/>
    <cellStyle name="Suma 2 25 7 3" xfId="32933"/>
    <cellStyle name="Suma 2 25 7 4" xfId="32934"/>
    <cellStyle name="Suma 2 25 8" xfId="32935"/>
    <cellStyle name="Suma 2 25 8 2" xfId="32936"/>
    <cellStyle name="Suma 2 25 8 3" xfId="32937"/>
    <cellStyle name="Suma 2 25 8 4" xfId="32938"/>
    <cellStyle name="Suma 2 25 9" xfId="32939"/>
    <cellStyle name="Suma 2 25 9 2" xfId="32940"/>
    <cellStyle name="Suma 2 25 9 3" xfId="32941"/>
    <cellStyle name="Suma 2 25 9 4" xfId="32942"/>
    <cellStyle name="Suma 2 26" xfId="32943"/>
    <cellStyle name="Suma 2 26 10" xfId="32944"/>
    <cellStyle name="Suma 2 26 10 2" xfId="32945"/>
    <cellStyle name="Suma 2 26 10 3" xfId="32946"/>
    <cellStyle name="Suma 2 26 10 4" xfId="32947"/>
    <cellStyle name="Suma 2 26 11" xfId="32948"/>
    <cellStyle name="Suma 2 26 11 2" xfId="32949"/>
    <cellStyle name="Suma 2 26 11 3" xfId="32950"/>
    <cellStyle name="Suma 2 26 11 4" xfId="32951"/>
    <cellStyle name="Suma 2 26 12" xfId="32952"/>
    <cellStyle name="Suma 2 26 12 2" xfId="32953"/>
    <cellStyle name="Suma 2 26 12 3" xfId="32954"/>
    <cellStyle name="Suma 2 26 12 4" xfId="32955"/>
    <cellStyle name="Suma 2 26 13" xfId="32956"/>
    <cellStyle name="Suma 2 26 13 2" xfId="32957"/>
    <cellStyle name="Suma 2 26 13 3" xfId="32958"/>
    <cellStyle name="Suma 2 26 13 4" xfId="32959"/>
    <cellStyle name="Suma 2 26 14" xfId="32960"/>
    <cellStyle name="Suma 2 26 14 2" xfId="32961"/>
    <cellStyle name="Suma 2 26 14 3" xfId="32962"/>
    <cellStyle name="Suma 2 26 14 4" xfId="32963"/>
    <cellStyle name="Suma 2 26 15" xfId="32964"/>
    <cellStyle name="Suma 2 26 15 2" xfId="32965"/>
    <cellStyle name="Suma 2 26 15 3" xfId="32966"/>
    <cellStyle name="Suma 2 26 15 4" xfId="32967"/>
    <cellStyle name="Suma 2 26 16" xfId="32968"/>
    <cellStyle name="Suma 2 26 16 2" xfId="32969"/>
    <cellStyle name="Suma 2 26 16 3" xfId="32970"/>
    <cellStyle name="Suma 2 26 16 4" xfId="32971"/>
    <cellStyle name="Suma 2 26 17" xfId="32972"/>
    <cellStyle name="Suma 2 26 17 2" xfId="32973"/>
    <cellStyle name="Suma 2 26 17 3" xfId="32974"/>
    <cellStyle name="Suma 2 26 17 4" xfId="32975"/>
    <cellStyle name="Suma 2 26 18" xfId="32976"/>
    <cellStyle name="Suma 2 26 18 2" xfId="32977"/>
    <cellStyle name="Suma 2 26 18 3" xfId="32978"/>
    <cellStyle name="Suma 2 26 18 4" xfId="32979"/>
    <cellStyle name="Suma 2 26 19" xfId="32980"/>
    <cellStyle name="Suma 2 26 19 2" xfId="32981"/>
    <cellStyle name="Suma 2 26 19 3" xfId="32982"/>
    <cellStyle name="Suma 2 26 19 4" xfId="32983"/>
    <cellStyle name="Suma 2 26 2" xfId="32984"/>
    <cellStyle name="Suma 2 26 2 2" xfId="32985"/>
    <cellStyle name="Suma 2 26 2 3" xfId="32986"/>
    <cellStyle name="Suma 2 26 2 4" xfId="32987"/>
    <cellStyle name="Suma 2 26 20" xfId="32988"/>
    <cellStyle name="Suma 2 26 20 2" xfId="32989"/>
    <cellStyle name="Suma 2 26 20 3" xfId="32990"/>
    <cellStyle name="Suma 2 26 20 4" xfId="32991"/>
    <cellStyle name="Suma 2 26 21" xfId="32992"/>
    <cellStyle name="Suma 2 26 21 2" xfId="32993"/>
    <cellStyle name="Suma 2 26 21 3" xfId="32994"/>
    <cellStyle name="Suma 2 26 22" xfId="32995"/>
    <cellStyle name="Suma 2 26 22 2" xfId="32996"/>
    <cellStyle name="Suma 2 26 22 3" xfId="32997"/>
    <cellStyle name="Suma 2 26 23" xfId="32998"/>
    <cellStyle name="Suma 2 26 23 2" xfId="32999"/>
    <cellStyle name="Suma 2 26 23 3" xfId="33000"/>
    <cellStyle name="Suma 2 26 24" xfId="33001"/>
    <cellStyle name="Suma 2 26 24 2" xfId="33002"/>
    <cellStyle name="Suma 2 26 24 3" xfId="33003"/>
    <cellStyle name="Suma 2 26 25" xfId="33004"/>
    <cellStyle name="Suma 2 26 25 2" xfId="33005"/>
    <cellStyle name="Suma 2 26 25 3" xfId="33006"/>
    <cellStyle name="Suma 2 26 26" xfId="33007"/>
    <cellStyle name="Suma 2 26 26 2" xfId="33008"/>
    <cellStyle name="Suma 2 26 26 3" xfId="33009"/>
    <cellStyle name="Suma 2 26 27" xfId="33010"/>
    <cellStyle name="Suma 2 26 27 2" xfId="33011"/>
    <cellStyle name="Suma 2 26 27 3" xfId="33012"/>
    <cellStyle name="Suma 2 26 28" xfId="33013"/>
    <cellStyle name="Suma 2 26 28 2" xfId="33014"/>
    <cellStyle name="Suma 2 26 28 3" xfId="33015"/>
    <cellStyle name="Suma 2 26 29" xfId="33016"/>
    <cellStyle name="Suma 2 26 29 2" xfId="33017"/>
    <cellStyle name="Suma 2 26 29 3" xfId="33018"/>
    <cellStyle name="Suma 2 26 3" xfId="33019"/>
    <cellStyle name="Suma 2 26 3 2" xfId="33020"/>
    <cellStyle name="Suma 2 26 3 3" xfId="33021"/>
    <cellStyle name="Suma 2 26 3 4" xfId="33022"/>
    <cellStyle name="Suma 2 26 30" xfId="33023"/>
    <cellStyle name="Suma 2 26 30 2" xfId="33024"/>
    <cellStyle name="Suma 2 26 30 3" xfId="33025"/>
    <cellStyle name="Suma 2 26 31" xfId="33026"/>
    <cellStyle name="Suma 2 26 31 2" xfId="33027"/>
    <cellStyle name="Suma 2 26 31 3" xfId="33028"/>
    <cellStyle name="Suma 2 26 32" xfId="33029"/>
    <cellStyle name="Suma 2 26 32 2" xfId="33030"/>
    <cellStyle name="Suma 2 26 32 3" xfId="33031"/>
    <cellStyle name="Suma 2 26 33" xfId="33032"/>
    <cellStyle name="Suma 2 26 33 2" xfId="33033"/>
    <cellStyle name="Suma 2 26 33 3" xfId="33034"/>
    <cellStyle name="Suma 2 26 34" xfId="33035"/>
    <cellStyle name="Suma 2 26 34 2" xfId="33036"/>
    <cellStyle name="Suma 2 26 34 3" xfId="33037"/>
    <cellStyle name="Suma 2 26 35" xfId="33038"/>
    <cellStyle name="Suma 2 26 35 2" xfId="33039"/>
    <cellStyle name="Suma 2 26 35 3" xfId="33040"/>
    <cellStyle name="Suma 2 26 36" xfId="33041"/>
    <cellStyle name="Suma 2 26 36 2" xfId="33042"/>
    <cellStyle name="Suma 2 26 36 3" xfId="33043"/>
    <cellStyle name="Suma 2 26 37" xfId="33044"/>
    <cellStyle name="Suma 2 26 37 2" xfId="33045"/>
    <cellStyle name="Suma 2 26 37 3" xfId="33046"/>
    <cellStyle name="Suma 2 26 38" xfId="33047"/>
    <cellStyle name="Suma 2 26 38 2" xfId="33048"/>
    <cellStyle name="Suma 2 26 38 3" xfId="33049"/>
    <cellStyle name="Suma 2 26 39" xfId="33050"/>
    <cellStyle name="Suma 2 26 39 2" xfId="33051"/>
    <cellStyle name="Suma 2 26 39 3" xfId="33052"/>
    <cellStyle name="Suma 2 26 4" xfId="33053"/>
    <cellStyle name="Suma 2 26 4 2" xfId="33054"/>
    <cellStyle name="Suma 2 26 4 3" xfId="33055"/>
    <cellStyle name="Suma 2 26 4 4" xfId="33056"/>
    <cellStyle name="Suma 2 26 40" xfId="33057"/>
    <cellStyle name="Suma 2 26 40 2" xfId="33058"/>
    <cellStyle name="Suma 2 26 40 3" xfId="33059"/>
    <cellStyle name="Suma 2 26 41" xfId="33060"/>
    <cellStyle name="Suma 2 26 41 2" xfId="33061"/>
    <cellStyle name="Suma 2 26 41 3" xfId="33062"/>
    <cellStyle name="Suma 2 26 42" xfId="33063"/>
    <cellStyle name="Suma 2 26 42 2" xfId="33064"/>
    <cellStyle name="Suma 2 26 42 3" xfId="33065"/>
    <cellStyle name="Suma 2 26 43" xfId="33066"/>
    <cellStyle name="Suma 2 26 43 2" xfId="33067"/>
    <cellStyle name="Suma 2 26 43 3" xfId="33068"/>
    <cellStyle name="Suma 2 26 44" xfId="33069"/>
    <cellStyle name="Suma 2 26 44 2" xfId="33070"/>
    <cellStyle name="Suma 2 26 44 3" xfId="33071"/>
    <cellStyle name="Suma 2 26 45" xfId="33072"/>
    <cellStyle name="Suma 2 26 45 2" xfId="33073"/>
    <cellStyle name="Suma 2 26 45 3" xfId="33074"/>
    <cellStyle name="Suma 2 26 46" xfId="33075"/>
    <cellStyle name="Suma 2 26 46 2" xfId="33076"/>
    <cellStyle name="Suma 2 26 46 3" xfId="33077"/>
    <cellStyle name="Suma 2 26 47" xfId="33078"/>
    <cellStyle name="Suma 2 26 47 2" xfId="33079"/>
    <cellStyle name="Suma 2 26 47 3" xfId="33080"/>
    <cellStyle name="Suma 2 26 48" xfId="33081"/>
    <cellStyle name="Suma 2 26 48 2" xfId="33082"/>
    <cellStyle name="Suma 2 26 48 3" xfId="33083"/>
    <cellStyle name="Suma 2 26 49" xfId="33084"/>
    <cellStyle name="Suma 2 26 49 2" xfId="33085"/>
    <cellStyle name="Suma 2 26 49 3" xfId="33086"/>
    <cellStyle name="Suma 2 26 5" xfId="33087"/>
    <cellStyle name="Suma 2 26 5 2" xfId="33088"/>
    <cellStyle name="Suma 2 26 5 3" xfId="33089"/>
    <cellStyle name="Suma 2 26 5 4" xfId="33090"/>
    <cellStyle name="Suma 2 26 50" xfId="33091"/>
    <cellStyle name="Suma 2 26 50 2" xfId="33092"/>
    <cellStyle name="Suma 2 26 50 3" xfId="33093"/>
    <cellStyle name="Suma 2 26 51" xfId="33094"/>
    <cellStyle name="Suma 2 26 51 2" xfId="33095"/>
    <cellStyle name="Suma 2 26 51 3" xfId="33096"/>
    <cellStyle name="Suma 2 26 52" xfId="33097"/>
    <cellStyle name="Suma 2 26 52 2" xfId="33098"/>
    <cellStyle name="Suma 2 26 52 3" xfId="33099"/>
    <cellStyle name="Suma 2 26 53" xfId="33100"/>
    <cellStyle name="Suma 2 26 53 2" xfId="33101"/>
    <cellStyle name="Suma 2 26 53 3" xfId="33102"/>
    <cellStyle name="Suma 2 26 54" xfId="33103"/>
    <cellStyle name="Suma 2 26 54 2" xfId="33104"/>
    <cellStyle name="Suma 2 26 54 3" xfId="33105"/>
    <cellStyle name="Suma 2 26 55" xfId="33106"/>
    <cellStyle name="Suma 2 26 55 2" xfId="33107"/>
    <cellStyle name="Suma 2 26 55 3" xfId="33108"/>
    <cellStyle name="Suma 2 26 56" xfId="33109"/>
    <cellStyle name="Suma 2 26 56 2" xfId="33110"/>
    <cellStyle name="Suma 2 26 56 3" xfId="33111"/>
    <cellStyle name="Suma 2 26 57" xfId="33112"/>
    <cellStyle name="Suma 2 26 58" xfId="33113"/>
    <cellStyle name="Suma 2 26 6" xfId="33114"/>
    <cellStyle name="Suma 2 26 6 2" xfId="33115"/>
    <cellStyle name="Suma 2 26 6 3" xfId="33116"/>
    <cellStyle name="Suma 2 26 6 4" xfId="33117"/>
    <cellStyle name="Suma 2 26 7" xfId="33118"/>
    <cellStyle name="Suma 2 26 7 2" xfId="33119"/>
    <cellStyle name="Suma 2 26 7 3" xfId="33120"/>
    <cellStyle name="Suma 2 26 7 4" xfId="33121"/>
    <cellStyle name="Suma 2 26 8" xfId="33122"/>
    <cellStyle name="Suma 2 26 8 2" xfId="33123"/>
    <cellStyle name="Suma 2 26 8 3" xfId="33124"/>
    <cellStyle name="Suma 2 26 8 4" xfId="33125"/>
    <cellStyle name="Suma 2 26 9" xfId="33126"/>
    <cellStyle name="Suma 2 26 9 2" xfId="33127"/>
    <cellStyle name="Suma 2 26 9 3" xfId="33128"/>
    <cellStyle name="Suma 2 26 9 4" xfId="33129"/>
    <cellStyle name="Suma 2 27" xfId="33130"/>
    <cellStyle name="Suma 2 27 10" xfId="33131"/>
    <cellStyle name="Suma 2 27 10 2" xfId="33132"/>
    <cellStyle name="Suma 2 27 10 3" xfId="33133"/>
    <cellStyle name="Suma 2 27 10 4" xfId="33134"/>
    <cellStyle name="Suma 2 27 11" xfId="33135"/>
    <cellStyle name="Suma 2 27 11 2" xfId="33136"/>
    <cellStyle name="Suma 2 27 11 3" xfId="33137"/>
    <cellStyle name="Suma 2 27 11 4" xfId="33138"/>
    <cellStyle name="Suma 2 27 12" xfId="33139"/>
    <cellStyle name="Suma 2 27 12 2" xfId="33140"/>
    <cellStyle name="Suma 2 27 12 3" xfId="33141"/>
    <cellStyle name="Suma 2 27 12 4" xfId="33142"/>
    <cellStyle name="Suma 2 27 13" xfId="33143"/>
    <cellStyle name="Suma 2 27 13 2" xfId="33144"/>
    <cellStyle name="Suma 2 27 13 3" xfId="33145"/>
    <cellStyle name="Suma 2 27 13 4" xfId="33146"/>
    <cellStyle name="Suma 2 27 14" xfId="33147"/>
    <cellStyle name="Suma 2 27 14 2" xfId="33148"/>
    <cellStyle name="Suma 2 27 14 3" xfId="33149"/>
    <cellStyle name="Suma 2 27 14 4" xfId="33150"/>
    <cellStyle name="Suma 2 27 15" xfId="33151"/>
    <cellStyle name="Suma 2 27 15 2" xfId="33152"/>
    <cellStyle name="Suma 2 27 15 3" xfId="33153"/>
    <cellStyle name="Suma 2 27 15 4" xfId="33154"/>
    <cellStyle name="Suma 2 27 16" xfId="33155"/>
    <cellStyle name="Suma 2 27 16 2" xfId="33156"/>
    <cellStyle name="Suma 2 27 16 3" xfId="33157"/>
    <cellStyle name="Suma 2 27 16 4" xfId="33158"/>
    <cellStyle name="Suma 2 27 17" xfId="33159"/>
    <cellStyle name="Suma 2 27 17 2" xfId="33160"/>
    <cellStyle name="Suma 2 27 17 3" xfId="33161"/>
    <cellStyle name="Suma 2 27 17 4" xfId="33162"/>
    <cellStyle name="Suma 2 27 18" xfId="33163"/>
    <cellStyle name="Suma 2 27 18 2" xfId="33164"/>
    <cellStyle name="Suma 2 27 18 3" xfId="33165"/>
    <cellStyle name="Suma 2 27 18 4" xfId="33166"/>
    <cellStyle name="Suma 2 27 19" xfId="33167"/>
    <cellStyle name="Suma 2 27 19 2" xfId="33168"/>
    <cellStyle name="Suma 2 27 19 3" xfId="33169"/>
    <cellStyle name="Suma 2 27 19 4" xfId="33170"/>
    <cellStyle name="Suma 2 27 2" xfId="33171"/>
    <cellStyle name="Suma 2 27 2 2" xfId="33172"/>
    <cellStyle name="Suma 2 27 2 3" xfId="33173"/>
    <cellStyle name="Suma 2 27 2 4" xfId="33174"/>
    <cellStyle name="Suma 2 27 20" xfId="33175"/>
    <cellStyle name="Suma 2 27 20 2" xfId="33176"/>
    <cellStyle name="Suma 2 27 20 3" xfId="33177"/>
    <cellStyle name="Suma 2 27 20 4" xfId="33178"/>
    <cellStyle name="Suma 2 27 21" xfId="33179"/>
    <cellStyle name="Suma 2 27 21 2" xfId="33180"/>
    <cellStyle name="Suma 2 27 21 3" xfId="33181"/>
    <cellStyle name="Suma 2 27 22" xfId="33182"/>
    <cellStyle name="Suma 2 27 22 2" xfId="33183"/>
    <cellStyle name="Suma 2 27 22 3" xfId="33184"/>
    <cellStyle name="Suma 2 27 23" xfId="33185"/>
    <cellStyle name="Suma 2 27 23 2" xfId="33186"/>
    <cellStyle name="Suma 2 27 23 3" xfId="33187"/>
    <cellStyle name="Suma 2 27 24" xfId="33188"/>
    <cellStyle name="Suma 2 27 24 2" xfId="33189"/>
    <cellStyle name="Suma 2 27 24 3" xfId="33190"/>
    <cellStyle name="Suma 2 27 25" xfId="33191"/>
    <cellStyle name="Suma 2 27 25 2" xfId="33192"/>
    <cellStyle name="Suma 2 27 25 3" xfId="33193"/>
    <cellStyle name="Suma 2 27 26" xfId="33194"/>
    <cellStyle name="Suma 2 27 26 2" xfId="33195"/>
    <cellStyle name="Suma 2 27 26 3" xfId="33196"/>
    <cellStyle name="Suma 2 27 27" xfId="33197"/>
    <cellStyle name="Suma 2 27 27 2" xfId="33198"/>
    <cellStyle name="Suma 2 27 27 3" xfId="33199"/>
    <cellStyle name="Suma 2 27 28" xfId="33200"/>
    <cellStyle name="Suma 2 27 28 2" xfId="33201"/>
    <cellStyle name="Suma 2 27 28 3" xfId="33202"/>
    <cellStyle name="Suma 2 27 29" xfId="33203"/>
    <cellStyle name="Suma 2 27 29 2" xfId="33204"/>
    <cellStyle name="Suma 2 27 29 3" xfId="33205"/>
    <cellStyle name="Suma 2 27 3" xfId="33206"/>
    <cellStyle name="Suma 2 27 3 2" xfId="33207"/>
    <cellStyle name="Suma 2 27 3 3" xfId="33208"/>
    <cellStyle name="Suma 2 27 3 4" xfId="33209"/>
    <cellStyle name="Suma 2 27 30" xfId="33210"/>
    <cellStyle name="Suma 2 27 30 2" xfId="33211"/>
    <cellStyle name="Suma 2 27 30 3" xfId="33212"/>
    <cellStyle name="Suma 2 27 31" xfId="33213"/>
    <cellStyle name="Suma 2 27 31 2" xfId="33214"/>
    <cellStyle name="Suma 2 27 31 3" xfId="33215"/>
    <cellStyle name="Suma 2 27 32" xfId="33216"/>
    <cellStyle name="Suma 2 27 32 2" xfId="33217"/>
    <cellStyle name="Suma 2 27 32 3" xfId="33218"/>
    <cellStyle name="Suma 2 27 33" xfId="33219"/>
    <cellStyle name="Suma 2 27 33 2" xfId="33220"/>
    <cellStyle name="Suma 2 27 33 3" xfId="33221"/>
    <cellStyle name="Suma 2 27 34" xfId="33222"/>
    <cellStyle name="Suma 2 27 34 2" xfId="33223"/>
    <cellStyle name="Suma 2 27 34 3" xfId="33224"/>
    <cellStyle name="Suma 2 27 35" xfId="33225"/>
    <cellStyle name="Suma 2 27 35 2" xfId="33226"/>
    <cellStyle name="Suma 2 27 35 3" xfId="33227"/>
    <cellStyle name="Suma 2 27 36" xfId="33228"/>
    <cellStyle name="Suma 2 27 36 2" xfId="33229"/>
    <cellStyle name="Suma 2 27 36 3" xfId="33230"/>
    <cellStyle name="Suma 2 27 37" xfId="33231"/>
    <cellStyle name="Suma 2 27 37 2" xfId="33232"/>
    <cellStyle name="Suma 2 27 37 3" xfId="33233"/>
    <cellStyle name="Suma 2 27 38" xfId="33234"/>
    <cellStyle name="Suma 2 27 38 2" xfId="33235"/>
    <cellStyle name="Suma 2 27 38 3" xfId="33236"/>
    <cellStyle name="Suma 2 27 39" xfId="33237"/>
    <cellStyle name="Suma 2 27 39 2" xfId="33238"/>
    <cellStyle name="Suma 2 27 39 3" xfId="33239"/>
    <cellStyle name="Suma 2 27 4" xfId="33240"/>
    <cellStyle name="Suma 2 27 4 2" xfId="33241"/>
    <cellStyle name="Suma 2 27 4 3" xfId="33242"/>
    <cellStyle name="Suma 2 27 4 4" xfId="33243"/>
    <cellStyle name="Suma 2 27 40" xfId="33244"/>
    <cellStyle name="Suma 2 27 40 2" xfId="33245"/>
    <cellStyle name="Suma 2 27 40 3" xfId="33246"/>
    <cellStyle name="Suma 2 27 41" xfId="33247"/>
    <cellStyle name="Suma 2 27 41 2" xfId="33248"/>
    <cellStyle name="Suma 2 27 41 3" xfId="33249"/>
    <cellStyle name="Suma 2 27 42" xfId="33250"/>
    <cellStyle name="Suma 2 27 42 2" xfId="33251"/>
    <cellStyle name="Suma 2 27 42 3" xfId="33252"/>
    <cellStyle name="Suma 2 27 43" xfId="33253"/>
    <cellStyle name="Suma 2 27 43 2" xfId="33254"/>
    <cellStyle name="Suma 2 27 43 3" xfId="33255"/>
    <cellStyle name="Suma 2 27 44" xfId="33256"/>
    <cellStyle name="Suma 2 27 44 2" xfId="33257"/>
    <cellStyle name="Suma 2 27 44 3" xfId="33258"/>
    <cellStyle name="Suma 2 27 45" xfId="33259"/>
    <cellStyle name="Suma 2 27 45 2" xfId="33260"/>
    <cellStyle name="Suma 2 27 45 3" xfId="33261"/>
    <cellStyle name="Suma 2 27 46" xfId="33262"/>
    <cellStyle name="Suma 2 27 46 2" xfId="33263"/>
    <cellStyle name="Suma 2 27 46 3" xfId="33264"/>
    <cellStyle name="Suma 2 27 47" xfId="33265"/>
    <cellStyle name="Suma 2 27 47 2" xfId="33266"/>
    <cellStyle name="Suma 2 27 47 3" xfId="33267"/>
    <cellStyle name="Suma 2 27 48" xfId="33268"/>
    <cellStyle name="Suma 2 27 48 2" xfId="33269"/>
    <cellStyle name="Suma 2 27 48 3" xfId="33270"/>
    <cellStyle name="Suma 2 27 49" xfId="33271"/>
    <cellStyle name="Suma 2 27 49 2" xfId="33272"/>
    <cellStyle name="Suma 2 27 49 3" xfId="33273"/>
    <cellStyle name="Suma 2 27 5" xfId="33274"/>
    <cellStyle name="Suma 2 27 5 2" xfId="33275"/>
    <cellStyle name="Suma 2 27 5 3" xfId="33276"/>
    <cellStyle name="Suma 2 27 5 4" xfId="33277"/>
    <cellStyle name="Suma 2 27 50" xfId="33278"/>
    <cellStyle name="Suma 2 27 50 2" xfId="33279"/>
    <cellStyle name="Suma 2 27 50 3" xfId="33280"/>
    <cellStyle name="Suma 2 27 51" xfId="33281"/>
    <cellStyle name="Suma 2 27 51 2" xfId="33282"/>
    <cellStyle name="Suma 2 27 51 3" xfId="33283"/>
    <cellStyle name="Suma 2 27 52" xfId="33284"/>
    <cellStyle name="Suma 2 27 52 2" xfId="33285"/>
    <cellStyle name="Suma 2 27 52 3" xfId="33286"/>
    <cellStyle name="Suma 2 27 53" xfId="33287"/>
    <cellStyle name="Suma 2 27 53 2" xfId="33288"/>
    <cellStyle name="Suma 2 27 53 3" xfId="33289"/>
    <cellStyle name="Suma 2 27 54" xfId="33290"/>
    <cellStyle name="Suma 2 27 54 2" xfId="33291"/>
    <cellStyle name="Suma 2 27 54 3" xfId="33292"/>
    <cellStyle name="Suma 2 27 55" xfId="33293"/>
    <cellStyle name="Suma 2 27 55 2" xfId="33294"/>
    <cellStyle name="Suma 2 27 55 3" xfId="33295"/>
    <cellStyle name="Suma 2 27 56" xfId="33296"/>
    <cellStyle name="Suma 2 27 56 2" xfId="33297"/>
    <cellStyle name="Suma 2 27 56 3" xfId="33298"/>
    <cellStyle name="Suma 2 27 57" xfId="33299"/>
    <cellStyle name="Suma 2 27 58" xfId="33300"/>
    <cellStyle name="Suma 2 27 6" xfId="33301"/>
    <cellStyle name="Suma 2 27 6 2" xfId="33302"/>
    <cellStyle name="Suma 2 27 6 3" xfId="33303"/>
    <cellStyle name="Suma 2 27 6 4" xfId="33304"/>
    <cellStyle name="Suma 2 27 7" xfId="33305"/>
    <cellStyle name="Suma 2 27 7 2" xfId="33306"/>
    <cellStyle name="Suma 2 27 7 3" xfId="33307"/>
    <cellStyle name="Suma 2 27 7 4" xfId="33308"/>
    <cellStyle name="Suma 2 27 8" xfId="33309"/>
    <cellStyle name="Suma 2 27 8 2" xfId="33310"/>
    <cellStyle name="Suma 2 27 8 3" xfId="33311"/>
    <cellStyle name="Suma 2 27 8 4" xfId="33312"/>
    <cellStyle name="Suma 2 27 9" xfId="33313"/>
    <cellStyle name="Suma 2 27 9 2" xfId="33314"/>
    <cellStyle name="Suma 2 27 9 3" xfId="33315"/>
    <cellStyle name="Suma 2 27 9 4" xfId="33316"/>
    <cellStyle name="Suma 2 28" xfId="33317"/>
    <cellStyle name="Suma 2 28 10" xfId="33318"/>
    <cellStyle name="Suma 2 28 10 2" xfId="33319"/>
    <cellStyle name="Suma 2 28 10 3" xfId="33320"/>
    <cellStyle name="Suma 2 28 10 4" xfId="33321"/>
    <cellStyle name="Suma 2 28 11" xfId="33322"/>
    <cellStyle name="Suma 2 28 11 2" xfId="33323"/>
    <cellStyle name="Suma 2 28 11 3" xfId="33324"/>
    <cellStyle name="Suma 2 28 11 4" xfId="33325"/>
    <cellStyle name="Suma 2 28 12" xfId="33326"/>
    <cellStyle name="Suma 2 28 12 2" xfId="33327"/>
    <cellStyle name="Suma 2 28 12 3" xfId="33328"/>
    <cellStyle name="Suma 2 28 12 4" xfId="33329"/>
    <cellStyle name="Suma 2 28 13" xfId="33330"/>
    <cellStyle name="Suma 2 28 13 2" xfId="33331"/>
    <cellStyle name="Suma 2 28 13 3" xfId="33332"/>
    <cellStyle name="Suma 2 28 13 4" xfId="33333"/>
    <cellStyle name="Suma 2 28 14" xfId="33334"/>
    <cellStyle name="Suma 2 28 14 2" xfId="33335"/>
    <cellStyle name="Suma 2 28 14 3" xfId="33336"/>
    <cellStyle name="Suma 2 28 14 4" xfId="33337"/>
    <cellStyle name="Suma 2 28 15" xfId="33338"/>
    <cellStyle name="Suma 2 28 15 2" xfId="33339"/>
    <cellStyle name="Suma 2 28 15 3" xfId="33340"/>
    <cellStyle name="Suma 2 28 15 4" xfId="33341"/>
    <cellStyle name="Suma 2 28 16" xfId="33342"/>
    <cellStyle name="Suma 2 28 16 2" xfId="33343"/>
    <cellStyle name="Suma 2 28 16 3" xfId="33344"/>
    <cellStyle name="Suma 2 28 16 4" xfId="33345"/>
    <cellStyle name="Suma 2 28 17" xfId="33346"/>
    <cellStyle name="Suma 2 28 17 2" xfId="33347"/>
    <cellStyle name="Suma 2 28 17 3" xfId="33348"/>
    <cellStyle name="Suma 2 28 17 4" xfId="33349"/>
    <cellStyle name="Suma 2 28 18" xfId="33350"/>
    <cellStyle name="Suma 2 28 18 2" xfId="33351"/>
    <cellStyle name="Suma 2 28 18 3" xfId="33352"/>
    <cellStyle name="Suma 2 28 18 4" xfId="33353"/>
    <cellStyle name="Suma 2 28 19" xfId="33354"/>
    <cellStyle name="Suma 2 28 19 2" xfId="33355"/>
    <cellStyle name="Suma 2 28 19 3" xfId="33356"/>
    <cellStyle name="Suma 2 28 19 4" xfId="33357"/>
    <cellStyle name="Suma 2 28 2" xfId="33358"/>
    <cellStyle name="Suma 2 28 2 2" xfId="33359"/>
    <cellStyle name="Suma 2 28 2 3" xfId="33360"/>
    <cellStyle name="Suma 2 28 2 4" xfId="33361"/>
    <cellStyle name="Suma 2 28 20" xfId="33362"/>
    <cellStyle name="Suma 2 28 20 2" xfId="33363"/>
    <cellStyle name="Suma 2 28 20 3" xfId="33364"/>
    <cellStyle name="Suma 2 28 20 4" xfId="33365"/>
    <cellStyle name="Suma 2 28 21" xfId="33366"/>
    <cellStyle name="Suma 2 28 21 2" xfId="33367"/>
    <cellStyle name="Suma 2 28 21 3" xfId="33368"/>
    <cellStyle name="Suma 2 28 22" xfId="33369"/>
    <cellStyle name="Suma 2 28 22 2" xfId="33370"/>
    <cellStyle name="Suma 2 28 22 3" xfId="33371"/>
    <cellStyle name="Suma 2 28 23" xfId="33372"/>
    <cellStyle name="Suma 2 28 23 2" xfId="33373"/>
    <cellStyle name="Suma 2 28 23 3" xfId="33374"/>
    <cellStyle name="Suma 2 28 24" xfId="33375"/>
    <cellStyle name="Suma 2 28 24 2" xfId="33376"/>
    <cellStyle name="Suma 2 28 24 3" xfId="33377"/>
    <cellStyle name="Suma 2 28 25" xfId="33378"/>
    <cellStyle name="Suma 2 28 25 2" xfId="33379"/>
    <cellStyle name="Suma 2 28 25 3" xfId="33380"/>
    <cellStyle name="Suma 2 28 26" xfId="33381"/>
    <cellStyle name="Suma 2 28 26 2" xfId="33382"/>
    <cellStyle name="Suma 2 28 26 3" xfId="33383"/>
    <cellStyle name="Suma 2 28 27" xfId="33384"/>
    <cellStyle name="Suma 2 28 27 2" xfId="33385"/>
    <cellStyle name="Suma 2 28 27 3" xfId="33386"/>
    <cellStyle name="Suma 2 28 28" xfId="33387"/>
    <cellStyle name="Suma 2 28 28 2" xfId="33388"/>
    <cellStyle name="Suma 2 28 28 3" xfId="33389"/>
    <cellStyle name="Suma 2 28 29" xfId="33390"/>
    <cellStyle name="Suma 2 28 29 2" xfId="33391"/>
    <cellStyle name="Suma 2 28 29 3" xfId="33392"/>
    <cellStyle name="Suma 2 28 3" xfId="33393"/>
    <cellStyle name="Suma 2 28 3 2" xfId="33394"/>
    <cellStyle name="Suma 2 28 3 3" xfId="33395"/>
    <cellStyle name="Suma 2 28 3 4" xfId="33396"/>
    <cellStyle name="Suma 2 28 30" xfId="33397"/>
    <cellStyle name="Suma 2 28 30 2" xfId="33398"/>
    <cellStyle name="Suma 2 28 30 3" xfId="33399"/>
    <cellStyle name="Suma 2 28 31" xfId="33400"/>
    <cellStyle name="Suma 2 28 31 2" xfId="33401"/>
    <cellStyle name="Suma 2 28 31 3" xfId="33402"/>
    <cellStyle name="Suma 2 28 32" xfId="33403"/>
    <cellStyle name="Suma 2 28 32 2" xfId="33404"/>
    <cellStyle name="Suma 2 28 32 3" xfId="33405"/>
    <cellStyle name="Suma 2 28 33" xfId="33406"/>
    <cellStyle name="Suma 2 28 33 2" xfId="33407"/>
    <cellStyle name="Suma 2 28 33 3" xfId="33408"/>
    <cellStyle name="Suma 2 28 34" xfId="33409"/>
    <cellStyle name="Suma 2 28 34 2" xfId="33410"/>
    <cellStyle name="Suma 2 28 34 3" xfId="33411"/>
    <cellStyle name="Suma 2 28 35" xfId="33412"/>
    <cellStyle name="Suma 2 28 35 2" xfId="33413"/>
    <cellStyle name="Suma 2 28 35 3" xfId="33414"/>
    <cellStyle name="Suma 2 28 36" xfId="33415"/>
    <cellStyle name="Suma 2 28 36 2" xfId="33416"/>
    <cellStyle name="Suma 2 28 36 3" xfId="33417"/>
    <cellStyle name="Suma 2 28 37" xfId="33418"/>
    <cellStyle name="Suma 2 28 37 2" xfId="33419"/>
    <cellStyle name="Suma 2 28 37 3" xfId="33420"/>
    <cellStyle name="Suma 2 28 38" xfId="33421"/>
    <cellStyle name="Suma 2 28 38 2" xfId="33422"/>
    <cellStyle name="Suma 2 28 38 3" xfId="33423"/>
    <cellStyle name="Suma 2 28 39" xfId="33424"/>
    <cellStyle name="Suma 2 28 39 2" xfId="33425"/>
    <cellStyle name="Suma 2 28 39 3" xfId="33426"/>
    <cellStyle name="Suma 2 28 4" xfId="33427"/>
    <cellStyle name="Suma 2 28 4 2" xfId="33428"/>
    <cellStyle name="Suma 2 28 4 3" xfId="33429"/>
    <cellStyle name="Suma 2 28 4 4" xfId="33430"/>
    <cellStyle name="Suma 2 28 40" xfId="33431"/>
    <cellStyle name="Suma 2 28 40 2" xfId="33432"/>
    <cellStyle name="Suma 2 28 40 3" xfId="33433"/>
    <cellStyle name="Suma 2 28 41" xfId="33434"/>
    <cellStyle name="Suma 2 28 41 2" xfId="33435"/>
    <cellStyle name="Suma 2 28 41 3" xfId="33436"/>
    <cellStyle name="Suma 2 28 42" xfId="33437"/>
    <cellStyle name="Suma 2 28 42 2" xfId="33438"/>
    <cellStyle name="Suma 2 28 42 3" xfId="33439"/>
    <cellStyle name="Suma 2 28 43" xfId="33440"/>
    <cellStyle name="Suma 2 28 43 2" xfId="33441"/>
    <cellStyle name="Suma 2 28 43 3" xfId="33442"/>
    <cellStyle name="Suma 2 28 44" xfId="33443"/>
    <cellStyle name="Suma 2 28 44 2" xfId="33444"/>
    <cellStyle name="Suma 2 28 44 3" xfId="33445"/>
    <cellStyle name="Suma 2 28 45" xfId="33446"/>
    <cellStyle name="Suma 2 28 45 2" xfId="33447"/>
    <cellStyle name="Suma 2 28 45 3" xfId="33448"/>
    <cellStyle name="Suma 2 28 46" xfId="33449"/>
    <cellStyle name="Suma 2 28 46 2" xfId="33450"/>
    <cellStyle name="Suma 2 28 46 3" xfId="33451"/>
    <cellStyle name="Suma 2 28 47" xfId="33452"/>
    <cellStyle name="Suma 2 28 47 2" xfId="33453"/>
    <cellStyle name="Suma 2 28 47 3" xfId="33454"/>
    <cellStyle name="Suma 2 28 48" xfId="33455"/>
    <cellStyle name="Suma 2 28 48 2" xfId="33456"/>
    <cellStyle name="Suma 2 28 48 3" xfId="33457"/>
    <cellStyle name="Suma 2 28 49" xfId="33458"/>
    <cellStyle name="Suma 2 28 49 2" xfId="33459"/>
    <cellStyle name="Suma 2 28 49 3" xfId="33460"/>
    <cellStyle name="Suma 2 28 5" xfId="33461"/>
    <cellStyle name="Suma 2 28 5 2" xfId="33462"/>
    <cellStyle name="Suma 2 28 5 3" xfId="33463"/>
    <cellStyle name="Suma 2 28 5 4" xfId="33464"/>
    <cellStyle name="Suma 2 28 50" xfId="33465"/>
    <cellStyle name="Suma 2 28 50 2" xfId="33466"/>
    <cellStyle name="Suma 2 28 50 3" xfId="33467"/>
    <cellStyle name="Suma 2 28 51" xfId="33468"/>
    <cellStyle name="Suma 2 28 51 2" xfId="33469"/>
    <cellStyle name="Suma 2 28 51 3" xfId="33470"/>
    <cellStyle name="Suma 2 28 52" xfId="33471"/>
    <cellStyle name="Suma 2 28 52 2" xfId="33472"/>
    <cellStyle name="Suma 2 28 52 3" xfId="33473"/>
    <cellStyle name="Suma 2 28 53" xfId="33474"/>
    <cellStyle name="Suma 2 28 53 2" xfId="33475"/>
    <cellStyle name="Suma 2 28 53 3" xfId="33476"/>
    <cellStyle name="Suma 2 28 54" xfId="33477"/>
    <cellStyle name="Suma 2 28 54 2" xfId="33478"/>
    <cellStyle name="Suma 2 28 54 3" xfId="33479"/>
    <cellStyle name="Suma 2 28 55" xfId="33480"/>
    <cellStyle name="Suma 2 28 55 2" xfId="33481"/>
    <cellStyle name="Suma 2 28 55 3" xfId="33482"/>
    <cellStyle name="Suma 2 28 56" xfId="33483"/>
    <cellStyle name="Suma 2 28 56 2" xfId="33484"/>
    <cellStyle name="Suma 2 28 56 3" xfId="33485"/>
    <cellStyle name="Suma 2 28 57" xfId="33486"/>
    <cellStyle name="Suma 2 28 58" xfId="33487"/>
    <cellStyle name="Suma 2 28 6" xfId="33488"/>
    <cellStyle name="Suma 2 28 6 2" xfId="33489"/>
    <cellStyle name="Suma 2 28 6 3" xfId="33490"/>
    <cellStyle name="Suma 2 28 6 4" xfId="33491"/>
    <cellStyle name="Suma 2 28 7" xfId="33492"/>
    <cellStyle name="Suma 2 28 7 2" xfId="33493"/>
    <cellStyle name="Suma 2 28 7 3" xfId="33494"/>
    <cellStyle name="Suma 2 28 7 4" xfId="33495"/>
    <cellStyle name="Suma 2 28 8" xfId="33496"/>
    <cellStyle name="Suma 2 28 8 2" xfId="33497"/>
    <cellStyle name="Suma 2 28 8 3" xfId="33498"/>
    <cellStyle name="Suma 2 28 8 4" xfId="33499"/>
    <cellStyle name="Suma 2 28 9" xfId="33500"/>
    <cellStyle name="Suma 2 28 9 2" xfId="33501"/>
    <cellStyle name="Suma 2 28 9 3" xfId="33502"/>
    <cellStyle name="Suma 2 28 9 4" xfId="33503"/>
    <cellStyle name="Suma 2 29" xfId="33504"/>
    <cellStyle name="Suma 2 29 2" xfId="33505"/>
    <cellStyle name="Suma 2 29 3" xfId="33506"/>
    <cellStyle name="Suma 2 29 4" xfId="33507"/>
    <cellStyle name="Suma 2 3" xfId="33508"/>
    <cellStyle name="Suma 2 3 10" xfId="33509"/>
    <cellStyle name="Suma 2 3 10 2" xfId="33510"/>
    <cellStyle name="Suma 2 3 10 3" xfId="33511"/>
    <cellStyle name="Suma 2 3 10 4" xfId="33512"/>
    <cellStyle name="Suma 2 3 11" xfId="33513"/>
    <cellStyle name="Suma 2 3 11 2" xfId="33514"/>
    <cellStyle name="Suma 2 3 11 3" xfId="33515"/>
    <cellStyle name="Suma 2 3 11 4" xfId="33516"/>
    <cellStyle name="Suma 2 3 12" xfId="33517"/>
    <cellStyle name="Suma 2 3 12 2" xfId="33518"/>
    <cellStyle name="Suma 2 3 12 3" xfId="33519"/>
    <cellStyle name="Suma 2 3 12 4" xfId="33520"/>
    <cellStyle name="Suma 2 3 13" xfId="33521"/>
    <cellStyle name="Suma 2 3 13 2" xfId="33522"/>
    <cellStyle name="Suma 2 3 13 3" xfId="33523"/>
    <cellStyle name="Suma 2 3 13 4" xfId="33524"/>
    <cellStyle name="Suma 2 3 14" xfId="33525"/>
    <cellStyle name="Suma 2 3 14 2" xfId="33526"/>
    <cellStyle name="Suma 2 3 14 3" xfId="33527"/>
    <cellStyle name="Suma 2 3 14 4" xfId="33528"/>
    <cellStyle name="Suma 2 3 15" xfId="33529"/>
    <cellStyle name="Suma 2 3 15 2" xfId="33530"/>
    <cellStyle name="Suma 2 3 15 3" xfId="33531"/>
    <cellStyle name="Suma 2 3 15 4" xfId="33532"/>
    <cellStyle name="Suma 2 3 16" xfId="33533"/>
    <cellStyle name="Suma 2 3 16 2" xfId="33534"/>
    <cellStyle name="Suma 2 3 16 3" xfId="33535"/>
    <cellStyle name="Suma 2 3 16 4" xfId="33536"/>
    <cellStyle name="Suma 2 3 17" xfId="33537"/>
    <cellStyle name="Suma 2 3 17 2" xfId="33538"/>
    <cellStyle name="Suma 2 3 17 3" xfId="33539"/>
    <cellStyle name="Suma 2 3 17 4" xfId="33540"/>
    <cellStyle name="Suma 2 3 18" xfId="33541"/>
    <cellStyle name="Suma 2 3 18 2" xfId="33542"/>
    <cellStyle name="Suma 2 3 18 3" xfId="33543"/>
    <cellStyle name="Suma 2 3 18 4" xfId="33544"/>
    <cellStyle name="Suma 2 3 19" xfId="33545"/>
    <cellStyle name="Suma 2 3 19 2" xfId="33546"/>
    <cellStyle name="Suma 2 3 19 3" xfId="33547"/>
    <cellStyle name="Suma 2 3 19 4" xfId="33548"/>
    <cellStyle name="Suma 2 3 2" xfId="33549"/>
    <cellStyle name="Suma 2 3 2 2" xfId="33550"/>
    <cellStyle name="Suma 2 3 2 3" xfId="33551"/>
    <cellStyle name="Suma 2 3 2 4" xfId="33552"/>
    <cellStyle name="Suma 2 3 20" xfId="33553"/>
    <cellStyle name="Suma 2 3 20 2" xfId="33554"/>
    <cellStyle name="Suma 2 3 20 3" xfId="33555"/>
    <cellStyle name="Suma 2 3 20 4" xfId="33556"/>
    <cellStyle name="Suma 2 3 21" xfId="33557"/>
    <cellStyle name="Suma 2 3 21 2" xfId="33558"/>
    <cellStyle name="Suma 2 3 21 3" xfId="33559"/>
    <cellStyle name="Suma 2 3 22" xfId="33560"/>
    <cellStyle name="Suma 2 3 22 2" xfId="33561"/>
    <cellStyle name="Suma 2 3 22 3" xfId="33562"/>
    <cellStyle name="Suma 2 3 23" xfId="33563"/>
    <cellStyle name="Suma 2 3 23 2" xfId="33564"/>
    <cellStyle name="Suma 2 3 23 3" xfId="33565"/>
    <cellStyle name="Suma 2 3 24" xfId="33566"/>
    <cellStyle name="Suma 2 3 24 2" xfId="33567"/>
    <cellStyle name="Suma 2 3 24 3" xfId="33568"/>
    <cellStyle name="Suma 2 3 25" xfId="33569"/>
    <cellStyle name="Suma 2 3 25 2" xfId="33570"/>
    <cellStyle name="Suma 2 3 25 3" xfId="33571"/>
    <cellStyle name="Suma 2 3 26" xfId="33572"/>
    <cellStyle name="Suma 2 3 26 2" xfId="33573"/>
    <cellStyle name="Suma 2 3 26 3" xfId="33574"/>
    <cellStyle name="Suma 2 3 27" xfId="33575"/>
    <cellStyle name="Suma 2 3 27 2" xfId="33576"/>
    <cellStyle name="Suma 2 3 27 3" xfId="33577"/>
    <cellStyle name="Suma 2 3 28" xfId="33578"/>
    <cellStyle name="Suma 2 3 28 2" xfId="33579"/>
    <cellStyle name="Suma 2 3 28 3" xfId="33580"/>
    <cellStyle name="Suma 2 3 29" xfId="33581"/>
    <cellStyle name="Suma 2 3 29 2" xfId="33582"/>
    <cellStyle name="Suma 2 3 29 3" xfId="33583"/>
    <cellStyle name="Suma 2 3 3" xfId="33584"/>
    <cellStyle name="Suma 2 3 3 2" xfId="33585"/>
    <cellStyle name="Suma 2 3 3 3" xfId="33586"/>
    <cellStyle name="Suma 2 3 3 4" xfId="33587"/>
    <cellStyle name="Suma 2 3 30" xfId="33588"/>
    <cellStyle name="Suma 2 3 30 2" xfId="33589"/>
    <cellStyle name="Suma 2 3 30 3" xfId="33590"/>
    <cellStyle name="Suma 2 3 31" xfId="33591"/>
    <cellStyle name="Suma 2 3 31 2" xfId="33592"/>
    <cellStyle name="Suma 2 3 31 3" xfId="33593"/>
    <cellStyle name="Suma 2 3 32" xfId="33594"/>
    <cellStyle name="Suma 2 3 32 2" xfId="33595"/>
    <cellStyle name="Suma 2 3 32 3" xfId="33596"/>
    <cellStyle name="Suma 2 3 33" xfId="33597"/>
    <cellStyle name="Suma 2 3 33 2" xfId="33598"/>
    <cellStyle name="Suma 2 3 33 3" xfId="33599"/>
    <cellStyle name="Suma 2 3 34" xfId="33600"/>
    <cellStyle name="Suma 2 3 34 2" xfId="33601"/>
    <cellStyle name="Suma 2 3 34 3" xfId="33602"/>
    <cellStyle name="Suma 2 3 35" xfId="33603"/>
    <cellStyle name="Suma 2 3 35 2" xfId="33604"/>
    <cellStyle name="Suma 2 3 35 3" xfId="33605"/>
    <cellStyle name="Suma 2 3 36" xfId="33606"/>
    <cellStyle name="Suma 2 3 36 2" xfId="33607"/>
    <cellStyle name="Suma 2 3 36 3" xfId="33608"/>
    <cellStyle name="Suma 2 3 37" xfId="33609"/>
    <cellStyle name="Suma 2 3 37 2" xfId="33610"/>
    <cellStyle name="Suma 2 3 37 3" xfId="33611"/>
    <cellStyle name="Suma 2 3 38" xfId="33612"/>
    <cellStyle name="Suma 2 3 38 2" xfId="33613"/>
    <cellStyle name="Suma 2 3 38 3" xfId="33614"/>
    <cellStyle name="Suma 2 3 39" xfId="33615"/>
    <cellStyle name="Suma 2 3 39 2" xfId="33616"/>
    <cellStyle name="Suma 2 3 39 3" xfId="33617"/>
    <cellStyle name="Suma 2 3 4" xfId="33618"/>
    <cellStyle name="Suma 2 3 4 2" xfId="33619"/>
    <cellStyle name="Suma 2 3 4 3" xfId="33620"/>
    <cellStyle name="Suma 2 3 4 4" xfId="33621"/>
    <cellStyle name="Suma 2 3 40" xfId="33622"/>
    <cellStyle name="Suma 2 3 40 2" xfId="33623"/>
    <cellStyle name="Suma 2 3 40 3" xfId="33624"/>
    <cellStyle name="Suma 2 3 41" xfId="33625"/>
    <cellStyle name="Suma 2 3 41 2" xfId="33626"/>
    <cellStyle name="Suma 2 3 41 3" xfId="33627"/>
    <cellStyle name="Suma 2 3 42" xfId="33628"/>
    <cellStyle name="Suma 2 3 42 2" xfId="33629"/>
    <cellStyle name="Suma 2 3 42 3" xfId="33630"/>
    <cellStyle name="Suma 2 3 43" xfId="33631"/>
    <cellStyle name="Suma 2 3 43 2" xfId="33632"/>
    <cellStyle name="Suma 2 3 43 3" xfId="33633"/>
    <cellStyle name="Suma 2 3 44" xfId="33634"/>
    <cellStyle name="Suma 2 3 44 2" xfId="33635"/>
    <cellStyle name="Suma 2 3 44 3" xfId="33636"/>
    <cellStyle name="Suma 2 3 45" xfId="33637"/>
    <cellStyle name="Suma 2 3 45 2" xfId="33638"/>
    <cellStyle name="Suma 2 3 45 3" xfId="33639"/>
    <cellStyle name="Suma 2 3 46" xfId="33640"/>
    <cellStyle name="Suma 2 3 46 2" xfId="33641"/>
    <cellStyle name="Suma 2 3 46 3" xfId="33642"/>
    <cellStyle name="Suma 2 3 47" xfId="33643"/>
    <cellStyle name="Suma 2 3 47 2" xfId="33644"/>
    <cellStyle name="Suma 2 3 47 3" xfId="33645"/>
    <cellStyle name="Suma 2 3 48" xfId="33646"/>
    <cellStyle name="Suma 2 3 48 2" xfId="33647"/>
    <cellStyle name="Suma 2 3 48 3" xfId="33648"/>
    <cellStyle name="Suma 2 3 49" xfId="33649"/>
    <cellStyle name="Suma 2 3 49 2" xfId="33650"/>
    <cellStyle name="Suma 2 3 49 3" xfId="33651"/>
    <cellStyle name="Suma 2 3 5" xfId="33652"/>
    <cellStyle name="Suma 2 3 5 2" xfId="33653"/>
    <cellStyle name="Suma 2 3 5 3" xfId="33654"/>
    <cellStyle name="Suma 2 3 5 4" xfId="33655"/>
    <cellStyle name="Suma 2 3 50" xfId="33656"/>
    <cellStyle name="Suma 2 3 50 2" xfId="33657"/>
    <cellStyle name="Suma 2 3 50 3" xfId="33658"/>
    <cellStyle name="Suma 2 3 51" xfId="33659"/>
    <cellStyle name="Suma 2 3 51 2" xfId="33660"/>
    <cellStyle name="Suma 2 3 51 3" xfId="33661"/>
    <cellStyle name="Suma 2 3 52" xfId="33662"/>
    <cellStyle name="Suma 2 3 52 2" xfId="33663"/>
    <cellStyle name="Suma 2 3 52 3" xfId="33664"/>
    <cellStyle name="Suma 2 3 53" xfId="33665"/>
    <cellStyle name="Suma 2 3 53 2" xfId="33666"/>
    <cellStyle name="Suma 2 3 53 3" xfId="33667"/>
    <cellStyle name="Suma 2 3 54" xfId="33668"/>
    <cellStyle name="Suma 2 3 54 2" xfId="33669"/>
    <cellStyle name="Suma 2 3 54 3" xfId="33670"/>
    <cellStyle name="Suma 2 3 55" xfId="33671"/>
    <cellStyle name="Suma 2 3 55 2" xfId="33672"/>
    <cellStyle name="Suma 2 3 55 3" xfId="33673"/>
    <cellStyle name="Suma 2 3 56" xfId="33674"/>
    <cellStyle name="Suma 2 3 56 2" xfId="33675"/>
    <cellStyle name="Suma 2 3 56 3" xfId="33676"/>
    <cellStyle name="Suma 2 3 57" xfId="33677"/>
    <cellStyle name="Suma 2 3 58" xfId="33678"/>
    <cellStyle name="Suma 2 3 6" xfId="33679"/>
    <cellStyle name="Suma 2 3 6 2" xfId="33680"/>
    <cellStyle name="Suma 2 3 6 3" xfId="33681"/>
    <cellStyle name="Suma 2 3 6 4" xfId="33682"/>
    <cellStyle name="Suma 2 3 7" xfId="33683"/>
    <cellStyle name="Suma 2 3 7 2" xfId="33684"/>
    <cellStyle name="Suma 2 3 7 3" xfId="33685"/>
    <cellStyle name="Suma 2 3 7 4" xfId="33686"/>
    <cellStyle name="Suma 2 3 8" xfId="33687"/>
    <cellStyle name="Suma 2 3 8 2" xfId="33688"/>
    <cellStyle name="Suma 2 3 8 3" xfId="33689"/>
    <cellStyle name="Suma 2 3 8 4" xfId="33690"/>
    <cellStyle name="Suma 2 3 9" xfId="33691"/>
    <cellStyle name="Suma 2 3 9 2" xfId="33692"/>
    <cellStyle name="Suma 2 3 9 3" xfId="33693"/>
    <cellStyle name="Suma 2 3 9 4" xfId="33694"/>
    <cellStyle name="Suma 2 30" xfId="33695"/>
    <cellStyle name="Suma 2 30 2" xfId="33696"/>
    <cellStyle name="Suma 2 30 3" xfId="33697"/>
    <cellStyle name="Suma 2 30 4" xfId="33698"/>
    <cellStyle name="Suma 2 31" xfId="33699"/>
    <cellStyle name="Suma 2 31 2" xfId="33700"/>
    <cellStyle name="Suma 2 31 3" xfId="33701"/>
    <cellStyle name="Suma 2 31 4" xfId="33702"/>
    <cellStyle name="Suma 2 32" xfId="33703"/>
    <cellStyle name="Suma 2 32 2" xfId="33704"/>
    <cellStyle name="Suma 2 32 3" xfId="33705"/>
    <cellStyle name="Suma 2 32 4" xfId="33706"/>
    <cellStyle name="Suma 2 33" xfId="33707"/>
    <cellStyle name="Suma 2 33 2" xfId="33708"/>
    <cellStyle name="Suma 2 33 3" xfId="33709"/>
    <cellStyle name="Suma 2 33 4" xfId="33710"/>
    <cellStyle name="Suma 2 34" xfId="33711"/>
    <cellStyle name="Suma 2 34 2" xfId="33712"/>
    <cellStyle name="Suma 2 34 3" xfId="33713"/>
    <cellStyle name="Suma 2 34 4" xfId="33714"/>
    <cellStyle name="Suma 2 35" xfId="33715"/>
    <cellStyle name="Suma 2 35 2" xfId="33716"/>
    <cellStyle name="Suma 2 35 3" xfId="33717"/>
    <cellStyle name="Suma 2 35 4" xfId="33718"/>
    <cellStyle name="Suma 2 36" xfId="33719"/>
    <cellStyle name="Suma 2 36 2" xfId="33720"/>
    <cellStyle name="Suma 2 36 3" xfId="33721"/>
    <cellStyle name="Suma 2 36 4" xfId="33722"/>
    <cellStyle name="Suma 2 37" xfId="33723"/>
    <cellStyle name="Suma 2 37 2" xfId="33724"/>
    <cellStyle name="Suma 2 37 3" xfId="33725"/>
    <cellStyle name="Suma 2 37 4" xfId="33726"/>
    <cellStyle name="Suma 2 38" xfId="33727"/>
    <cellStyle name="Suma 2 38 2" xfId="33728"/>
    <cellStyle name="Suma 2 38 3" xfId="33729"/>
    <cellStyle name="Suma 2 38 4" xfId="33730"/>
    <cellStyle name="Suma 2 39" xfId="33731"/>
    <cellStyle name="Suma 2 39 2" xfId="33732"/>
    <cellStyle name="Suma 2 39 3" xfId="33733"/>
    <cellStyle name="Suma 2 39 4" xfId="33734"/>
    <cellStyle name="Suma 2 4" xfId="33735"/>
    <cellStyle name="Suma 2 4 10" xfId="33736"/>
    <cellStyle name="Suma 2 4 10 2" xfId="33737"/>
    <cellStyle name="Suma 2 4 10 3" xfId="33738"/>
    <cellStyle name="Suma 2 4 10 4" xfId="33739"/>
    <cellStyle name="Suma 2 4 11" xfId="33740"/>
    <cellStyle name="Suma 2 4 11 2" xfId="33741"/>
    <cellStyle name="Suma 2 4 11 3" xfId="33742"/>
    <cellStyle name="Suma 2 4 11 4" xfId="33743"/>
    <cellStyle name="Suma 2 4 12" xfId="33744"/>
    <cellStyle name="Suma 2 4 12 2" xfId="33745"/>
    <cellStyle name="Suma 2 4 12 3" xfId="33746"/>
    <cellStyle name="Suma 2 4 12 4" xfId="33747"/>
    <cellStyle name="Suma 2 4 13" xfId="33748"/>
    <cellStyle name="Suma 2 4 13 2" xfId="33749"/>
    <cellStyle name="Suma 2 4 13 3" xfId="33750"/>
    <cellStyle name="Suma 2 4 13 4" xfId="33751"/>
    <cellStyle name="Suma 2 4 14" xfId="33752"/>
    <cellStyle name="Suma 2 4 14 2" xfId="33753"/>
    <cellStyle name="Suma 2 4 14 3" xfId="33754"/>
    <cellStyle name="Suma 2 4 14 4" xfId="33755"/>
    <cellStyle name="Suma 2 4 15" xfId="33756"/>
    <cellStyle name="Suma 2 4 15 2" xfId="33757"/>
    <cellStyle name="Suma 2 4 15 3" xfId="33758"/>
    <cellStyle name="Suma 2 4 15 4" xfId="33759"/>
    <cellStyle name="Suma 2 4 16" xfId="33760"/>
    <cellStyle name="Suma 2 4 16 2" xfId="33761"/>
    <cellStyle name="Suma 2 4 16 3" xfId="33762"/>
    <cellStyle name="Suma 2 4 16 4" xfId="33763"/>
    <cellStyle name="Suma 2 4 17" xfId="33764"/>
    <cellStyle name="Suma 2 4 17 2" xfId="33765"/>
    <cellStyle name="Suma 2 4 17 3" xfId="33766"/>
    <cellStyle name="Suma 2 4 17 4" xfId="33767"/>
    <cellStyle name="Suma 2 4 18" xfId="33768"/>
    <cellStyle name="Suma 2 4 18 2" xfId="33769"/>
    <cellStyle name="Suma 2 4 18 3" xfId="33770"/>
    <cellStyle name="Suma 2 4 18 4" xfId="33771"/>
    <cellStyle name="Suma 2 4 19" xfId="33772"/>
    <cellStyle name="Suma 2 4 19 2" xfId="33773"/>
    <cellStyle name="Suma 2 4 19 3" xfId="33774"/>
    <cellStyle name="Suma 2 4 19 4" xfId="33775"/>
    <cellStyle name="Suma 2 4 2" xfId="33776"/>
    <cellStyle name="Suma 2 4 2 2" xfId="33777"/>
    <cellStyle name="Suma 2 4 2 3" xfId="33778"/>
    <cellStyle name="Suma 2 4 2 4" xfId="33779"/>
    <cellStyle name="Suma 2 4 20" xfId="33780"/>
    <cellStyle name="Suma 2 4 20 2" xfId="33781"/>
    <cellStyle name="Suma 2 4 20 3" xfId="33782"/>
    <cellStyle name="Suma 2 4 20 4" xfId="33783"/>
    <cellStyle name="Suma 2 4 21" xfId="33784"/>
    <cellStyle name="Suma 2 4 21 2" xfId="33785"/>
    <cellStyle name="Suma 2 4 21 3" xfId="33786"/>
    <cellStyle name="Suma 2 4 22" xfId="33787"/>
    <cellStyle name="Suma 2 4 22 2" xfId="33788"/>
    <cellStyle name="Suma 2 4 22 3" xfId="33789"/>
    <cellStyle name="Suma 2 4 23" xfId="33790"/>
    <cellStyle name="Suma 2 4 23 2" xfId="33791"/>
    <cellStyle name="Suma 2 4 23 3" xfId="33792"/>
    <cellStyle name="Suma 2 4 24" xfId="33793"/>
    <cellStyle name="Suma 2 4 24 2" xfId="33794"/>
    <cellStyle name="Suma 2 4 24 3" xfId="33795"/>
    <cellStyle name="Suma 2 4 25" xfId="33796"/>
    <cellStyle name="Suma 2 4 25 2" xfId="33797"/>
    <cellStyle name="Suma 2 4 25 3" xfId="33798"/>
    <cellStyle name="Suma 2 4 26" xfId="33799"/>
    <cellStyle name="Suma 2 4 26 2" xfId="33800"/>
    <cellStyle name="Suma 2 4 26 3" xfId="33801"/>
    <cellStyle name="Suma 2 4 27" xfId="33802"/>
    <cellStyle name="Suma 2 4 27 2" xfId="33803"/>
    <cellStyle name="Suma 2 4 27 3" xfId="33804"/>
    <cellStyle name="Suma 2 4 28" xfId="33805"/>
    <cellStyle name="Suma 2 4 28 2" xfId="33806"/>
    <cellStyle name="Suma 2 4 28 3" xfId="33807"/>
    <cellStyle name="Suma 2 4 29" xfId="33808"/>
    <cellStyle name="Suma 2 4 29 2" xfId="33809"/>
    <cellStyle name="Suma 2 4 29 3" xfId="33810"/>
    <cellStyle name="Suma 2 4 3" xfId="33811"/>
    <cellStyle name="Suma 2 4 3 2" xfId="33812"/>
    <cellStyle name="Suma 2 4 3 3" xfId="33813"/>
    <cellStyle name="Suma 2 4 3 4" xfId="33814"/>
    <cellStyle name="Suma 2 4 30" xfId="33815"/>
    <cellStyle name="Suma 2 4 30 2" xfId="33816"/>
    <cellStyle name="Suma 2 4 30 3" xfId="33817"/>
    <cellStyle name="Suma 2 4 31" xfId="33818"/>
    <cellStyle name="Suma 2 4 31 2" xfId="33819"/>
    <cellStyle name="Suma 2 4 31 3" xfId="33820"/>
    <cellStyle name="Suma 2 4 32" xfId="33821"/>
    <cellStyle name="Suma 2 4 32 2" xfId="33822"/>
    <cellStyle name="Suma 2 4 32 3" xfId="33823"/>
    <cellStyle name="Suma 2 4 33" xfId="33824"/>
    <cellStyle name="Suma 2 4 33 2" xfId="33825"/>
    <cellStyle name="Suma 2 4 33 3" xfId="33826"/>
    <cellStyle name="Suma 2 4 34" xfId="33827"/>
    <cellStyle name="Suma 2 4 34 2" xfId="33828"/>
    <cellStyle name="Suma 2 4 34 3" xfId="33829"/>
    <cellStyle name="Suma 2 4 35" xfId="33830"/>
    <cellStyle name="Suma 2 4 35 2" xfId="33831"/>
    <cellStyle name="Suma 2 4 35 3" xfId="33832"/>
    <cellStyle name="Suma 2 4 36" xfId="33833"/>
    <cellStyle name="Suma 2 4 36 2" xfId="33834"/>
    <cellStyle name="Suma 2 4 36 3" xfId="33835"/>
    <cellStyle name="Suma 2 4 37" xfId="33836"/>
    <cellStyle name="Suma 2 4 37 2" xfId="33837"/>
    <cellStyle name="Suma 2 4 37 3" xfId="33838"/>
    <cellStyle name="Suma 2 4 38" xfId="33839"/>
    <cellStyle name="Suma 2 4 38 2" xfId="33840"/>
    <cellStyle name="Suma 2 4 38 3" xfId="33841"/>
    <cellStyle name="Suma 2 4 39" xfId="33842"/>
    <cellStyle name="Suma 2 4 39 2" xfId="33843"/>
    <cellStyle name="Suma 2 4 39 3" xfId="33844"/>
    <cellStyle name="Suma 2 4 4" xfId="33845"/>
    <cellStyle name="Suma 2 4 4 2" xfId="33846"/>
    <cellStyle name="Suma 2 4 4 3" xfId="33847"/>
    <cellStyle name="Suma 2 4 4 4" xfId="33848"/>
    <cellStyle name="Suma 2 4 40" xfId="33849"/>
    <cellStyle name="Suma 2 4 40 2" xfId="33850"/>
    <cellStyle name="Suma 2 4 40 3" xfId="33851"/>
    <cellStyle name="Suma 2 4 41" xfId="33852"/>
    <cellStyle name="Suma 2 4 41 2" xfId="33853"/>
    <cellStyle name="Suma 2 4 41 3" xfId="33854"/>
    <cellStyle name="Suma 2 4 42" xfId="33855"/>
    <cellStyle name="Suma 2 4 42 2" xfId="33856"/>
    <cellStyle name="Suma 2 4 42 3" xfId="33857"/>
    <cellStyle name="Suma 2 4 43" xfId="33858"/>
    <cellStyle name="Suma 2 4 43 2" xfId="33859"/>
    <cellStyle name="Suma 2 4 43 3" xfId="33860"/>
    <cellStyle name="Suma 2 4 44" xfId="33861"/>
    <cellStyle name="Suma 2 4 44 2" xfId="33862"/>
    <cellStyle name="Suma 2 4 44 3" xfId="33863"/>
    <cellStyle name="Suma 2 4 45" xfId="33864"/>
    <cellStyle name="Suma 2 4 45 2" xfId="33865"/>
    <cellStyle name="Suma 2 4 45 3" xfId="33866"/>
    <cellStyle name="Suma 2 4 46" xfId="33867"/>
    <cellStyle name="Suma 2 4 46 2" xfId="33868"/>
    <cellStyle name="Suma 2 4 46 3" xfId="33869"/>
    <cellStyle name="Suma 2 4 47" xfId="33870"/>
    <cellStyle name="Suma 2 4 47 2" xfId="33871"/>
    <cellStyle name="Suma 2 4 47 3" xfId="33872"/>
    <cellStyle name="Suma 2 4 48" xfId="33873"/>
    <cellStyle name="Suma 2 4 48 2" xfId="33874"/>
    <cellStyle name="Suma 2 4 48 3" xfId="33875"/>
    <cellStyle name="Suma 2 4 49" xfId="33876"/>
    <cellStyle name="Suma 2 4 49 2" xfId="33877"/>
    <cellStyle name="Suma 2 4 49 3" xfId="33878"/>
    <cellStyle name="Suma 2 4 5" xfId="33879"/>
    <cellStyle name="Suma 2 4 5 2" xfId="33880"/>
    <cellStyle name="Suma 2 4 5 3" xfId="33881"/>
    <cellStyle name="Suma 2 4 5 4" xfId="33882"/>
    <cellStyle name="Suma 2 4 50" xfId="33883"/>
    <cellStyle name="Suma 2 4 50 2" xfId="33884"/>
    <cellStyle name="Suma 2 4 50 3" xfId="33885"/>
    <cellStyle name="Suma 2 4 51" xfId="33886"/>
    <cellStyle name="Suma 2 4 51 2" xfId="33887"/>
    <cellStyle name="Suma 2 4 51 3" xfId="33888"/>
    <cellStyle name="Suma 2 4 52" xfId="33889"/>
    <cellStyle name="Suma 2 4 52 2" xfId="33890"/>
    <cellStyle name="Suma 2 4 52 3" xfId="33891"/>
    <cellStyle name="Suma 2 4 53" xfId="33892"/>
    <cellStyle name="Suma 2 4 53 2" xfId="33893"/>
    <cellStyle name="Suma 2 4 53 3" xfId="33894"/>
    <cellStyle name="Suma 2 4 54" xfId="33895"/>
    <cellStyle name="Suma 2 4 54 2" xfId="33896"/>
    <cellStyle name="Suma 2 4 54 3" xfId="33897"/>
    <cellStyle name="Suma 2 4 55" xfId="33898"/>
    <cellStyle name="Suma 2 4 55 2" xfId="33899"/>
    <cellStyle name="Suma 2 4 55 3" xfId="33900"/>
    <cellStyle name="Suma 2 4 56" xfId="33901"/>
    <cellStyle name="Suma 2 4 56 2" xfId="33902"/>
    <cellStyle name="Suma 2 4 56 3" xfId="33903"/>
    <cellStyle name="Suma 2 4 57" xfId="33904"/>
    <cellStyle name="Suma 2 4 58" xfId="33905"/>
    <cellStyle name="Suma 2 4 6" xfId="33906"/>
    <cellStyle name="Suma 2 4 6 2" xfId="33907"/>
    <cellStyle name="Suma 2 4 6 3" xfId="33908"/>
    <cellStyle name="Suma 2 4 6 4" xfId="33909"/>
    <cellStyle name="Suma 2 4 7" xfId="33910"/>
    <cellStyle name="Suma 2 4 7 2" xfId="33911"/>
    <cellStyle name="Suma 2 4 7 3" xfId="33912"/>
    <cellStyle name="Suma 2 4 7 4" xfId="33913"/>
    <cellStyle name="Suma 2 4 8" xfId="33914"/>
    <cellStyle name="Suma 2 4 8 2" xfId="33915"/>
    <cellStyle name="Suma 2 4 8 3" xfId="33916"/>
    <cellStyle name="Suma 2 4 8 4" xfId="33917"/>
    <cellStyle name="Suma 2 4 9" xfId="33918"/>
    <cellStyle name="Suma 2 4 9 2" xfId="33919"/>
    <cellStyle name="Suma 2 4 9 3" xfId="33920"/>
    <cellStyle name="Suma 2 4 9 4" xfId="33921"/>
    <cellStyle name="Suma 2 40" xfId="33922"/>
    <cellStyle name="Suma 2 40 2" xfId="33923"/>
    <cellStyle name="Suma 2 40 3" xfId="33924"/>
    <cellStyle name="Suma 2 40 4" xfId="33925"/>
    <cellStyle name="Suma 2 41" xfId="33926"/>
    <cellStyle name="Suma 2 41 2" xfId="33927"/>
    <cellStyle name="Suma 2 41 3" xfId="33928"/>
    <cellStyle name="Suma 2 41 4" xfId="33929"/>
    <cellStyle name="Suma 2 42" xfId="33930"/>
    <cellStyle name="Suma 2 42 2" xfId="33931"/>
    <cellStyle name="Suma 2 42 3" xfId="33932"/>
    <cellStyle name="Suma 2 42 4" xfId="33933"/>
    <cellStyle name="Suma 2 43" xfId="33934"/>
    <cellStyle name="Suma 2 43 2" xfId="33935"/>
    <cellStyle name="Suma 2 43 3" xfId="33936"/>
    <cellStyle name="Suma 2 43 4" xfId="33937"/>
    <cellStyle name="Suma 2 44" xfId="33938"/>
    <cellStyle name="Suma 2 44 2" xfId="33939"/>
    <cellStyle name="Suma 2 44 3" xfId="33940"/>
    <cellStyle name="Suma 2 44 4" xfId="33941"/>
    <cellStyle name="Suma 2 45" xfId="33942"/>
    <cellStyle name="Suma 2 45 2" xfId="33943"/>
    <cellStyle name="Suma 2 45 3" xfId="33944"/>
    <cellStyle name="Suma 2 45 4" xfId="33945"/>
    <cellStyle name="Suma 2 46" xfId="33946"/>
    <cellStyle name="Suma 2 46 2" xfId="33947"/>
    <cellStyle name="Suma 2 46 3" xfId="33948"/>
    <cellStyle name="Suma 2 46 4" xfId="33949"/>
    <cellStyle name="Suma 2 47" xfId="33950"/>
    <cellStyle name="Suma 2 47 2" xfId="33951"/>
    <cellStyle name="Suma 2 47 3" xfId="33952"/>
    <cellStyle name="Suma 2 47 4" xfId="33953"/>
    <cellStyle name="Suma 2 48" xfId="33954"/>
    <cellStyle name="Suma 2 48 2" xfId="33955"/>
    <cellStyle name="Suma 2 48 3" xfId="33956"/>
    <cellStyle name="Suma 2 48 4" xfId="33957"/>
    <cellStyle name="Suma 2 49" xfId="33958"/>
    <cellStyle name="Suma 2 49 2" xfId="33959"/>
    <cellStyle name="Suma 2 49 3" xfId="33960"/>
    <cellStyle name="Suma 2 49 4" xfId="33961"/>
    <cellStyle name="Suma 2 5" xfId="33962"/>
    <cellStyle name="Suma 2 5 10" xfId="33963"/>
    <cellStyle name="Suma 2 5 10 2" xfId="33964"/>
    <cellStyle name="Suma 2 5 10 3" xfId="33965"/>
    <cellStyle name="Suma 2 5 10 4" xfId="33966"/>
    <cellStyle name="Suma 2 5 11" xfId="33967"/>
    <cellStyle name="Suma 2 5 11 2" xfId="33968"/>
    <cellStyle name="Suma 2 5 11 3" xfId="33969"/>
    <cellStyle name="Suma 2 5 11 4" xfId="33970"/>
    <cellStyle name="Suma 2 5 12" xfId="33971"/>
    <cellStyle name="Suma 2 5 12 2" xfId="33972"/>
    <cellStyle name="Suma 2 5 12 3" xfId="33973"/>
    <cellStyle name="Suma 2 5 12 4" xfId="33974"/>
    <cellStyle name="Suma 2 5 13" xfId="33975"/>
    <cellStyle name="Suma 2 5 13 2" xfId="33976"/>
    <cellStyle name="Suma 2 5 13 3" xfId="33977"/>
    <cellStyle name="Suma 2 5 13 4" xfId="33978"/>
    <cellStyle name="Suma 2 5 14" xfId="33979"/>
    <cellStyle name="Suma 2 5 14 2" xfId="33980"/>
    <cellStyle name="Suma 2 5 14 3" xfId="33981"/>
    <cellStyle name="Suma 2 5 14 4" xfId="33982"/>
    <cellStyle name="Suma 2 5 15" xfId="33983"/>
    <cellStyle name="Suma 2 5 15 2" xfId="33984"/>
    <cellStyle name="Suma 2 5 15 3" xfId="33985"/>
    <cellStyle name="Suma 2 5 15 4" xfId="33986"/>
    <cellStyle name="Suma 2 5 16" xfId="33987"/>
    <cellStyle name="Suma 2 5 16 2" xfId="33988"/>
    <cellStyle name="Suma 2 5 16 3" xfId="33989"/>
    <cellStyle name="Suma 2 5 16 4" xfId="33990"/>
    <cellStyle name="Suma 2 5 17" xfId="33991"/>
    <cellStyle name="Suma 2 5 17 2" xfId="33992"/>
    <cellStyle name="Suma 2 5 17 3" xfId="33993"/>
    <cellStyle name="Suma 2 5 17 4" xfId="33994"/>
    <cellStyle name="Suma 2 5 18" xfId="33995"/>
    <cellStyle name="Suma 2 5 18 2" xfId="33996"/>
    <cellStyle name="Suma 2 5 18 3" xfId="33997"/>
    <cellStyle name="Suma 2 5 18 4" xfId="33998"/>
    <cellStyle name="Suma 2 5 19" xfId="33999"/>
    <cellStyle name="Suma 2 5 19 2" xfId="34000"/>
    <cellStyle name="Suma 2 5 19 3" xfId="34001"/>
    <cellStyle name="Suma 2 5 19 4" xfId="34002"/>
    <cellStyle name="Suma 2 5 2" xfId="34003"/>
    <cellStyle name="Suma 2 5 2 2" xfId="34004"/>
    <cellStyle name="Suma 2 5 2 3" xfId="34005"/>
    <cellStyle name="Suma 2 5 2 4" xfId="34006"/>
    <cellStyle name="Suma 2 5 20" xfId="34007"/>
    <cellStyle name="Suma 2 5 20 2" xfId="34008"/>
    <cellStyle name="Suma 2 5 20 3" xfId="34009"/>
    <cellStyle name="Suma 2 5 20 4" xfId="34010"/>
    <cellStyle name="Suma 2 5 21" xfId="34011"/>
    <cellStyle name="Suma 2 5 21 2" xfId="34012"/>
    <cellStyle name="Suma 2 5 21 3" xfId="34013"/>
    <cellStyle name="Suma 2 5 22" xfId="34014"/>
    <cellStyle name="Suma 2 5 22 2" xfId="34015"/>
    <cellStyle name="Suma 2 5 22 3" xfId="34016"/>
    <cellStyle name="Suma 2 5 23" xfId="34017"/>
    <cellStyle name="Suma 2 5 23 2" xfId="34018"/>
    <cellStyle name="Suma 2 5 23 3" xfId="34019"/>
    <cellStyle name="Suma 2 5 24" xfId="34020"/>
    <cellStyle name="Suma 2 5 24 2" xfId="34021"/>
    <cellStyle name="Suma 2 5 24 3" xfId="34022"/>
    <cellStyle name="Suma 2 5 25" xfId="34023"/>
    <cellStyle name="Suma 2 5 25 2" xfId="34024"/>
    <cellStyle name="Suma 2 5 25 3" xfId="34025"/>
    <cellStyle name="Suma 2 5 26" xfId="34026"/>
    <cellStyle name="Suma 2 5 26 2" xfId="34027"/>
    <cellStyle name="Suma 2 5 26 3" xfId="34028"/>
    <cellStyle name="Suma 2 5 27" xfId="34029"/>
    <cellStyle name="Suma 2 5 27 2" xfId="34030"/>
    <cellStyle name="Suma 2 5 27 3" xfId="34031"/>
    <cellStyle name="Suma 2 5 28" xfId="34032"/>
    <cellStyle name="Suma 2 5 28 2" xfId="34033"/>
    <cellStyle name="Suma 2 5 28 3" xfId="34034"/>
    <cellStyle name="Suma 2 5 29" xfId="34035"/>
    <cellStyle name="Suma 2 5 29 2" xfId="34036"/>
    <cellStyle name="Suma 2 5 29 3" xfId="34037"/>
    <cellStyle name="Suma 2 5 3" xfId="34038"/>
    <cellStyle name="Suma 2 5 3 2" xfId="34039"/>
    <cellStyle name="Suma 2 5 3 3" xfId="34040"/>
    <cellStyle name="Suma 2 5 3 4" xfId="34041"/>
    <cellStyle name="Suma 2 5 30" xfId="34042"/>
    <cellStyle name="Suma 2 5 30 2" xfId="34043"/>
    <cellStyle name="Suma 2 5 30 3" xfId="34044"/>
    <cellStyle name="Suma 2 5 31" xfId="34045"/>
    <cellStyle name="Suma 2 5 31 2" xfId="34046"/>
    <cellStyle name="Suma 2 5 31 3" xfId="34047"/>
    <cellStyle name="Suma 2 5 32" xfId="34048"/>
    <cellStyle name="Suma 2 5 32 2" xfId="34049"/>
    <cellStyle name="Suma 2 5 32 3" xfId="34050"/>
    <cellStyle name="Suma 2 5 33" xfId="34051"/>
    <cellStyle name="Suma 2 5 33 2" xfId="34052"/>
    <cellStyle name="Suma 2 5 33 3" xfId="34053"/>
    <cellStyle name="Suma 2 5 34" xfId="34054"/>
    <cellStyle name="Suma 2 5 34 2" xfId="34055"/>
    <cellStyle name="Suma 2 5 34 3" xfId="34056"/>
    <cellStyle name="Suma 2 5 35" xfId="34057"/>
    <cellStyle name="Suma 2 5 35 2" xfId="34058"/>
    <cellStyle name="Suma 2 5 35 3" xfId="34059"/>
    <cellStyle name="Suma 2 5 36" xfId="34060"/>
    <cellStyle name="Suma 2 5 36 2" xfId="34061"/>
    <cellStyle name="Suma 2 5 36 3" xfId="34062"/>
    <cellStyle name="Suma 2 5 37" xfId="34063"/>
    <cellStyle name="Suma 2 5 37 2" xfId="34064"/>
    <cellStyle name="Suma 2 5 37 3" xfId="34065"/>
    <cellStyle name="Suma 2 5 38" xfId="34066"/>
    <cellStyle name="Suma 2 5 38 2" xfId="34067"/>
    <cellStyle name="Suma 2 5 38 3" xfId="34068"/>
    <cellStyle name="Suma 2 5 39" xfId="34069"/>
    <cellStyle name="Suma 2 5 39 2" xfId="34070"/>
    <cellStyle name="Suma 2 5 39 3" xfId="34071"/>
    <cellStyle name="Suma 2 5 4" xfId="34072"/>
    <cellStyle name="Suma 2 5 4 2" xfId="34073"/>
    <cellStyle name="Suma 2 5 4 3" xfId="34074"/>
    <cellStyle name="Suma 2 5 4 4" xfId="34075"/>
    <cellStyle name="Suma 2 5 40" xfId="34076"/>
    <cellStyle name="Suma 2 5 40 2" xfId="34077"/>
    <cellStyle name="Suma 2 5 40 3" xfId="34078"/>
    <cellStyle name="Suma 2 5 41" xfId="34079"/>
    <cellStyle name="Suma 2 5 41 2" xfId="34080"/>
    <cellStyle name="Suma 2 5 41 3" xfId="34081"/>
    <cellStyle name="Suma 2 5 42" xfId="34082"/>
    <cellStyle name="Suma 2 5 42 2" xfId="34083"/>
    <cellStyle name="Suma 2 5 42 3" xfId="34084"/>
    <cellStyle name="Suma 2 5 43" xfId="34085"/>
    <cellStyle name="Suma 2 5 43 2" xfId="34086"/>
    <cellStyle name="Suma 2 5 43 3" xfId="34087"/>
    <cellStyle name="Suma 2 5 44" xfId="34088"/>
    <cellStyle name="Suma 2 5 44 2" xfId="34089"/>
    <cellStyle name="Suma 2 5 44 3" xfId="34090"/>
    <cellStyle name="Suma 2 5 45" xfId="34091"/>
    <cellStyle name="Suma 2 5 45 2" xfId="34092"/>
    <cellStyle name="Suma 2 5 45 3" xfId="34093"/>
    <cellStyle name="Suma 2 5 46" xfId="34094"/>
    <cellStyle name="Suma 2 5 46 2" xfId="34095"/>
    <cellStyle name="Suma 2 5 46 3" xfId="34096"/>
    <cellStyle name="Suma 2 5 47" xfId="34097"/>
    <cellStyle name="Suma 2 5 47 2" xfId="34098"/>
    <cellStyle name="Suma 2 5 47 3" xfId="34099"/>
    <cellStyle name="Suma 2 5 48" xfId="34100"/>
    <cellStyle name="Suma 2 5 48 2" xfId="34101"/>
    <cellStyle name="Suma 2 5 48 3" xfId="34102"/>
    <cellStyle name="Suma 2 5 49" xfId="34103"/>
    <cellStyle name="Suma 2 5 49 2" xfId="34104"/>
    <cellStyle name="Suma 2 5 49 3" xfId="34105"/>
    <cellStyle name="Suma 2 5 5" xfId="34106"/>
    <cellStyle name="Suma 2 5 5 2" xfId="34107"/>
    <cellStyle name="Suma 2 5 5 3" xfId="34108"/>
    <cellStyle name="Suma 2 5 5 4" xfId="34109"/>
    <cellStyle name="Suma 2 5 50" xfId="34110"/>
    <cellStyle name="Suma 2 5 50 2" xfId="34111"/>
    <cellStyle name="Suma 2 5 50 3" xfId="34112"/>
    <cellStyle name="Suma 2 5 51" xfId="34113"/>
    <cellStyle name="Suma 2 5 51 2" xfId="34114"/>
    <cellStyle name="Suma 2 5 51 3" xfId="34115"/>
    <cellStyle name="Suma 2 5 52" xfId="34116"/>
    <cellStyle name="Suma 2 5 52 2" xfId="34117"/>
    <cellStyle name="Suma 2 5 52 3" xfId="34118"/>
    <cellStyle name="Suma 2 5 53" xfId="34119"/>
    <cellStyle name="Suma 2 5 53 2" xfId="34120"/>
    <cellStyle name="Suma 2 5 53 3" xfId="34121"/>
    <cellStyle name="Suma 2 5 54" xfId="34122"/>
    <cellStyle name="Suma 2 5 54 2" xfId="34123"/>
    <cellStyle name="Suma 2 5 54 3" xfId="34124"/>
    <cellStyle name="Suma 2 5 55" xfId="34125"/>
    <cellStyle name="Suma 2 5 55 2" xfId="34126"/>
    <cellStyle name="Suma 2 5 55 3" xfId="34127"/>
    <cellStyle name="Suma 2 5 56" xfId="34128"/>
    <cellStyle name="Suma 2 5 56 2" xfId="34129"/>
    <cellStyle name="Suma 2 5 56 3" xfId="34130"/>
    <cellStyle name="Suma 2 5 57" xfId="34131"/>
    <cellStyle name="Suma 2 5 58" xfId="34132"/>
    <cellStyle name="Suma 2 5 6" xfId="34133"/>
    <cellStyle name="Suma 2 5 6 2" xfId="34134"/>
    <cellStyle name="Suma 2 5 6 3" xfId="34135"/>
    <cellStyle name="Suma 2 5 6 4" xfId="34136"/>
    <cellStyle name="Suma 2 5 7" xfId="34137"/>
    <cellStyle name="Suma 2 5 7 2" xfId="34138"/>
    <cellStyle name="Suma 2 5 7 3" xfId="34139"/>
    <cellStyle name="Suma 2 5 7 4" xfId="34140"/>
    <cellStyle name="Suma 2 5 8" xfId="34141"/>
    <cellStyle name="Suma 2 5 8 2" xfId="34142"/>
    <cellStyle name="Suma 2 5 8 3" xfId="34143"/>
    <cellStyle name="Suma 2 5 8 4" xfId="34144"/>
    <cellStyle name="Suma 2 5 9" xfId="34145"/>
    <cellStyle name="Suma 2 5 9 2" xfId="34146"/>
    <cellStyle name="Suma 2 5 9 3" xfId="34147"/>
    <cellStyle name="Suma 2 5 9 4" xfId="34148"/>
    <cellStyle name="Suma 2 50" xfId="34149"/>
    <cellStyle name="Suma 2 50 2" xfId="34150"/>
    <cellStyle name="Suma 2 50 3" xfId="34151"/>
    <cellStyle name="Suma 2 50 4" xfId="34152"/>
    <cellStyle name="Suma 2 51" xfId="34153"/>
    <cellStyle name="Suma 2 51 2" xfId="34154"/>
    <cellStyle name="Suma 2 51 3" xfId="34155"/>
    <cellStyle name="Suma 2 51 4" xfId="34156"/>
    <cellStyle name="Suma 2 52" xfId="34157"/>
    <cellStyle name="Suma 2 52 2" xfId="34158"/>
    <cellStyle name="Suma 2 52 3" xfId="34159"/>
    <cellStyle name="Suma 2 52 4" xfId="34160"/>
    <cellStyle name="Suma 2 53" xfId="34161"/>
    <cellStyle name="Suma 2 53 2" xfId="34162"/>
    <cellStyle name="Suma 2 53 3" xfId="34163"/>
    <cellStyle name="Suma 2 53 4" xfId="34164"/>
    <cellStyle name="Suma 2 54" xfId="34165"/>
    <cellStyle name="Suma 2 54 2" xfId="34166"/>
    <cellStyle name="Suma 2 54 3" xfId="34167"/>
    <cellStyle name="Suma 2 54 4" xfId="34168"/>
    <cellStyle name="Suma 2 55" xfId="34169"/>
    <cellStyle name="Suma 2 55 2" xfId="34170"/>
    <cellStyle name="Suma 2 55 3" xfId="34171"/>
    <cellStyle name="Suma 2 55 4" xfId="34172"/>
    <cellStyle name="Suma 2 56" xfId="34173"/>
    <cellStyle name="Suma 2 56 2" xfId="34174"/>
    <cellStyle name="Suma 2 56 3" xfId="34175"/>
    <cellStyle name="Suma 2 56 4" xfId="34176"/>
    <cellStyle name="Suma 2 57" xfId="34177"/>
    <cellStyle name="Suma 2 57 2" xfId="34178"/>
    <cellStyle name="Suma 2 57 3" xfId="34179"/>
    <cellStyle name="Suma 2 57 4" xfId="34180"/>
    <cellStyle name="Suma 2 58" xfId="34181"/>
    <cellStyle name="Suma 2 58 2" xfId="34182"/>
    <cellStyle name="Suma 2 58 3" xfId="34183"/>
    <cellStyle name="Suma 2 58 4" xfId="34184"/>
    <cellStyle name="Suma 2 59" xfId="34185"/>
    <cellStyle name="Suma 2 59 2" xfId="34186"/>
    <cellStyle name="Suma 2 59 3" xfId="34187"/>
    <cellStyle name="Suma 2 59 4" xfId="34188"/>
    <cellStyle name="Suma 2 6" xfId="34189"/>
    <cellStyle name="Suma 2 6 10" xfId="34190"/>
    <cellStyle name="Suma 2 6 10 2" xfId="34191"/>
    <cellStyle name="Suma 2 6 10 3" xfId="34192"/>
    <cellStyle name="Suma 2 6 10 4" xfId="34193"/>
    <cellStyle name="Suma 2 6 11" xfId="34194"/>
    <cellStyle name="Suma 2 6 11 2" xfId="34195"/>
    <cellStyle name="Suma 2 6 11 3" xfId="34196"/>
    <cellStyle name="Suma 2 6 11 4" xfId="34197"/>
    <cellStyle name="Suma 2 6 12" xfId="34198"/>
    <cellStyle name="Suma 2 6 12 2" xfId="34199"/>
    <cellStyle name="Suma 2 6 12 3" xfId="34200"/>
    <cellStyle name="Suma 2 6 12 4" xfId="34201"/>
    <cellStyle name="Suma 2 6 13" xfId="34202"/>
    <cellStyle name="Suma 2 6 13 2" xfId="34203"/>
    <cellStyle name="Suma 2 6 13 3" xfId="34204"/>
    <cellStyle name="Suma 2 6 13 4" xfId="34205"/>
    <cellStyle name="Suma 2 6 14" xfId="34206"/>
    <cellStyle name="Suma 2 6 14 2" xfId="34207"/>
    <cellStyle name="Suma 2 6 14 3" xfId="34208"/>
    <cellStyle name="Suma 2 6 14 4" xfId="34209"/>
    <cellStyle name="Suma 2 6 15" xfId="34210"/>
    <cellStyle name="Suma 2 6 15 2" xfId="34211"/>
    <cellStyle name="Suma 2 6 15 3" xfId="34212"/>
    <cellStyle name="Suma 2 6 15 4" xfId="34213"/>
    <cellStyle name="Suma 2 6 16" xfId="34214"/>
    <cellStyle name="Suma 2 6 16 2" xfId="34215"/>
    <cellStyle name="Suma 2 6 16 3" xfId="34216"/>
    <cellStyle name="Suma 2 6 16 4" xfId="34217"/>
    <cellStyle name="Suma 2 6 17" xfId="34218"/>
    <cellStyle name="Suma 2 6 17 2" xfId="34219"/>
    <cellStyle name="Suma 2 6 17 3" xfId="34220"/>
    <cellStyle name="Suma 2 6 17 4" xfId="34221"/>
    <cellStyle name="Suma 2 6 18" xfId="34222"/>
    <cellStyle name="Suma 2 6 18 2" xfId="34223"/>
    <cellStyle name="Suma 2 6 18 3" xfId="34224"/>
    <cellStyle name="Suma 2 6 18 4" xfId="34225"/>
    <cellStyle name="Suma 2 6 19" xfId="34226"/>
    <cellStyle name="Suma 2 6 19 2" xfId="34227"/>
    <cellStyle name="Suma 2 6 19 3" xfId="34228"/>
    <cellStyle name="Suma 2 6 19 4" xfId="34229"/>
    <cellStyle name="Suma 2 6 2" xfId="34230"/>
    <cellStyle name="Suma 2 6 2 2" xfId="34231"/>
    <cellStyle name="Suma 2 6 2 3" xfId="34232"/>
    <cellStyle name="Suma 2 6 2 4" xfId="34233"/>
    <cellStyle name="Suma 2 6 20" xfId="34234"/>
    <cellStyle name="Suma 2 6 20 2" xfId="34235"/>
    <cellStyle name="Suma 2 6 20 3" xfId="34236"/>
    <cellStyle name="Suma 2 6 20 4" xfId="34237"/>
    <cellStyle name="Suma 2 6 21" xfId="34238"/>
    <cellStyle name="Suma 2 6 21 2" xfId="34239"/>
    <cellStyle name="Suma 2 6 21 3" xfId="34240"/>
    <cellStyle name="Suma 2 6 22" xfId="34241"/>
    <cellStyle name="Suma 2 6 22 2" xfId="34242"/>
    <cellStyle name="Suma 2 6 22 3" xfId="34243"/>
    <cellStyle name="Suma 2 6 23" xfId="34244"/>
    <cellStyle name="Suma 2 6 23 2" xfId="34245"/>
    <cellStyle name="Suma 2 6 23 3" xfId="34246"/>
    <cellStyle name="Suma 2 6 24" xfId="34247"/>
    <cellStyle name="Suma 2 6 24 2" xfId="34248"/>
    <cellStyle name="Suma 2 6 24 3" xfId="34249"/>
    <cellStyle name="Suma 2 6 25" xfId="34250"/>
    <cellStyle name="Suma 2 6 25 2" xfId="34251"/>
    <cellStyle name="Suma 2 6 25 3" xfId="34252"/>
    <cellStyle name="Suma 2 6 26" xfId="34253"/>
    <cellStyle name="Suma 2 6 26 2" xfId="34254"/>
    <cellStyle name="Suma 2 6 26 3" xfId="34255"/>
    <cellStyle name="Suma 2 6 27" xfId="34256"/>
    <cellStyle name="Suma 2 6 27 2" xfId="34257"/>
    <cellStyle name="Suma 2 6 27 3" xfId="34258"/>
    <cellStyle name="Suma 2 6 28" xfId="34259"/>
    <cellStyle name="Suma 2 6 28 2" xfId="34260"/>
    <cellStyle name="Suma 2 6 28 3" xfId="34261"/>
    <cellStyle name="Suma 2 6 29" xfId="34262"/>
    <cellStyle name="Suma 2 6 29 2" xfId="34263"/>
    <cellStyle name="Suma 2 6 29 3" xfId="34264"/>
    <cellStyle name="Suma 2 6 3" xfId="34265"/>
    <cellStyle name="Suma 2 6 3 2" xfId="34266"/>
    <cellStyle name="Suma 2 6 3 3" xfId="34267"/>
    <cellStyle name="Suma 2 6 3 4" xfId="34268"/>
    <cellStyle name="Suma 2 6 30" xfId="34269"/>
    <cellStyle name="Suma 2 6 30 2" xfId="34270"/>
    <cellStyle name="Suma 2 6 30 3" xfId="34271"/>
    <cellStyle name="Suma 2 6 31" xfId="34272"/>
    <cellStyle name="Suma 2 6 31 2" xfId="34273"/>
    <cellStyle name="Suma 2 6 31 3" xfId="34274"/>
    <cellStyle name="Suma 2 6 32" xfId="34275"/>
    <cellStyle name="Suma 2 6 32 2" xfId="34276"/>
    <cellStyle name="Suma 2 6 32 3" xfId="34277"/>
    <cellStyle name="Suma 2 6 33" xfId="34278"/>
    <cellStyle name="Suma 2 6 33 2" xfId="34279"/>
    <cellStyle name="Suma 2 6 33 3" xfId="34280"/>
    <cellStyle name="Suma 2 6 34" xfId="34281"/>
    <cellStyle name="Suma 2 6 34 2" xfId="34282"/>
    <cellStyle name="Suma 2 6 34 3" xfId="34283"/>
    <cellStyle name="Suma 2 6 35" xfId="34284"/>
    <cellStyle name="Suma 2 6 35 2" xfId="34285"/>
    <cellStyle name="Suma 2 6 35 3" xfId="34286"/>
    <cellStyle name="Suma 2 6 36" xfId="34287"/>
    <cellStyle name="Suma 2 6 36 2" xfId="34288"/>
    <cellStyle name="Suma 2 6 36 3" xfId="34289"/>
    <cellStyle name="Suma 2 6 37" xfId="34290"/>
    <cellStyle name="Suma 2 6 37 2" xfId="34291"/>
    <cellStyle name="Suma 2 6 37 3" xfId="34292"/>
    <cellStyle name="Suma 2 6 38" xfId="34293"/>
    <cellStyle name="Suma 2 6 38 2" xfId="34294"/>
    <cellStyle name="Suma 2 6 38 3" xfId="34295"/>
    <cellStyle name="Suma 2 6 39" xfId="34296"/>
    <cellStyle name="Suma 2 6 39 2" xfId="34297"/>
    <cellStyle name="Suma 2 6 39 3" xfId="34298"/>
    <cellStyle name="Suma 2 6 4" xfId="34299"/>
    <cellStyle name="Suma 2 6 4 2" xfId="34300"/>
    <cellStyle name="Suma 2 6 4 3" xfId="34301"/>
    <cellStyle name="Suma 2 6 4 4" xfId="34302"/>
    <cellStyle name="Suma 2 6 40" xfId="34303"/>
    <cellStyle name="Suma 2 6 40 2" xfId="34304"/>
    <cellStyle name="Suma 2 6 40 3" xfId="34305"/>
    <cellStyle name="Suma 2 6 41" xfId="34306"/>
    <cellStyle name="Suma 2 6 41 2" xfId="34307"/>
    <cellStyle name="Suma 2 6 41 3" xfId="34308"/>
    <cellStyle name="Suma 2 6 42" xfId="34309"/>
    <cellStyle name="Suma 2 6 42 2" xfId="34310"/>
    <cellStyle name="Suma 2 6 42 3" xfId="34311"/>
    <cellStyle name="Suma 2 6 43" xfId="34312"/>
    <cellStyle name="Suma 2 6 43 2" xfId="34313"/>
    <cellStyle name="Suma 2 6 43 3" xfId="34314"/>
    <cellStyle name="Suma 2 6 44" xfId="34315"/>
    <cellStyle name="Suma 2 6 44 2" xfId="34316"/>
    <cellStyle name="Suma 2 6 44 3" xfId="34317"/>
    <cellStyle name="Suma 2 6 45" xfId="34318"/>
    <cellStyle name="Suma 2 6 45 2" xfId="34319"/>
    <cellStyle name="Suma 2 6 45 3" xfId="34320"/>
    <cellStyle name="Suma 2 6 46" xfId="34321"/>
    <cellStyle name="Suma 2 6 46 2" xfId="34322"/>
    <cellStyle name="Suma 2 6 46 3" xfId="34323"/>
    <cellStyle name="Suma 2 6 47" xfId="34324"/>
    <cellStyle name="Suma 2 6 47 2" xfId="34325"/>
    <cellStyle name="Suma 2 6 47 3" xfId="34326"/>
    <cellStyle name="Suma 2 6 48" xfId="34327"/>
    <cellStyle name="Suma 2 6 48 2" xfId="34328"/>
    <cellStyle name="Suma 2 6 48 3" xfId="34329"/>
    <cellStyle name="Suma 2 6 49" xfId="34330"/>
    <cellStyle name="Suma 2 6 49 2" xfId="34331"/>
    <cellStyle name="Suma 2 6 49 3" xfId="34332"/>
    <cellStyle name="Suma 2 6 5" xfId="34333"/>
    <cellStyle name="Suma 2 6 5 2" xfId="34334"/>
    <cellStyle name="Suma 2 6 5 3" xfId="34335"/>
    <cellStyle name="Suma 2 6 5 4" xfId="34336"/>
    <cellStyle name="Suma 2 6 50" xfId="34337"/>
    <cellStyle name="Suma 2 6 50 2" xfId="34338"/>
    <cellStyle name="Suma 2 6 50 3" xfId="34339"/>
    <cellStyle name="Suma 2 6 51" xfId="34340"/>
    <cellStyle name="Suma 2 6 51 2" xfId="34341"/>
    <cellStyle name="Suma 2 6 51 3" xfId="34342"/>
    <cellStyle name="Suma 2 6 52" xfId="34343"/>
    <cellStyle name="Suma 2 6 52 2" xfId="34344"/>
    <cellStyle name="Suma 2 6 52 3" xfId="34345"/>
    <cellStyle name="Suma 2 6 53" xfId="34346"/>
    <cellStyle name="Suma 2 6 53 2" xfId="34347"/>
    <cellStyle name="Suma 2 6 53 3" xfId="34348"/>
    <cellStyle name="Suma 2 6 54" xfId="34349"/>
    <cellStyle name="Suma 2 6 54 2" xfId="34350"/>
    <cellStyle name="Suma 2 6 54 3" xfId="34351"/>
    <cellStyle name="Suma 2 6 55" xfId="34352"/>
    <cellStyle name="Suma 2 6 55 2" xfId="34353"/>
    <cellStyle name="Suma 2 6 55 3" xfId="34354"/>
    <cellStyle name="Suma 2 6 56" xfId="34355"/>
    <cellStyle name="Suma 2 6 56 2" xfId="34356"/>
    <cellStyle name="Suma 2 6 56 3" xfId="34357"/>
    <cellStyle name="Suma 2 6 57" xfId="34358"/>
    <cellStyle name="Suma 2 6 58" xfId="34359"/>
    <cellStyle name="Suma 2 6 6" xfId="34360"/>
    <cellStyle name="Suma 2 6 6 2" xfId="34361"/>
    <cellStyle name="Suma 2 6 6 3" xfId="34362"/>
    <cellStyle name="Suma 2 6 6 4" xfId="34363"/>
    <cellStyle name="Suma 2 6 7" xfId="34364"/>
    <cellStyle name="Suma 2 6 7 2" xfId="34365"/>
    <cellStyle name="Suma 2 6 7 3" xfId="34366"/>
    <cellStyle name="Suma 2 6 7 4" xfId="34367"/>
    <cellStyle name="Suma 2 6 8" xfId="34368"/>
    <cellStyle name="Suma 2 6 8 2" xfId="34369"/>
    <cellStyle name="Suma 2 6 8 3" xfId="34370"/>
    <cellStyle name="Suma 2 6 8 4" xfId="34371"/>
    <cellStyle name="Suma 2 6 9" xfId="34372"/>
    <cellStyle name="Suma 2 6 9 2" xfId="34373"/>
    <cellStyle name="Suma 2 6 9 3" xfId="34374"/>
    <cellStyle name="Suma 2 6 9 4" xfId="34375"/>
    <cellStyle name="Suma 2 60" xfId="34376"/>
    <cellStyle name="Suma 2 60 2" xfId="34377"/>
    <cellStyle name="Suma 2 60 3" xfId="34378"/>
    <cellStyle name="Suma 2 60 4" xfId="34379"/>
    <cellStyle name="Suma 2 61" xfId="34380"/>
    <cellStyle name="Suma 2 61 2" xfId="34381"/>
    <cellStyle name="Suma 2 61 3" xfId="34382"/>
    <cellStyle name="Suma 2 61 4" xfId="34383"/>
    <cellStyle name="Suma 2 62" xfId="34384"/>
    <cellStyle name="Suma 2 62 2" xfId="34385"/>
    <cellStyle name="Suma 2 62 3" xfId="34386"/>
    <cellStyle name="Suma 2 62 4" xfId="34387"/>
    <cellStyle name="Suma 2 63" xfId="34388"/>
    <cellStyle name="Suma 2 63 2" xfId="34389"/>
    <cellStyle name="Suma 2 63 3" xfId="34390"/>
    <cellStyle name="Suma 2 63 4" xfId="34391"/>
    <cellStyle name="Suma 2 64" xfId="34392"/>
    <cellStyle name="Suma 2 64 2" xfId="34393"/>
    <cellStyle name="Suma 2 64 3" xfId="34394"/>
    <cellStyle name="Suma 2 64 4" xfId="34395"/>
    <cellStyle name="Suma 2 65" xfId="34396"/>
    <cellStyle name="Suma 2 65 2" xfId="34397"/>
    <cellStyle name="Suma 2 65 3" xfId="34398"/>
    <cellStyle name="Suma 2 65 4" xfId="34399"/>
    <cellStyle name="Suma 2 66" xfId="34400"/>
    <cellStyle name="Suma 2 66 2" xfId="34401"/>
    <cellStyle name="Suma 2 66 3" xfId="34402"/>
    <cellStyle name="Suma 2 66 4" xfId="34403"/>
    <cellStyle name="Suma 2 67" xfId="34404"/>
    <cellStyle name="Suma 2 67 2" xfId="34405"/>
    <cellStyle name="Suma 2 67 3" xfId="34406"/>
    <cellStyle name="Suma 2 68" xfId="34407"/>
    <cellStyle name="Suma 2 68 2" xfId="34408"/>
    <cellStyle name="Suma 2 68 3" xfId="34409"/>
    <cellStyle name="Suma 2 69" xfId="34410"/>
    <cellStyle name="Suma 2 69 2" xfId="34411"/>
    <cellStyle name="Suma 2 69 3" xfId="34412"/>
    <cellStyle name="Suma 2 7" xfId="34413"/>
    <cellStyle name="Suma 2 7 10" xfId="34414"/>
    <cellStyle name="Suma 2 7 10 2" xfId="34415"/>
    <cellStyle name="Suma 2 7 10 3" xfId="34416"/>
    <cellStyle name="Suma 2 7 10 4" xfId="34417"/>
    <cellStyle name="Suma 2 7 11" xfId="34418"/>
    <cellStyle name="Suma 2 7 11 2" xfId="34419"/>
    <cellStyle name="Suma 2 7 11 3" xfId="34420"/>
    <cellStyle name="Suma 2 7 11 4" xfId="34421"/>
    <cellStyle name="Suma 2 7 12" xfId="34422"/>
    <cellStyle name="Suma 2 7 12 2" xfId="34423"/>
    <cellStyle name="Suma 2 7 12 3" xfId="34424"/>
    <cellStyle name="Suma 2 7 12 4" xfId="34425"/>
    <cellStyle name="Suma 2 7 13" xfId="34426"/>
    <cellStyle name="Suma 2 7 13 2" xfId="34427"/>
    <cellStyle name="Suma 2 7 13 3" xfId="34428"/>
    <cellStyle name="Suma 2 7 13 4" xfId="34429"/>
    <cellStyle name="Suma 2 7 14" xfId="34430"/>
    <cellStyle name="Suma 2 7 14 2" xfId="34431"/>
    <cellStyle name="Suma 2 7 14 3" xfId="34432"/>
    <cellStyle name="Suma 2 7 14 4" xfId="34433"/>
    <cellStyle name="Suma 2 7 15" xfId="34434"/>
    <cellStyle name="Suma 2 7 15 2" xfId="34435"/>
    <cellStyle name="Suma 2 7 15 3" xfId="34436"/>
    <cellStyle name="Suma 2 7 15 4" xfId="34437"/>
    <cellStyle name="Suma 2 7 16" xfId="34438"/>
    <cellStyle name="Suma 2 7 16 2" xfId="34439"/>
    <cellStyle name="Suma 2 7 16 3" xfId="34440"/>
    <cellStyle name="Suma 2 7 16 4" xfId="34441"/>
    <cellStyle name="Suma 2 7 17" xfId="34442"/>
    <cellStyle name="Suma 2 7 17 2" xfId="34443"/>
    <cellStyle name="Suma 2 7 17 3" xfId="34444"/>
    <cellStyle name="Suma 2 7 17 4" xfId="34445"/>
    <cellStyle name="Suma 2 7 18" xfId="34446"/>
    <cellStyle name="Suma 2 7 18 2" xfId="34447"/>
    <cellStyle name="Suma 2 7 18 3" xfId="34448"/>
    <cellStyle name="Suma 2 7 18 4" xfId="34449"/>
    <cellStyle name="Suma 2 7 19" xfId="34450"/>
    <cellStyle name="Suma 2 7 19 2" xfId="34451"/>
    <cellStyle name="Suma 2 7 19 3" xfId="34452"/>
    <cellStyle name="Suma 2 7 19 4" xfId="34453"/>
    <cellStyle name="Suma 2 7 2" xfId="34454"/>
    <cellStyle name="Suma 2 7 2 2" xfId="34455"/>
    <cellStyle name="Suma 2 7 2 3" xfId="34456"/>
    <cellStyle name="Suma 2 7 2 4" xfId="34457"/>
    <cellStyle name="Suma 2 7 20" xfId="34458"/>
    <cellStyle name="Suma 2 7 20 2" xfId="34459"/>
    <cellStyle name="Suma 2 7 20 3" xfId="34460"/>
    <cellStyle name="Suma 2 7 20 4" xfId="34461"/>
    <cellStyle name="Suma 2 7 21" xfId="34462"/>
    <cellStyle name="Suma 2 7 21 2" xfId="34463"/>
    <cellStyle name="Suma 2 7 21 3" xfId="34464"/>
    <cellStyle name="Suma 2 7 22" xfId="34465"/>
    <cellStyle name="Suma 2 7 22 2" xfId="34466"/>
    <cellStyle name="Suma 2 7 22 3" xfId="34467"/>
    <cellStyle name="Suma 2 7 23" xfId="34468"/>
    <cellStyle name="Suma 2 7 23 2" xfId="34469"/>
    <cellStyle name="Suma 2 7 23 3" xfId="34470"/>
    <cellStyle name="Suma 2 7 24" xfId="34471"/>
    <cellStyle name="Suma 2 7 24 2" xfId="34472"/>
    <cellStyle name="Suma 2 7 24 3" xfId="34473"/>
    <cellStyle name="Suma 2 7 25" xfId="34474"/>
    <cellStyle name="Suma 2 7 25 2" xfId="34475"/>
    <cellStyle name="Suma 2 7 25 3" xfId="34476"/>
    <cellStyle name="Suma 2 7 26" xfId="34477"/>
    <cellStyle name="Suma 2 7 26 2" xfId="34478"/>
    <cellStyle name="Suma 2 7 26 3" xfId="34479"/>
    <cellStyle name="Suma 2 7 27" xfId="34480"/>
    <cellStyle name="Suma 2 7 27 2" xfId="34481"/>
    <cellStyle name="Suma 2 7 27 3" xfId="34482"/>
    <cellStyle name="Suma 2 7 28" xfId="34483"/>
    <cellStyle name="Suma 2 7 28 2" xfId="34484"/>
    <cellStyle name="Suma 2 7 28 3" xfId="34485"/>
    <cellStyle name="Suma 2 7 29" xfId="34486"/>
    <cellStyle name="Suma 2 7 29 2" xfId="34487"/>
    <cellStyle name="Suma 2 7 29 3" xfId="34488"/>
    <cellStyle name="Suma 2 7 3" xfId="34489"/>
    <cellStyle name="Suma 2 7 3 2" xfId="34490"/>
    <cellStyle name="Suma 2 7 3 3" xfId="34491"/>
    <cellStyle name="Suma 2 7 3 4" xfId="34492"/>
    <cellStyle name="Suma 2 7 30" xfId="34493"/>
    <cellStyle name="Suma 2 7 30 2" xfId="34494"/>
    <cellStyle name="Suma 2 7 30 3" xfId="34495"/>
    <cellStyle name="Suma 2 7 31" xfId="34496"/>
    <cellStyle name="Suma 2 7 31 2" xfId="34497"/>
    <cellStyle name="Suma 2 7 31 3" xfId="34498"/>
    <cellStyle name="Suma 2 7 32" xfId="34499"/>
    <cellStyle name="Suma 2 7 32 2" xfId="34500"/>
    <cellStyle name="Suma 2 7 32 3" xfId="34501"/>
    <cellStyle name="Suma 2 7 33" xfId="34502"/>
    <cellStyle name="Suma 2 7 33 2" xfId="34503"/>
    <cellStyle name="Suma 2 7 33 3" xfId="34504"/>
    <cellStyle name="Suma 2 7 34" xfId="34505"/>
    <cellStyle name="Suma 2 7 34 2" xfId="34506"/>
    <cellStyle name="Suma 2 7 34 3" xfId="34507"/>
    <cellStyle name="Suma 2 7 35" xfId="34508"/>
    <cellStyle name="Suma 2 7 35 2" xfId="34509"/>
    <cellStyle name="Suma 2 7 35 3" xfId="34510"/>
    <cellStyle name="Suma 2 7 36" xfId="34511"/>
    <cellStyle name="Suma 2 7 36 2" xfId="34512"/>
    <cellStyle name="Suma 2 7 36 3" xfId="34513"/>
    <cellStyle name="Suma 2 7 37" xfId="34514"/>
    <cellStyle name="Suma 2 7 37 2" xfId="34515"/>
    <cellStyle name="Suma 2 7 37 3" xfId="34516"/>
    <cellStyle name="Suma 2 7 38" xfId="34517"/>
    <cellStyle name="Suma 2 7 38 2" xfId="34518"/>
    <cellStyle name="Suma 2 7 38 3" xfId="34519"/>
    <cellStyle name="Suma 2 7 39" xfId="34520"/>
    <cellStyle name="Suma 2 7 39 2" xfId="34521"/>
    <cellStyle name="Suma 2 7 39 3" xfId="34522"/>
    <cellStyle name="Suma 2 7 4" xfId="34523"/>
    <cellStyle name="Suma 2 7 4 2" xfId="34524"/>
    <cellStyle name="Suma 2 7 4 3" xfId="34525"/>
    <cellStyle name="Suma 2 7 4 4" xfId="34526"/>
    <cellStyle name="Suma 2 7 40" xfId="34527"/>
    <cellStyle name="Suma 2 7 40 2" xfId="34528"/>
    <cellStyle name="Suma 2 7 40 3" xfId="34529"/>
    <cellStyle name="Suma 2 7 41" xfId="34530"/>
    <cellStyle name="Suma 2 7 41 2" xfId="34531"/>
    <cellStyle name="Suma 2 7 41 3" xfId="34532"/>
    <cellStyle name="Suma 2 7 42" xfId="34533"/>
    <cellStyle name="Suma 2 7 42 2" xfId="34534"/>
    <cellStyle name="Suma 2 7 42 3" xfId="34535"/>
    <cellStyle name="Suma 2 7 43" xfId="34536"/>
    <cellStyle name="Suma 2 7 43 2" xfId="34537"/>
    <cellStyle name="Suma 2 7 43 3" xfId="34538"/>
    <cellStyle name="Suma 2 7 44" xfId="34539"/>
    <cellStyle name="Suma 2 7 44 2" xfId="34540"/>
    <cellStyle name="Suma 2 7 44 3" xfId="34541"/>
    <cellStyle name="Suma 2 7 45" xfId="34542"/>
    <cellStyle name="Suma 2 7 45 2" xfId="34543"/>
    <cellStyle name="Suma 2 7 45 3" xfId="34544"/>
    <cellStyle name="Suma 2 7 46" xfId="34545"/>
    <cellStyle name="Suma 2 7 46 2" xfId="34546"/>
    <cellStyle name="Suma 2 7 46 3" xfId="34547"/>
    <cellStyle name="Suma 2 7 47" xfId="34548"/>
    <cellStyle name="Suma 2 7 47 2" xfId="34549"/>
    <cellStyle name="Suma 2 7 47 3" xfId="34550"/>
    <cellStyle name="Suma 2 7 48" xfId="34551"/>
    <cellStyle name="Suma 2 7 48 2" xfId="34552"/>
    <cellStyle name="Suma 2 7 48 3" xfId="34553"/>
    <cellStyle name="Suma 2 7 49" xfId="34554"/>
    <cellStyle name="Suma 2 7 49 2" xfId="34555"/>
    <cellStyle name="Suma 2 7 49 3" xfId="34556"/>
    <cellStyle name="Suma 2 7 5" xfId="34557"/>
    <cellStyle name="Suma 2 7 5 2" xfId="34558"/>
    <cellStyle name="Suma 2 7 5 3" xfId="34559"/>
    <cellStyle name="Suma 2 7 5 4" xfId="34560"/>
    <cellStyle name="Suma 2 7 50" xfId="34561"/>
    <cellStyle name="Suma 2 7 50 2" xfId="34562"/>
    <cellStyle name="Suma 2 7 50 3" xfId="34563"/>
    <cellStyle name="Suma 2 7 51" xfId="34564"/>
    <cellStyle name="Suma 2 7 51 2" xfId="34565"/>
    <cellStyle name="Suma 2 7 51 3" xfId="34566"/>
    <cellStyle name="Suma 2 7 52" xfId="34567"/>
    <cellStyle name="Suma 2 7 52 2" xfId="34568"/>
    <cellStyle name="Suma 2 7 52 3" xfId="34569"/>
    <cellStyle name="Suma 2 7 53" xfId="34570"/>
    <cellStyle name="Suma 2 7 53 2" xfId="34571"/>
    <cellStyle name="Suma 2 7 53 3" xfId="34572"/>
    <cellStyle name="Suma 2 7 54" xfId="34573"/>
    <cellStyle name="Suma 2 7 54 2" xfId="34574"/>
    <cellStyle name="Suma 2 7 54 3" xfId="34575"/>
    <cellStyle name="Suma 2 7 55" xfId="34576"/>
    <cellStyle name="Suma 2 7 55 2" xfId="34577"/>
    <cellStyle name="Suma 2 7 55 3" xfId="34578"/>
    <cellStyle name="Suma 2 7 56" xfId="34579"/>
    <cellStyle name="Suma 2 7 56 2" xfId="34580"/>
    <cellStyle name="Suma 2 7 56 3" xfId="34581"/>
    <cellStyle name="Suma 2 7 57" xfId="34582"/>
    <cellStyle name="Suma 2 7 58" xfId="34583"/>
    <cellStyle name="Suma 2 7 6" xfId="34584"/>
    <cellStyle name="Suma 2 7 6 2" xfId="34585"/>
    <cellStyle name="Suma 2 7 6 3" xfId="34586"/>
    <cellStyle name="Suma 2 7 6 4" xfId="34587"/>
    <cellStyle name="Suma 2 7 7" xfId="34588"/>
    <cellStyle name="Suma 2 7 7 2" xfId="34589"/>
    <cellStyle name="Suma 2 7 7 3" xfId="34590"/>
    <cellStyle name="Suma 2 7 7 4" xfId="34591"/>
    <cellStyle name="Suma 2 7 8" xfId="34592"/>
    <cellStyle name="Suma 2 7 8 2" xfId="34593"/>
    <cellStyle name="Suma 2 7 8 3" xfId="34594"/>
    <cellStyle name="Suma 2 7 8 4" xfId="34595"/>
    <cellStyle name="Suma 2 7 9" xfId="34596"/>
    <cellStyle name="Suma 2 7 9 2" xfId="34597"/>
    <cellStyle name="Suma 2 7 9 3" xfId="34598"/>
    <cellStyle name="Suma 2 7 9 4" xfId="34599"/>
    <cellStyle name="Suma 2 70" xfId="34600"/>
    <cellStyle name="Suma 2 70 2" xfId="34601"/>
    <cellStyle name="Suma 2 70 3" xfId="34602"/>
    <cellStyle name="Suma 2 71" xfId="34603"/>
    <cellStyle name="Suma 2 71 2" xfId="34604"/>
    <cellStyle name="Suma 2 71 3" xfId="34605"/>
    <cellStyle name="Suma 2 72" xfId="34606"/>
    <cellStyle name="Suma 2 72 2" xfId="34607"/>
    <cellStyle name="Suma 2 72 3" xfId="34608"/>
    <cellStyle name="Suma 2 73" xfId="34609"/>
    <cellStyle name="Suma 2 73 2" xfId="34610"/>
    <cellStyle name="Suma 2 73 3" xfId="34611"/>
    <cellStyle name="Suma 2 74" xfId="34612"/>
    <cellStyle name="Suma 2 74 2" xfId="34613"/>
    <cellStyle name="Suma 2 74 3" xfId="34614"/>
    <cellStyle name="Suma 2 75" xfId="34615"/>
    <cellStyle name="Suma 2 75 2" xfId="34616"/>
    <cellStyle name="Suma 2 75 3" xfId="34617"/>
    <cellStyle name="Suma 2 76" xfId="34618"/>
    <cellStyle name="Suma 2 76 2" xfId="34619"/>
    <cellStyle name="Suma 2 76 3" xfId="34620"/>
    <cellStyle name="Suma 2 77" xfId="34621"/>
    <cellStyle name="Suma 2 77 2" xfId="34622"/>
    <cellStyle name="Suma 2 77 3" xfId="34623"/>
    <cellStyle name="Suma 2 78" xfId="34624"/>
    <cellStyle name="Suma 2 78 2" xfId="34625"/>
    <cellStyle name="Suma 2 78 3" xfId="34626"/>
    <cellStyle name="Suma 2 79" xfId="34627"/>
    <cellStyle name="Suma 2 79 2" xfId="34628"/>
    <cellStyle name="Suma 2 79 3" xfId="34629"/>
    <cellStyle name="Suma 2 8" xfId="34630"/>
    <cellStyle name="Suma 2 8 10" xfId="34631"/>
    <cellStyle name="Suma 2 8 10 2" xfId="34632"/>
    <cellStyle name="Suma 2 8 10 3" xfId="34633"/>
    <cellStyle name="Suma 2 8 10 4" xfId="34634"/>
    <cellStyle name="Suma 2 8 11" xfId="34635"/>
    <cellStyle name="Suma 2 8 11 2" xfId="34636"/>
    <cellStyle name="Suma 2 8 11 3" xfId="34637"/>
    <cellStyle name="Suma 2 8 11 4" xfId="34638"/>
    <cellStyle name="Suma 2 8 12" xfId="34639"/>
    <cellStyle name="Suma 2 8 12 2" xfId="34640"/>
    <cellStyle name="Suma 2 8 12 3" xfId="34641"/>
    <cellStyle name="Suma 2 8 12 4" xfId="34642"/>
    <cellStyle name="Suma 2 8 13" xfId="34643"/>
    <cellStyle name="Suma 2 8 13 2" xfId="34644"/>
    <cellStyle name="Suma 2 8 13 3" xfId="34645"/>
    <cellStyle name="Suma 2 8 13 4" xfId="34646"/>
    <cellStyle name="Suma 2 8 14" xfId="34647"/>
    <cellStyle name="Suma 2 8 14 2" xfId="34648"/>
    <cellStyle name="Suma 2 8 14 3" xfId="34649"/>
    <cellStyle name="Suma 2 8 14 4" xfId="34650"/>
    <cellStyle name="Suma 2 8 15" xfId="34651"/>
    <cellStyle name="Suma 2 8 15 2" xfId="34652"/>
    <cellStyle name="Suma 2 8 15 3" xfId="34653"/>
    <cellStyle name="Suma 2 8 15 4" xfId="34654"/>
    <cellStyle name="Suma 2 8 16" xfId="34655"/>
    <cellStyle name="Suma 2 8 16 2" xfId="34656"/>
    <cellStyle name="Suma 2 8 16 3" xfId="34657"/>
    <cellStyle name="Suma 2 8 16 4" xfId="34658"/>
    <cellStyle name="Suma 2 8 17" xfId="34659"/>
    <cellStyle name="Suma 2 8 17 2" xfId="34660"/>
    <cellStyle name="Suma 2 8 17 3" xfId="34661"/>
    <cellStyle name="Suma 2 8 17 4" xfId="34662"/>
    <cellStyle name="Suma 2 8 18" xfId="34663"/>
    <cellStyle name="Suma 2 8 18 2" xfId="34664"/>
    <cellStyle name="Suma 2 8 18 3" xfId="34665"/>
    <cellStyle name="Suma 2 8 18 4" xfId="34666"/>
    <cellStyle name="Suma 2 8 19" xfId="34667"/>
    <cellStyle name="Suma 2 8 19 2" xfId="34668"/>
    <cellStyle name="Suma 2 8 19 3" xfId="34669"/>
    <cellStyle name="Suma 2 8 19 4" xfId="34670"/>
    <cellStyle name="Suma 2 8 2" xfId="34671"/>
    <cellStyle name="Suma 2 8 2 2" xfId="34672"/>
    <cellStyle name="Suma 2 8 2 3" xfId="34673"/>
    <cellStyle name="Suma 2 8 2 4" xfId="34674"/>
    <cellStyle name="Suma 2 8 20" xfId="34675"/>
    <cellStyle name="Suma 2 8 20 2" xfId="34676"/>
    <cellStyle name="Suma 2 8 20 3" xfId="34677"/>
    <cellStyle name="Suma 2 8 20 4" xfId="34678"/>
    <cellStyle name="Suma 2 8 21" xfId="34679"/>
    <cellStyle name="Suma 2 8 21 2" xfId="34680"/>
    <cellStyle name="Suma 2 8 21 3" xfId="34681"/>
    <cellStyle name="Suma 2 8 22" xfId="34682"/>
    <cellStyle name="Suma 2 8 22 2" xfId="34683"/>
    <cellStyle name="Suma 2 8 22 3" xfId="34684"/>
    <cellStyle name="Suma 2 8 23" xfId="34685"/>
    <cellStyle name="Suma 2 8 23 2" xfId="34686"/>
    <cellStyle name="Suma 2 8 23 3" xfId="34687"/>
    <cellStyle name="Suma 2 8 24" xfId="34688"/>
    <cellStyle name="Suma 2 8 24 2" xfId="34689"/>
    <cellStyle name="Suma 2 8 24 3" xfId="34690"/>
    <cellStyle name="Suma 2 8 25" xfId="34691"/>
    <cellStyle name="Suma 2 8 25 2" xfId="34692"/>
    <cellStyle name="Suma 2 8 25 3" xfId="34693"/>
    <cellStyle name="Suma 2 8 26" xfId="34694"/>
    <cellStyle name="Suma 2 8 26 2" xfId="34695"/>
    <cellStyle name="Suma 2 8 26 3" xfId="34696"/>
    <cellStyle name="Suma 2 8 27" xfId="34697"/>
    <cellStyle name="Suma 2 8 27 2" xfId="34698"/>
    <cellStyle name="Suma 2 8 27 3" xfId="34699"/>
    <cellStyle name="Suma 2 8 28" xfId="34700"/>
    <cellStyle name="Suma 2 8 28 2" xfId="34701"/>
    <cellStyle name="Suma 2 8 28 3" xfId="34702"/>
    <cellStyle name="Suma 2 8 29" xfId="34703"/>
    <cellStyle name="Suma 2 8 29 2" xfId="34704"/>
    <cellStyle name="Suma 2 8 29 3" xfId="34705"/>
    <cellStyle name="Suma 2 8 3" xfId="34706"/>
    <cellStyle name="Suma 2 8 3 2" xfId="34707"/>
    <cellStyle name="Suma 2 8 3 3" xfId="34708"/>
    <cellStyle name="Suma 2 8 3 4" xfId="34709"/>
    <cellStyle name="Suma 2 8 30" xfId="34710"/>
    <cellStyle name="Suma 2 8 30 2" xfId="34711"/>
    <cellStyle name="Suma 2 8 30 3" xfId="34712"/>
    <cellStyle name="Suma 2 8 31" xfId="34713"/>
    <cellStyle name="Suma 2 8 31 2" xfId="34714"/>
    <cellStyle name="Suma 2 8 31 3" xfId="34715"/>
    <cellStyle name="Suma 2 8 32" xfId="34716"/>
    <cellStyle name="Suma 2 8 32 2" xfId="34717"/>
    <cellStyle name="Suma 2 8 32 3" xfId="34718"/>
    <cellStyle name="Suma 2 8 33" xfId="34719"/>
    <cellStyle name="Suma 2 8 33 2" xfId="34720"/>
    <cellStyle name="Suma 2 8 33 3" xfId="34721"/>
    <cellStyle name="Suma 2 8 34" xfId="34722"/>
    <cellStyle name="Suma 2 8 34 2" xfId="34723"/>
    <cellStyle name="Suma 2 8 34 3" xfId="34724"/>
    <cellStyle name="Suma 2 8 35" xfId="34725"/>
    <cellStyle name="Suma 2 8 35 2" xfId="34726"/>
    <cellStyle name="Suma 2 8 35 3" xfId="34727"/>
    <cellStyle name="Suma 2 8 36" xfId="34728"/>
    <cellStyle name="Suma 2 8 36 2" xfId="34729"/>
    <cellStyle name="Suma 2 8 36 3" xfId="34730"/>
    <cellStyle name="Suma 2 8 37" xfId="34731"/>
    <cellStyle name="Suma 2 8 37 2" xfId="34732"/>
    <cellStyle name="Suma 2 8 37 3" xfId="34733"/>
    <cellStyle name="Suma 2 8 38" xfId="34734"/>
    <cellStyle name="Suma 2 8 38 2" xfId="34735"/>
    <cellStyle name="Suma 2 8 38 3" xfId="34736"/>
    <cellStyle name="Suma 2 8 39" xfId="34737"/>
    <cellStyle name="Suma 2 8 39 2" xfId="34738"/>
    <cellStyle name="Suma 2 8 39 3" xfId="34739"/>
    <cellStyle name="Suma 2 8 4" xfId="34740"/>
    <cellStyle name="Suma 2 8 4 2" xfId="34741"/>
    <cellStyle name="Suma 2 8 4 3" xfId="34742"/>
    <cellStyle name="Suma 2 8 4 4" xfId="34743"/>
    <cellStyle name="Suma 2 8 40" xfId="34744"/>
    <cellStyle name="Suma 2 8 40 2" xfId="34745"/>
    <cellStyle name="Suma 2 8 40 3" xfId="34746"/>
    <cellStyle name="Suma 2 8 41" xfId="34747"/>
    <cellStyle name="Suma 2 8 41 2" xfId="34748"/>
    <cellStyle name="Suma 2 8 41 3" xfId="34749"/>
    <cellStyle name="Suma 2 8 42" xfId="34750"/>
    <cellStyle name="Suma 2 8 42 2" xfId="34751"/>
    <cellStyle name="Suma 2 8 42 3" xfId="34752"/>
    <cellStyle name="Suma 2 8 43" xfId="34753"/>
    <cellStyle name="Suma 2 8 43 2" xfId="34754"/>
    <cellStyle name="Suma 2 8 43 3" xfId="34755"/>
    <cellStyle name="Suma 2 8 44" xfId="34756"/>
    <cellStyle name="Suma 2 8 44 2" xfId="34757"/>
    <cellStyle name="Suma 2 8 44 3" xfId="34758"/>
    <cellStyle name="Suma 2 8 45" xfId="34759"/>
    <cellStyle name="Suma 2 8 45 2" xfId="34760"/>
    <cellStyle name="Suma 2 8 45 3" xfId="34761"/>
    <cellStyle name="Suma 2 8 46" xfId="34762"/>
    <cellStyle name="Suma 2 8 46 2" xfId="34763"/>
    <cellStyle name="Suma 2 8 46 3" xfId="34764"/>
    <cellStyle name="Suma 2 8 47" xfId="34765"/>
    <cellStyle name="Suma 2 8 47 2" xfId="34766"/>
    <cellStyle name="Suma 2 8 47 3" xfId="34767"/>
    <cellStyle name="Suma 2 8 48" xfId="34768"/>
    <cellStyle name="Suma 2 8 48 2" xfId="34769"/>
    <cellStyle name="Suma 2 8 48 3" xfId="34770"/>
    <cellStyle name="Suma 2 8 49" xfId="34771"/>
    <cellStyle name="Suma 2 8 49 2" xfId="34772"/>
    <cellStyle name="Suma 2 8 49 3" xfId="34773"/>
    <cellStyle name="Suma 2 8 5" xfId="34774"/>
    <cellStyle name="Suma 2 8 5 2" xfId="34775"/>
    <cellStyle name="Suma 2 8 5 3" xfId="34776"/>
    <cellStyle name="Suma 2 8 5 4" xfId="34777"/>
    <cellStyle name="Suma 2 8 50" xfId="34778"/>
    <cellStyle name="Suma 2 8 50 2" xfId="34779"/>
    <cellStyle name="Suma 2 8 50 3" xfId="34780"/>
    <cellStyle name="Suma 2 8 51" xfId="34781"/>
    <cellStyle name="Suma 2 8 51 2" xfId="34782"/>
    <cellStyle name="Suma 2 8 51 3" xfId="34783"/>
    <cellStyle name="Suma 2 8 52" xfId="34784"/>
    <cellStyle name="Suma 2 8 52 2" xfId="34785"/>
    <cellStyle name="Suma 2 8 52 3" xfId="34786"/>
    <cellStyle name="Suma 2 8 53" xfId="34787"/>
    <cellStyle name="Suma 2 8 53 2" xfId="34788"/>
    <cellStyle name="Suma 2 8 53 3" xfId="34789"/>
    <cellStyle name="Suma 2 8 54" xfId="34790"/>
    <cellStyle name="Suma 2 8 54 2" xfId="34791"/>
    <cellStyle name="Suma 2 8 54 3" xfId="34792"/>
    <cellStyle name="Suma 2 8 55" xfId="34793"/>
    <cellStyle name="Suma 2 8 55 2" xfId="34794"/>
    <cellStyle name="Suma 2 8 55 3" xfId="34795"/>
    <cellStyle name="Suma 2 8 56" xfId="34796"/>
    <cellStyle name="Suma 2 8 56 2" xfId="34797"/>
    <cellStyle name="Suma 2 8 56 3" xfId="34798"/>
    <cellStyle name="Suma 2 8 57" xfId="34799"/>
    <cellStyle name="Suma 2 8 58" xfId="34800"/>
    <cellStyle name="Suma 2 8 6" xfId="34801"/>
    <cellStyle name="Suma 2 8 6 2" xfId="34802"/>
    <cellStyle name="Suma 2 8 6 3" xfId="34803"/>
    <cellStyle name="Suma 2 8 6 4" xfId="34804"/>
    <cellStyle name="Suma 2 8 7" xfId="34805"/>
    <cellStyle name="Suma 2 8 7 2" xfId="34806"/>
    <cellStyle name="Suma 2 8 7 3" xfId="34807"/>
    <cellStyle name="Suma 2 8 7 4" xfId="34808"/>
    <cellStyle name="Suma 2 8 8" xfId="34809"/>
    <cellStyle name="Suma 2 8 8 2" xfId="34810"/>
    <cellStyle name="Suma 2 8 8 3" xfId="34811"/>
    <cellStyle name="Suma 2 8 8 4" xfId="34812"/>
    <cellStyle name="Suma 2 8 9" xfId="34813"/>
    <cellStyle name="Suma 2 8 9 2" xfId="34814"/>
    <cellStyle name="Suma 2 8 9 3" xfId="34815"/>
    <cellStyle name="Suma 2 8 9 4" xfId="34816"/>
    <cellStyle name="Suma 2 80" xfId="34817"/>
    <cellStyle name="Suma 2 80 2" xfId="34818"/>
    <cellStyle name="Suma 2 80 3" xfId="34819"/>
    <cellStyle name="Suma 2 81" xfId="34820"/>
    <cellStyle name="Suma 2 81 2" xfId="34821"/>
    <cellStyle name="Suma 2 81 3" xfId="34822"/>
    <cellStyle name="Suma 2 82" xfId="34823"/>
    <cellStyle name="Suma 2 82 2" xfId="34824"/>
    <cellStyle name="Suma 2 82 3" xfId="34825"/>
    <cellStyle name="Suma 2 83" xfId="34826"/>
    <cellStyle name="Suma 2 83 2" xfId="34827"/>
    <cellStyle name="Suma 2 83 3" xfId="34828"/>
    <cellStyle name="Suma 2 84" xfId="34829"/>
    <cellStyle name="Suma 2 84 2" xfId="34830"/>
    <cellStyle name="Suma 2 84 3" xfId="34831"/>
    <cellStyle name="Suma 2 85" xfId="34832"/>
    <cellStyle name="Suma 2 85 2" xfId="34833"/>
    <cellStyle name="Suma 2 85 3" xfId="34834"/>
    <cellStyle name="Suma 2 86" xfId="34835"/>
    <cellStyle name="Suma 2 86 2" xfId="34836"/>
    <cellStyle name="Suma 2 86 3" xfId="34837"/>
    <cellStyle name="Suma 2 87" xfId="34838"/>
    <cellStyle name="Suma 2 87 2" xfId="34839"/>
    <cellStyle name="Suma 2 87 3" xfId="34840"/>
    <cellStyle name="Suma 2 88" xfId="34841"/>
    <cellStyle name="Suma 2 89" xfId="34842"/>
    <cellStyle name="Suma 2 9" xfId="34843"/>
    <cellStyle name="Suma 2 9 10" xfId="34844"/>
    <cellStyle name="Suma 2 9 10 2" xfId="34845"/>
    <cellStyle name="Suma 2 9 10 3" xfId="34846"/>
    <cellStyle name="Suma 2 9 10 4" xfId="34847"/>
    <cellStyle name="Suma 2 9 11" xfId="34848"/>
    <cellStyle name="Suma 2 9 11 2" xfId="34849"/>
    <cellStyle name="Suma 2 9 11 3" xfId="34850"/>
    <cellStyle name="Suma 2 9 11 4" xfId="34851"/>
    <cellStyle name="Suma 2 9 12" xfId="34852"/>
    <cellStyle name="Suma 2 9 12 2" xfId="34853"/>
    <cellStyle name="Suma 2 9 12 3" xfId="34854"/>
    <cellStyle name="Suma 2 9 12 4" xfId="34855"/>
    <cellStyle name="Suma 2 9 13" xfId="34856"/>
    <cellStyle name="Suma 2 9 13 2" xfId="34857"/>
    <cellStyle name="Suma 2 9 13 3" xfId="34858"/>
    <cellStyle name="Suma 2 9 13 4" xfId="34859"/>
    <cellStyle name="Suma 2 9 14" xfId="34860"/>
    <cellStyle name="Suma 2 9 14 2" xfId="34861"/>
    <cellStyle name="Suma 2 9 14 3" xfId="34862"/>
    <cellStyle name="Suma 2 9 14 4" xfId="34863"/>
    <cellStyle name="Suma 2 9 15" xfId="34864"/>
    <cellStyle name="Suma 2 9 15 2" xfId="34865"/>
    <cellStyle name="Suma 2 9 15 3" xfId="34866"/>
    <cellStyle name="Suma 2 9 15 4" xfId="34867"/>
    <cellStyle name="Suma 2 9 16" xfId="34868"/>
    <cellStyle name="Suma 2 9 16 2" xfId="34869"/>
    <cellStyle name="Suma 2 9 16 3" xfId="34870"/>
    <cellStyle name="Suma 2 9 16 4" xfId="34871"/>
    <cellStyle name="Suma 2 9 17" xfId="34872"/>
    <cellStyle name="Suma 2 9 17 2" xfId="34873"/>
    <cellStyle name="Suma 2 9 17 3" xfId="34874"/>
    <cellStyle name="Suma 2 9 17 4" xfId="34875"/>
    <cellStyle name="Suma 2 9 18" xfId="34876"/>
    <cellStyle name="Suma 2 9 18 2" xfId="34877"/>
    <cellStyle name="Suma 2 9 18 3" xfId="34878"/>
    <cellStyle name="Suma 2 9 18 4" xfId="34879"/>
    <cellStyle name="Suma 2 9 19" xfId="34880"/>
    <cellStyle name="Suma 2 9 19 2" xfId="34881"/>
    <cellStyle name="Suma 2 9 19 3" xfId="34882"/>
    <cellStyle name="Suma 2 9 19 4" xfId="34883"/>
    <cellStyle name="Suma 2 9 2" xfId="34884"/>
    <cellStyle name="Suma 2 9 2 2" xfId="34885"/>
    <cellStyle name="Suma 2 9 2 3" xfId="34886"/>
    <cellStyle name="Suma 2 9 2 4" xfId="34887"/>
    <cellStyle name="Suma 2 9 20" xfId="34888"/>
    <cellStyle name="Suma 2 9 20 2" xfId="34889"/>
    <cellStyle name="Suma 2 9 20 3" xfId="34890"/>
    <cellStyle name="Suma 2 9 20 4" xfId="34891"/>
    <cellStyle name="Suma 2 9 21" xfId="34892"/>
    <cellStyle name="Suma 2 9 21 2" xfId="34893"/>
    <cellStyle name="Suma 2 9 21 3" xfId="34894"/>
    <cellStyle name="Suma 2 9 22" xfId="34895"/>
    <cellStyle name="Suma 2 9 22 2" xfId="34896"/>
    <cellStyle name="Suma 2 9 22 3" xfId="34897"/>
    <cellStyle name="Suma 2 9 23" xfId="34898"/>
    <cellStyle name="Suma 2 9 23 2" xfId="34899"/>
    <cellStyle name="Suma 2 9 23 3" xfId="34900"/>
    <cellStyle name="Suma 2 9 24" xfId="34901"/>
    <cellStyle name="Suma 2 9 24 2" xfId="34902"/>
    <cellStyle name="Suma 2 9 24 3" xfId="34903"/>
    <cellStyle name="Suma 2 9 25" xfId="34904"/>
    <cellStyle name="Suma 2 9 25 2" xfId="34905"/>
    <cellStyle name="Suma 2 9 25 3" xfId="34906"/>
    <cellStyle name="Suma 2 9 26" xfId="34907"/>
    <cellStyle name="Suma 2 9 26 2" xfId="34908"/>
    <cellStyle name="Suma 2 9 26 3" xfId="34909"/>
    <cellStyle name="Suma 2 9 27" xfId="34910"/>
    <cellStyle name="Suma 2 9 27 2" xfId="34911"/>
    <cellStyle name="Suma 2 9 27 3" xfId="34912"/>
    <cellStyle name="Suma 2 9 28" xfId="34913"/>
    <cellStyle name="Suma 2 9 28 2" xfId="34914"/>
    <cellStyle name="Suma 2 9 28 3" xfId="34915"/>
    <cellStyle name="Suma 2 9 29" xfId="34916"/>
    <cellStyle name="Suma 2 9 29 2" xfId="34917"/>
    <cellStyle name="Suma 2 9 29 3" xfId="34918"/>
    <cellStyle name="Suma 2 9 3" xfId="34919"/>
    <cellStyle name="Suma 2 9 3 2" xfId="34920"/>
    <cellStyle name="Suma 2 9 3 3" xfId="34921"/>
    <cellStyle name="Suma 2 9 3 4" xfId="34922"/>
    <cellStyle name="Suma 2 9 30" xfId="34923"/>
    <cellStyle name="Suma 2 9 30 2" xfId="34924"/>
    <cellStyle name="Suma 2 9 30 3" xfId="34925"/>
    <cellStyle name="Suma 2 9 31" xfId="34926"/>
    <cellStyle name="Suma 2 9 31 2" xfId="34927"/>
    <cellStyle name="Suma 2 9 31 3" xfId="34928"/>
    <cellStyle name="Suma 2 9 32" xfId="34929"/>
    <cellStyle name="Suma 2 9 32 2" xfId="34930"/>
    <cellStyle name="Suma 2 9 32 3" xfId="34931"/>
    <cellStyle name="Suma 2 9 33" xfId="34932"/>
    <cellStyle name="Suma 2 9 33 2" xfId="34933"/>
    <cellStyle name="Suma 2 9 33 3" xfId="34934"/>
    <cellStyle name="Suma 2 9 34" xfId="34935"/>
    <cellStyle name="Suma 2 9 34 2" xfId="34936"/>
    <cellStyle name="Suma 2 9 34 3" xfId="34937"/>
    <cellStyle name="Suma 2 9 35" xfId="34938"/>
    <cellStyle name="Suma 2 9 35 2" xfId="34939"/>
    <cellStyle name="Suma 2 9 35 3" xfId="34940"/>
    <cellStyle name="Suma 2 9 36" xfId="34941"/>
    <cellStyle name="Suma 2 9 36 2" xfId="34942"/>
    <cellStyle name="Suma 2 9 36 3" xfId="34943"/>
    <cellStyle name="Suma 2 9 37" xfId="34944"/>
    <cellStyle name="Suma 2 9 37 2" xfId="34945"/>
    <cellStyle name="Suma 2 9 37 3" xfId="34946"/>
    <cellStyle name="Suma 2 9 38" xfId="34947"/>
    <cellStyle name="Suma 2 9 38 2" xfId="34948"/>
    <cellStyle name="Suma 2 9 38 3" xfId="34949"/>
    <cellStyle name="Suma 2 9 39" xfId="34950"/>
    <cellStyle name="Suma 2 9 39 2" xfId="34951"/>
    <cellStyle name="Suma 2 9 39 3" xfId="34952"/>
    <cellStyle name="Suma 2 9 4" xfId="34953"/>
    <cellStyle name="Suma 2 9 4 2" xfId="34954"/>
    <cellStyle name="Suma 2 9 4 3" xfId="34955"/>
    <cellStyle name="Suma 2 9 4 4" xfId="34956"/>
    <cellStyle name="Suma 2 9 40" xfId="34957"/>
    <cellStyle name="Suma 2 9 40 2" xfId="34958"/>
    <cellStyle name="Suma 2 9 40 3" xfId="34959"/>
    <cellStyle name="Suma 2 9 41" xfId="34960"/>
    <cellStyle name="Suma 2 9 41 2" xfId="34961"/>
    <cellStyle name="Suma 2 9 41 3" xfId="34962"/>
    <cellStyle name="Suma 2 9 42" xfId="34963"/>
    <cellStyle name="Suma 2 9 42 2" xfId="34964"/>
    <cellStyle name="Suma 2 9 42 3" xfId="34965"/>
    <cellStyle name="Suma 2 9 43" xfId="34966"/>
    <cellStyle name="Suma 2 9 43 2" xfId="34967"/>
    <cellStyle name="Suma 2 9 43 3" xfId="34968"/>
    <cellStyle name="Suma 2 9 44" xfId="34969"/>
    <cellStyle name="Suma 2 9 44 2" xfId="34970"/>
    <cellStyle name="Suma 2 9 44 3" xfId="34971"/>
    <cellStyle name="Suma 2 9 45" xfId="34972"/>
    <cellStyle name="Suma 2 9 45 2" xfId="34973"/>
    <cellStyle name="Suma 2 9 45 3" xfId="34974"/>
    <cellStyle name="Suma 2 9 46" xfId="34975"/>
    <cellStyle name="Suma 2 9 46 2" xfId="34976"/>
    <cellStyle name="Suma 2 9 46 3" xfId="34977"/>
    <cellStyle name="Suma 2 9 47" xfId="34978"/>
    <cellStyle name="Suma 2 9 47 2" xfId="34979"/>
    <cellStyle name="Suma 2 9 47 3" xfId="34980"/>
    <cellStyle name="Suma 2 9 48" xfId="34981"/>
    <cellStyle name="Suma 2 9 48 2" xfId="34982"/>
    <cellStyle name="Suma 2 9 48 3" xfId="34983"/>
    <cellStyle name="Suma 2 9 49" xfId="34984"/>
    <cellStyle name="Suma 2 9 49 2" xfId="34985"/>
    <cellStyle name="Suma 2 9 49 3" xfId="34986"/>
    <cellStyle name="Suma 2 9 5" xfId="34987"/>
    <cellStyle name="Suma 2 9 5 2" xfId="34988"/>
    <cellStyle name="Suma 2 9 5 3" xfId="34989"/>
    <cellStyle name="Suma 2 9 5 4" xfId="34990"/>
    <cellStyle name="Suma 2 9 50" xfId="34991"/>
    <cellStyle name="Suma 2 9 50 2" xfId="34992"/>
    <cellStyle name="Suma 2 9 50 3" xfId="34993"/>
    <cellStyle name="Suma 2 9 51" xfId="34994"/>
    <cellStyle name="Suma 2 9 51 2" xfId="34995"/>
    <cellStyle name="Suma 2 9 51 3" xfId="34996"/>
    <cellStyle name="Suma 2 9 52" xfId="34997"/>
    <cellStyle name="Suma 2 9 52 2" xfId="34998"/>
    <cellStyle name="Suma 2 9 52 3" xfId="34999"/>
    <cellStyle name="Suma 2 9 53" xfId="35000"/>
    <cellStyle name="Suma 2 9 53 2" xfId="35001"/>
    <cellStyle name="Suma 2 9 53 3" xfId="35002"/>
    <cellStyle name="Suma 2 9 54" xfId="35003"/>
    <cellStyle name="Suma 2 9 54 2" xfId="35004"/>
    <cellStyle name="Suma 2 9 54 3" xfId="35005"/>
    <cellStyle name="Suma 2 9 55" xfId="35006"/>
    <cellStyle name="Suma 2 9 55 2" xfId="35007"/>
    <cellStyle name="Suma 2 9 55 3" xfId="35008"/>
    <cellStyle name="Suma 2 9 56" xfId="35009"/>
    <cellStyle name="Suma 2 9 56 2" xfId="35010"/>
    <cellStyle name="Suma 2 9 56 3" xfId="35011"/>
    <cellStyle name="Suma 2 9 57" xfId="35012"/>
    <cellStyle name="Suma 2 9 58" xfId="35013"/>
    <cellStyle name="Suma 2 9 6" xfId="35014"/>
    <cellStyle name="Suma 2 9 6 2" xfId="35015"/>
    <cellStyle name="Suma 2 9 6 3" xfId="35016"/>
    <cellStyle name="Suma 2 9 6 4" xfId="35017"/>
    <cellStyle name="Suma 2 9 7" xfId="35018"/>
    <cellStyle name="Suma 2 9 7 2" xfId="35019"/>
    <cellStyle name="Suma 2 9 7 3" xfId="35020"/>
    <cellStyle name="Suma 2 9 7 4" xfId="35021"/>
    <cellStyle name="Suma 2 9 8" xfId="35022"/>
    <cellStyle name="Suma 2 9 8 2" xfId="35023"/>
    <cellStyle name="Suma 2 9 8 3" xfId="35024"/>
    <cellStyle name="Suma 2 9 8 4" xfId="35025"/>
    <cellStyle name="Suma 2 9 9" xfId="35026"/>
    <cellStyle name="Suma 2 9 9 2" xfId="35027"/>
    <cellStyle name="Suma 2 9 9 3" xfId="35028"/>
    <cellStyle name="Suma 2 9 9 4" xfId="35029"/>
    <cellStyle name="Suma 3" xfId="35030"/>
    <cellStyle name="Suma 3 2" xfId="35031"/>
    <cellStyle name="Suma 3 2 2" xfId="35032"/>
    <cellStyle name="Suma 3 3" xfId="35033"/>
    <cellStyle name="Suma 3 4" xfId="35034"/>
    <cellStyle name="Suma 3 5" xfId="35035"/>
    <cellStyle name="Suma 3 6" xfId="35036"/>
    <cellStyle name="Suma 3 7" xfId="35037"/>
    <cellStyle name="Suma 3 8" xfId="35038"/>
    <cellStyle name="Suma 3 9" xfId="35039"/>
    <cellStyle name="Suma 4" xfId="35040"/>
    <cellStyle name="Suma 4 2" xfId="35041"/>
    <cellStyle name="Suma 4 3" xfId="35042"/>
    <cellStyle name="Suma 4 4" xfId="35043"/>
    <cellStyle name="Suma 4 5" xfId="35044"/>
    <cellStyle name="Suma 4 6" xfId="35045"/>
    <cellStyle name="Suma 4 7" xfId="35046"/>
    <cellStyle name="Suma 4 8" xfId="35047"/>
    <cellStyle name="Suma 4 9" xfId="35048"/>
    <cellStyle name="Suma 5" xfId="35049"/>
    <cellStyle name="Suma 5 2" xfId="35050"/>
    <cellStyle name="Suma 5 3" xfId="35051"/>
    <cellStyle name="Suma 6" xfId="35052"/>
    <cellStyle name="Suma 6 2" xfId="35053"/>
    <cellStyle name="Suma 7" xfId="35054"/>
    <cellStyle name="Tekst objaśnienia 2" xfId="35055"/>
    <cellStyle name="Tekst objaśnienia 2 10" xfId="35056"/>
    <cellStyle name="Tekst objaśnienia 2 10 2" xfId="35057"/>
    <cellStyle name="Tekst objaśnienia 2 10 3" xfId="35058"/>
    <cellStyle name="Tekst objaśnienia 2 10 4" xfId="35059"/>
    <cellStyle name="Tekst objaśnienia 2 10 5" xfId="35060"/>
    <cellStyle name="Tekst objaśnienia 2 10 6" xfId="35061"/>
    <cellStyle name="Tekst objaśnienia 2 10 7" xfId="35062"/>
    <cellStyle name="Tekst objaśnienia 2 11" xfId="35063"/>
    <cellStyle name="Tekst objaśnienia 2 11 2" xfId="35064"/>
    <cellStyle name="Tekst objaśnienia 2 11 3" xfId="35065"/>
    <cellStyle name="Tekst objaśnienia 2 11 4" xfId="35066"/>
    <cellStyle name="Tekst objaśnienia 2 11 5" xfId="35067"/>
    <cellStyle name="Tekst objaśnienia 2 11 6" xfId="35068"/>
    <cellStyle name="Tekst objaśnienia 2 11 7" xfId="35069"/>
    <cellStyle name="Tekst objaśnienia 2 12" xfId="35070"/>
    <cellStyle name="Tekst objaśnienia 2 12 2" xfId="35071"/>
    <cellStyle name="Tekst objaśnienia 2 12 3" xfId="35072"/>
    <cellStyle name="Tekst objaśnienia 2 12 4" xfId="35073"/>
    <cellStyle name="Tekst objaśnienia 2 12 5" xfId="35074"/>
    <cellStyle name="Tekst objaśnienia 2 12 6" xfId="35075"/>
    <cellStyle name="Tekst objaśnienia 2 12 7" xfId="35076"/>
    <cellStyle name="Tekst objaśnienia 2 13" xfId="35077"/>
    <cellStyle name="Tekst objaśnienia 2 13 2" xfId="35078"/>
    <cellStyle name="Tekst objaśnienia 2 13 3" xfId="35079"/>
    <cellStyle name="Tekst objaśnienia 2 13 4" xfId="35080"/>
    <cellStyle name="Tekst objaśnienia 2 13 5" xfId="35081"/>
    <cellStyle name="Tekst objaśnienia 2 13 6" xfId="35082"/>
    <cellStyle name="Tekst objaśnienia 2 13 7" xfId="35083"/>
    <cellStyle name="Tekst objaśnienia 2 14" xfId="35084"/>
    <cellStyle name="Tekst objaśnienia 2 14 2" xfId="35085"/>
    <cellStyle name="Tekst objaśnienia 2 14 3" xfId="35086"/>
    <cellStyle name="Tekst objaśnienia 2 14 4" xfId="35087"/>
    <cellStyle name="Tekst objaśnienia 2 14 5" xfId="35088"/>
    <cellStyle name="Tekst objaśnienia 2 14 6" xfId="35089"/>
    <cellStyle name="Tekst objaśnienia 2 14 7" xfId="35090"/>
    <cellStyle name="Tekst objaśnienia 2 15" xfId="35091"/>
    <cellStyle name="Tekst objaśnienia 2 15 2" xfId="35092"/>
    <cellStyle name="Tekst objaśnienia 2 15 3" xfId="35093"/>
    <cellStyle name="Tekst objaśnienia 2 15 4" xfId="35094"/>
    <cellStyle name="Tekst objaśnienia 2 15 5" xfId="35095"/>
    <cellStyle name="Tekst objaśnienia 2 15 6" xfId="35096"/>
    <cellStyle name="Tekst objaśnienia 2 15 7" xfId="35097"/>
    <cellStyle name="Tekst objaśnienia 2 16" xfId="35098"/>
    <cellStyle name="Tekst objaśnienia 2 16 2" xfId="35099"/>
    <cellStyle name="Tekst objaśnienia 2 16 3" xfId="35100"/>
    <cellStyle name="Tekst objaśnienia 2 16 4" xfId="35101"/>
    <cellStyle name="Tekst objaśnienia 2 16 5" xfId="35102"/>
    <cellStyle name="Tekst objaśnienia 2 16 6" xfId="35103"/>
    <cellStyle name="Tekst objaśnienia 2 16 7" xfId="35104"/>
    <cellStyle name="Tekst objaśnienia 2 17" xfId="35105"/>
    <cellStyle name="Tekst objaśnienia 2 17 2" xfId="35106"/>
    <cellStyle name="Tekst objaśnienia 2 17 3" xfId="35107"/>
    <cellStyle name="Tekst objaśnienia 2 17 4" xfId="35108"/>
    <cellStyle name="Tekst objaśnienia 2 17 5" xfId="35109"/>
    <cellStyle name="Tekst objaśnienia 2 17 6" xfId="35110"/>
    <cellStyle name="Tekst objaśnienia 2 17 7" xfId="35111"/>
    <cellStyle name="Tekst objaśnienia 2 18" xfId="35112"/>
    <cellStyle name="Tekst objaśnienia 2 18 2" xfId="35113"/>
    <cellStyle name="Tekst objaśnienia 2 18 3" xfId="35114"/>
    <cellStyle name="Tekst objaśnienia 2 18 4" xfId="35115"/>
    <cellStyle name="Tekst objaśnienia 2 18 5" xfId="35116"/>
    <cellStyle name="Tekst objaśnienia 2 18 6" xfId="35117"/>
    <cellStyle name="Tekst objaśnienia 2 18 7" xfId="35118"/>
    <cellStyle name="Tekst objaśnienia 2 19" xfId="35119"/>
    <cellStyle name="Tekst objaśnienia 2 19 2" xfId="35120"/>
    <cellStyle name="Tekst objaśnienia 2 19 3" xfId="35121"/>
    <cellStyle name="Tekst objaśnienia 2 19 4" xfId="35122"/>
    <cellStyle name="Tekst objaśnienia 2 19 5" xfId="35123"/>
    <cellStyle name="Tekst objaśnienia 2 19 6" xfId="35124"/>
    <cellStyle name="Tekst objaśnienia 2 19 7" xfId="35125"/>
    <cellStyle name="Tekst objaśnienia 2 2" xfId="35126"/>
    <cellStyle name="Tekst objaśnienia 2 2 2" xfId="35127"/>
    <cellStyle name="Tekst objaśnienia 2 2 3" xfId="35128"/>
    <cellStyle name="Tekst objaśnienia 2 2 4" xfId="35129"/>
    <cellStyle name="Tekst objaśnienia 2 2 5" xfId="35130"/>
    <cellStyle name="Tekst objaśnienia 2 2 6" xfId="35131"/>
    <cellStyle name="Tekst objaśnienia 2 2 7" xfId="35132"/>
    <cellStyle name="Tekst objaśnienia 2 2 8" xfId="35133"/>
    <cellStyle name="Tekst objaśnienia 2 20" xfId="35134"/>
    <cellStyle name="Tekst objaśnienia 2 20 2" xfId="35135"/>
    <cellStyle name="Tekst objaśnienia 2 20 3" xfId="35136"/>
    <cellStyle name="Tekst objaśnienia 2 20 4" xfId="35137"/>
    <cellStyle name="Tekst objaśnienia 2 20 5" xfId="35138"/>
    <cellStyle name="Tekst objaśnienia 2 20 6" xfId="35139"/>
    <cellStyle name="Tekst objaśnienia 2 20 7" xfId="35140"/>
    <cellStyle name="Tekst objaśnienia 2 21" xfId="35141"/>
    <cellStyle name="Tekst objaśnienia 2 21 2" xfId="35142"/>
    <cellStyle name="Tekst objaśnienia 2 21 3" xfId="35143"/>
    <cellStyle name="Tekst objaśnienia 2 21 4" xfId="35144"/>
    <cellStyle name="Tekst objaśnienia 2 21 5" xfId="35145"/>
    <cellStyle name="Tekst objaśnienia 2 21 6" xfId="35146"/>
    <cellStyle name="Tekst objaśnienia 2 21 7" xfId="35147"/>
    <cellStyle name="Tekst objaśnienia 2 22" xfId="35148"/>
    <cellStyle name="Tekst objaśnienia 2 22 2" xfId="35149"/>
    <cellStyle name="Tekst objaśnienia 2 22 3" xfId="35150"/>
    <cellStyle name="Tekst objaśnienia 2 22 4" xfId="35151"/>
    <cellStyle name="Tekst objaśnienia 2 22 5" xfId="35152"/>
    <cellStyle name="Tekst objaśnienia 2 22 6" xfId="35153"/>
    <cellStyle name="Tekst objaśnienia 2 22 7" xfId="35154"/>
    <cellStyle name="Tekst objaśnienia 2 23" xfId="35155"/>
    <cellStyle name="Tekst objaśnienia 2 23 2" xfId="35156"/>
    <cellStyle name="Tekst objaśnienia 2 23 3" xfId="35157"/>
    <cellStyle name="Tekst objaśnienia 2 23 4" xfId="35158"/>
    <cellStyle name="Tekst objaśnienia 2 23 5" xfId="35159"/>
    <cellStyle name="Tekst objaśnienia 2 23 6" xfId="35160"/>
    <cellStyle name="Tekst objaśnienia 2 23 7" xfId="35161"/>
    <cellStyle name="Tekst objaśnienia 2 24" xfId="35162"/>
    <cellStyle name="Tekst objaśnienia 2 24 2" xfId="35163"/>
    <cellStyle name="Tekst objaśnienia 2 24 3" xfId="35164"/>
    <cellStyle name="Tekst objaśnienia 2 24 4" xfId="35165"/>
    <cellStyle name="Tekst objaśnienia 2 24 5" xfId="35166"/>
    <cellStyle name="Tekst objaśnienia 2 24 6" xfId="35167"/>
    <cellStyle name="Tekst objaśnienia 2 24 7" xfId="35168"/>
    <cellStyle name="Tekst objaśnienia 2 25" xfId="35169"/>
    <cellStyle name="Tekst objaśnienia 2 25 2" xfId="35170"/>
    <cellStyle name="Tekst objaśnienia 2 25 3" xfId="35171"/>
    <cellStyle name="Tekst objaśnienia 2 25 4" xfId="35172"/>
    <cellStyle name="Tekst objaśnienia 2 25 5" xfId="35173"/>
    <cellStyle name="Tekst objaśnienia 2 25 6" xfId="35174"/>
    <cellStyle name="Tekst objaśnienia 2 25 7" xfId="35175"/>
    <cellStyle name="Tekst objaśnienia 2 26" xfId="35176"/>
    <cellStyle name="Tekst objaśnienia 2 26 2" xfId="35177"/>
    <cellStyle name="Tekst objaśnienia 2 26 3" xfId="35178"/>
    <cellStyle name="Tekst objaśnienia 2 26 4" xfId="35179"/>
    <cellStyle name="Tekst objaśnienia 2 26 5" xfId="35180"/>
    <cellStyle name="Tekst objaśnienia 2 26 6" xfId="35181"/>
    <cellStyle name="Tekst objaśnienia 2 26 7" xfId="35182"/>
    <cellStyle name="Tekst objaśnienia 2 27" xfId="35183"/>
    <cellStyle name="Tekst objaśnienia 2 27 2" xfId="35184"/>
    <cellStyle name="Tekst objaśnienia 2 27 3" xfId="35185"/>
    <cellStyle name="Tekst objaśnienia 2 27 4" xfId="35186"/>
    <cellStyle name="Tekst objaśnienia 2 27 5" xfId="35187"/>
    <cellStyle name="Tekst objaśnienia 2 27 6" xfId="35188"/>
    <cellStyle name="Tekst objaśnienia 2 27 7" xfId="35189"/>
    <cellStyle name="Tekst objaśnienia 2 28" xfId="35190"/>
    <cellStyle name="Tekst objaśnienia 2 28 2" xfId="35191"/>
    <cellStyle name="Tekst objaśnienia 2 28 3" xfId="35192"/>
    <cellStyle name="Tekst objaśnienia 2 28 4" xfId="35193"/>
    <cellStyle name="Tekst objaśnienia 2 28 5" xfId="35194"/>
    <cellStyle name="Tekst objaśnienia 2 28 6" xfId="35195"/>
    <cellStyle name="Tekst objaśnienia 2 28 7" xfId="35196"/>
    <cellStyle name="Tekst objaśnienia 2 29" xfId="35197"/>
    <cellStyle name="Tekst objaśnienia 2 29 2" xfId="35198"/>
    <cellStyle name="Tekst objaśnienia 2 3" xfId="35199"/>
    <cellStyle name="Tekst objaśnienia 2 3 2" xfId="35200"/>
    <cellStyle name="Tekst objaśnienia 2 3 3" xfId="35201"/>
    <cellStyle name="Tekst objaśnienia 2 3 4" xfId="35202"/>
    <cellStyle name="Tekst objaśnienia 2 3 5" xfId="35203"/>
    <cellStyle name="Tekst objaśnienia 2 3 6" xfId="35204"/>
    <cellStyle name="Tekst objaśnienia 2 3 7" xfId="35205"/>
    <cellStyle name="Tekst objaśnienia 2 30" xfId="35206"/>
    <cellStyle name="Tekst objaśnienia 2 30 2" xfId="35207"/>
    <cellStyle name="Tekst objaśnienia 2 31" xfId="35208"/>
    <cellStyle name="Tekst objaśnienia 2 31 2" xfId="35209"/>
    <cellStyle name="Tekst objaśnienia 2 32" xfId="35210"/>
    <cellStyle name="Tekst objaśnienia 2 32 2" xfId="35211"/>
    <cellStyle name="Tekst objaśnienia 2 33" xfId="35212"/>
    <cellStyle name="Tekst objaśnienia 2 34" xfId="35213"/>
    <cellStyle name="Tekst objaśnienia 2 35" xfId="35214"/>
    <cellStyle name="Tekst objaśnienia 2 36" xfId="35215"/>
    <cellStyle name="Tekst objaśnienia 2 37" xfId="35216"/>
    <cellStyle name="Tekst objaśnienia 2 38" xfId="35217"/>
    <cellStyle name="Tekst objaśnienia 2 39" xfId="35218"/>
    <cellStyle name="Tekst objaśnienia 2 4" xfId="35219"/>
    <cellStyle name="Tekst objaśnienia 2 4 2" xfId="35220"/>
    <cellStyle name="Tekst objaśnienia 2 4 3" xfId="35221"/>
    <cellStyle name="Tekst objaśnienia 2 4 4" xfId="35222"/>
    <cellStyle name="Tekst objaśnienia 2 4 5" xfId="35223"/>
    <cellStyle name="Tekst objaśnienia 2 4 6" xfId="35224"/>
    <cellStyle name="Tekst objaśnienia 2 4 7" xfId="35225"/>
    <cellStyle name="Tekst objaśnienia 2 5" xfId="35226"/>
    <cellStyle name="Tekst objaśnienia 2 5 2" xfId="35227"/>
    <cellStyle name="Tekst objaśnienia 2 5 3" xfId="35228"/>
    <cellStyle name="Tekst objaśnienia 2 5 4" xfId="35229"/>
    <cellStyle name="Tekst objaśnienia 2 5 5" xfId="35230"/>
    <cellStyle name="Tekst objaśnienia 2 5 6" xfId="35231"/>
    <cellStyle name="Tekst objaśnienia 2 5 7" xfId="35232"/>
    <cellStyle name="Tekst objaśnienia 2 6" xfId="35233"/>
    <cellStyle name="Tekst objaśnienia 2 6 2" xfId="35234"/>
    <cellStyle name="Tekst objaśnienia 2 6 3" xfId="35235"/>
    <cellStyle name="Tekst objaśnienia 2 6 4" xfId="35236"/>
    <cellStyle name="Tekst objaśnienia 2 6 5" xfId="35237"/>
    <cellStyle name="Tekst objaśnienia 2 6 6" xfId="35238"/>
    <cellStyle name="Tekst objaśnienia 2 6 7" xfId="35239"/>
    <cellStyle name="Tekst objaśnienia 2 7" xfId="35240"/>
    <cellStyle name="Tekst objaśnienia 2 7 2" xfId="35241"/>
    <cellStyle name="Tekst objaśnienia 2 7 3" xfId="35242"/>
    <cellStyle name="Tekst objaśnienia 2 7 4" xfId="35243"/>
    <cellStyle name="Tekst objaśnienia 2 7 5" xfId="35244"/>
    <cellStyle name="Tekst objaśnienia 2 7 6" xfId="35245"/>
    <cellStyle name="Tekst objaśnienia 2 7 7" xfId="35246"/>
    <cellStyle name="Tekst objaśnienia 2 8" xfId="35247"/>
    <cellStyle name="Tekst objaśnienia 2 8 2" xfId="35248"/>
    <cellStyle name="Tekst objaśnienia 2 8 3" xfId="35249"/>
    <cellStyle name="Tekst objaśnienia 2 8 4" xfId="35250"/>
    <cellStyle name="Tekst objaśnienia 2 8 5" xfId="35251"/>
    <cellStyle name="Tekst objaśnienia 2 8 6" xfId="35252"/>
    <cellStyle name="Tekst objaśnienia 2 8 7" xfId="35253"/>
    <cellStyle name="Tekst objaśnienia 2 9" xfId="35254"/>
    <cellStyle name="Tekst objaśnienia 2 9 2" xfId="35255"/>
    <cellStyle name="Tekst objaśnienia 2 9 3" xfId="35256"/>
    <cellStyle name="Tekst objaśnienia 2 9 4" xfId="35257"/>
    <cellStyle name="Tekst objaśnienia 2 9 5" xfId="35258"/>
    <cellStyle name="Tekst objaśnienia 2 9 6" xfId="35259"/>
    <cellStyle name="Tekst objaśnienia 2 9 7" xfId="35260"/>
    <cellStyle name="Tekst objaśnienia 3" xfId="35261"/>
    <cellStyle name="Tekst objaśnienia 3 2" xfId="35262"/>
    <cellStyle name="Tekst objaśnienia 3 2 2" xfId="35263"/>
    <cellStyle name="Tekst objaśnienia 3 3" xfId="35264"/>
    <cellStyle name="Tekst objaśnienia 3 4" xfId="35265"/>
    <cellStyle name="Tekst objaśnienia 3 5" xfId="35266"/>
    <cellStyle name="Tekst objaśnienia 3 6" xfId="35267"/>
    <cellStyle name="Tekst objaśnienia 3 7" xfId="35268"/>
    <cellStyle name="Tekst objaśnienia 3 8" xfId="35269"/>
    <cellStyle name="Tekst objaśnienia 3 9" xfId="35270"/>
    <cellStyle name="Tekst objaśnienia 4" xfId="35271"/>
    <cellStyle name="Tekst objaśnienia 4 2" xfId="35272"/>
    <cellStyle name="Tekst objaśnienia 4 3" xfId="35273"/>
    <cellStyle name="Tekst objaśnienia 4 4" xfId="35274"/>
    <cellStyle name="Tekst objaśnienia 4 5" xfId="35275"/>
    <cellStyle name="Tekst objaśnienia 4 6" xfId="35276"/>
    <cellStyle name="Tekst objaśnienia 4 7" xfId="35277"/>
    <cellStyle name="Tekst objaśnienia 4 8" xfId="35278"/>
    <cellStyle name="Tekst objaśnienia 4 9" xfId="35279"/>
    <cellStyle name="Tekst objaśnienia 5" xfId="35280"/>
    <cellStyle name="Tekst objaśnienia 5 2" xfId="35281"/>
    <cellStyle name="Tekst objaśnienia 5 3" xfId="35282"/>
    <cellStyle name="Tekst objaśnienia 6" xfId="35283"/>
    <cellStyle name="Tekst objaśnienia 6 2" xfId="35284"/>
    <cellStyle name="Tekst objaśnienia 7" xfId="35285"/>
    <cellStyle name="Tekst ostrzeżenia 2" xfId="35286"/>
    <cellStyle name="Tekst ostrzeżenia 2 10" xfId="35287"/>
    <cellStyle name="Tekst ostrzeżenia 2 10 2" xfId="35288"/>
    <cellStyle name="Tekst ostrzeżenia 2 10 3" xfId="35289"/>
    <cellStyle name="Tekst ostrzeżenia 2 10 4" xfId="35290"/>
    <cellStyle name="Tekst ostrzeżenia 2 10 5" xfId="35291"/>
    <cellStyle name="Tekst ostrzeżenia 2 10 6" xfId="35292"/>
    <cellStyle name="Tekst ostrzeżenia 2 10 7" xfId="35293"/>
    <cellStyle name="Tekst ostrzeżenia 2 11" xfId="35294"/>
    <cellStyle name="Tekst ostrzeżenia 2 11 2" xfId="35295"/>
    <cellStyle name="Tekst ostrzeżenia 2 11 3" xfId="35296"/>
    <cellStyle name="Tekst ostrzeżenia 2 11 4" xfId="35297"/>
    <cellStyle name="Tekst ostrzeżenia 2 11 5" xfId="35298"/>
    <cellStyle name="Tekst ostrzeżenia 2 11 6" xfId="35299"/>
    <cellStyle name="Tekst ostrzeżenia 2 11 7" xfId="35300"/>
    <cellStyle name="Tekst ostrzeżenia 2 12" xfId="35301"/>
    <cellStyle name="Tekst ostrzeżenia 2 12 2" xfId="35302"/>
    <cellStyle name="Tekst ostrzeżenia 2 12 3" xfId="35303"/>
    <cellStyle name="Tekst ostrzeżenia 2 12 4" xfId="35304"/>
    <cellStyle name="Tekst ostrzeżenia 2 12 5" xfId="35305"/>
    <cellStyle name="Tekst ostrzeżenia 2 12 6" xfId="35306"/>
    <cellStyle name="Tekst ostrzeżenia 2 12 7" xfId="35307"/>
    <cellStyle name="Tekst ostrzeżenia 2 13" xfId="35308"/>
    <cellStyle name="Tekst ostrzeżenia 2 13 2" xfId="35309"/>
    <cellStyle name="Tekst ostrzeżenia 2 13 3" xfId="35310"/>
    <cellStyle name="Tekst ostrzeżenia 2 13 4" xfId="35311"/>
    <cellStyle name="Tekst ostrzeżenia 2 13 5" xfId="35312"/>
    <cellStyle name="Tekst ostrzeżenia 2 13 6" xfId="35313"/>
    <cellStyle name="Tekst ostrzeżenia 2 13 7" xfId="35314"/>
    <cellStyle name="Tekst ostrzeżenia 2 14" xfId="35315"/>
    <cellStyle name="Tekst ostrzeżenia 2 14 2" xfId="35316"/>
    <cellStyle name="Tekst ostrzeżenia 2 14 3" xfId="35317"/>
    <cellStyle name="Tekst ostrzeżenia 2 14 4" xfId="35318"/>
    <cellStyle name="Tekst ostrzeżenia 2 14 5" xfId="35319"/>
    <cellStyle name="Tekst ostrzeżenia 2 14 6" xfId="35320"/>
    <cellStyle name="Tekst ostrzeżenia 2 14 7" xfId="35321"/>
    <cellStyle name="Tekst ostrzeżenia 2 15" xfId="35322"/>
    <cellStyle name="Tekst ostrzeżenia 2 15 2" xfId="35323"/>
    <cellStyle name="Tekst ostrzeżenia 2 15 3" xfId="35324"/>
    <cellStyle name="Tekst ostrzeżenia 2 15 4" xfId="35325"/>
    <cellStyle name="Tekst ostrzeżenia 2 15 5" xfId="35326"/>
    <cellStyle name="Tekst ostrzeżenia 2 15 6" xfId="35327"/>
    <cellStyle name="Tekst ostrzeżenia 2 15 7" xfId="35328"/>
    <cellStyle name="Tekst ostrzeżenia 2 16" xfId="35329"/>
    <cellStyle name="Tekst ostrzeżenia 2 16 2" xfId="35330"/>
    <cellStyle name="Tekst ostrzeżenia 2 16 3" xfId="35331"/>
    <cellStyle name="Tekst ostrzeżenia 2 16 4" xfId="35332"/>
    <cellStyle name="Tekst ostrzeżenia 2 16 5" xfId="35333"/>
    <cellStyle name="Tekst ostrzeżenia 2 16 6" xfId="35334"/>
    <cellStyle name="Tekst ostrzeżenia 2 16 7" xfId="35335"/>
    <cellStyle name="Tekst ostrzeżenia 2 17" xfId="35336"/>
    <cellStyle name="Tekst ostrzeżenia 2 17 2" xfId="35337"/>
    <cellStyle name="Tekst ostrzeżenia 2 17 3" xfId="35338"/>
    <cellStyle name="Tekst ostrzeżenia 2 17 4" xfId="35339"/>
    <cellStyle name="Tekst ostrzeżenia 2 17 5" xfId="35340"/>
    <cellStyle name="Tekst ostrzeżenia 2 17 6" xfId="35341"/>
    <cellStyle name="Tekst ostrzeżenia 2 17 7" xfId="35342"/>
    <cellStyle name="Tekst ostrzeżenia 2 18" xfId="35343"/>
    <cellStyle name="Tekst ostrzeżenia 2 18 2" xfId="35344"/>
    <cellStyle name="Tekst ostrzeżenia 2 18 3" xfId="35345"/>
    <cellStyle name="Tekst ostrzeżenia 2 18 4" xfId="35346"/>
    <cellStyle name="Tekst ostrzeżenia 2 18 5" xfId="35347"/>
    <cellStyle name="Tekst ostrzeżenia 2 18 6" xfId="35348"/>
    <cellStyle name="Tekst ostrzeżenia 2 18 7" xfId="35349"/>
    <cellStyle name="Tekst ostrzeżenia 2 19" xfId="35350"/>
    <cellStyle name="Tekst ostrzeżenia 2 19 2" xfId="35351"/>
    <cellStyle name="Tekst ostrzeżenia 2 19 3" xfId="35352"/>
    <cellStyle name="Tekst ostrzeżenia 2 19 4" xfId="35353"/>
    <cellStyle name="Tekst ostrzeżenia 2 19 5" xfId="35354"/>
    <cellStyle name="Tekst ostrzeżenia 2 19 6" xfId="35355"/>
    <cellStyle name="Tekst ostrzeżenia 2 19 7" xfId="35356"/>
    <cellStyle name="Tekst ostrzeżenia 2 2" xfId="35357"/>
    <cellStyle name="Tekst ostrzeżenia 2 2 2" xfId="35358"/>
    <cellStyle name="Tekst ostrzeżenia 2 2 3" xfId="35359"/>
    <cellStyle name="Tekst ostrzeżenia 2 2 4" xfId="35360"/>
    <cellStyle name="Tekst ostrzeżenia 2 2 5" xfId="35361"/>
    <cellStyle name="Tekst ostrzeżenia 2 2 6" xfId="35362"/>
    <cellStyle name="Tekst ostrzeżenia 2 2 7" xfId="35363"/>
    <cellStyle name="Tekst ostrzeżenia 2 2 8" xfId="35364"/>
    <cellStyle name="Tekst ostrzeżenia 2 20" xfId="35365"/>
    <cellStyle name="Tekst ostrzeżenia 2 20 2" xfId="35366"/>
    <cellStyle name="Tekst ostrzeżenia 2 20 3" xfId="35367"/>
    <cellStyle name="Tekst ostrzeżenia 2 20 4" xfId="35368"/>
    <cellStyle name="Tekst ostrzeżenia 2 20 5" xfId="35369"/>
    <cellStyle name="Tekst ostrzeżenia 2 20 6" xfId="35370"/>
    <cellStyle name="Tekst ostrzeżenia 2 20 7" xfId="35371"/>
    <cellStyle name="Tekst ostrzeżenia 2 21" xfId="35372"/>
    <cellStyle name="Tekst ostrzeżenia 2 21 2" xfId="35373"/>
    <cellStyle name="Tekst ostrzeżenia 2 21 3" xfId="35374"/>
    <cellStyle name="Tekst ostrzeżenia 2 21 4" xfId="35375"/>
    <cellStyle name="Tekst ostrzeżenia 2 21 5" xfId="35376"/>
    <cellStyle name="Tekst ostrzeżenia 2 21 6" xfId="35377"/>
    <cellStyle name="Tekst ostrzeżenia 2 21 7" xfId="35378"/>
    <cellStyle name="Tekst ostrzeżenia 2 22" xfId="35379"/>
    <cellStyle name="Tekst ostrzeżenia 2 22 2" xfId="35380"/>
    <cellStyle name="Tekst ostrzeżenia 2 22 3" xfId="35381"/>
    <cellStyle name="Tekst ostrzeżenia 2 22 4" xfId="35382"/>
    <cellStyle name="Tekst ostrzeżenia 2 22 5" xfId="35383"/>
    <cellStyle name="Tekst ostrzeżenia 2 22 6" xfId="35384"/>
    <cellStyle name="Tekst ostrzeżenia 2 22 7" xfId="35385"/>
    <cellStyle name="Tekst ostrzeżenia 2 23" xfId="35386"/>
    <cellStyle name="Tekst ostrzeżenia 2 23 2" xfId="35387"/>
    <cellStyle name="Tekst ostrzeżenia 2 23 3" xfId="35388"/>
    <cellStyle name="Tekst ostrzeżenia 2 23 4" xfId="35389"/>
    <cellStyle name="Tekst ostrzeżenia 2 23 5" xfId="35390"/>
    <cellStyle name="Tekst ostrzeżenia 2 23 6" xfId="35391"/>
    <cellStyle name="Tekst ostrzeżenia 2 23 7" xfId="35392"/>
    <cellStyle name="Tekst ostrzeżenia 2 24" xfId="35393"/>
    <cellStyle name="Tekst ostrzeżenia 2 24 2" xfId="35394"/>
    <cellStyle name="Tekst ostrzeżenia 2 24 3" xfId="35395"/>
    <cellStyle name="Tekst ostrzeżenia 2 24 4" xfId="35396"/>
    <cellStyle name="Tekst ostrzeżenia 2 24 5" xfId="35397"/>
    <cellStyle name="Tekst ostrzeżenia 2 24 6" xfId="35398"/>
    <cellStyle name="Tekst ostrzeżenia 2 24 7" xfId="35399"/>
    <cellStyle name="Tekst ostrzeżenia 2 25" xfId="35400"/>
    <cellStyle name="Tekst ostrzeżenia 2 25 2" xfId="35401"/>
    <cellStyle name="Tekst ostrzeżenia 2 25 3" xfId="35402"/>
    <cellStyle name="Tekst ostrzeżenia 2 25 4" xfId="35403"/>
    <cellStyle name="Tekst ostrzeżenia 2 25 5" xfId="35404"/>
    <cellStyle name="Tekst ostrzeżenia 2 25 6" xfId="35405"/>
    <cellStyle name="Tekst ostrzeżenia 2 25 7" xfId="35406"/>
    <cellStyle name="Tekst ostrzeżenia 2 26" xfId="35407"/>
    <cellStyle name="Tekst ostrzeżenia 2 26 2" xfId="35408"/>
    <cellStyle name="Tekst ostrzeżenia 2 26 3" xfId="35409"/>
    <cellStyle name="Tekst ostrzeżenia 2 26 4" xfId="35410"/>
    <cellStyle name="Tekst ostrzeżenia 2 26 5" xfId="35411"/>
    <cellStyle name="Tekst ostrzeżenia 2 26 6" xfId="35412"/>
    <cellStyle name="Tekst ostrzeżenia 2 26 7" xfId="35413"/>
    <cellStyle name="Tekst ostrzeżenia 2 27" xfId="35414"/>
    <cellStyle name="Tekst ostrzeżenia 2 27 2" xfId="35415"/>
    <cellStyle name="Tekst ostrzeżenia 2 27 3" xfId="35416"/>
    <cellStyle name="Tekst ostrzeżenia 2 27 4" xfId="35417"/>
    <cellStyle name="Tekst ostrzeżenia 2 27 5" xfId="35418"/>
    <cellStyle name="Tekst ostrzeżenia 2 27 6" xfId="35419"/>
    <cellStyle name="Tekst ostrzeżenia 2 27 7" xfId="35420"/>
    <cellStyle name="Tekst ostrzeżenia 2 28" xfId="35421"/>
    <cellStyle name="Tekst ostrzeżenia 2 28 2" xfId="35422"/>
    <cellStyle name="Tekst ostrzeżenia 2 28 3" xfId="35423"/>
    <cellStyle name="Tekst ostrzeżenia 2 28 4" xfId="35424"/>
    <cellStyle name="Tekst ostrzeżenia 2 28 5" xfId="35425"/>
    <cellStyle name="Tekst ostrzeżenia 2 28 6" xfId="35426"/>
    <cellStyle name="Tekst ostrzeżenia 2 28 7" xfId="35427"/>
    <cellStyle name="Tekst ostrzeżenia 2 29" xfId="35428"/>
    <cellStyle name="Tekst ostrzeżenia 2 29 2" xfId="35429"/>
    <cellStyle name="Tekst ostrzeżenia 2 3" xfId="35430"/>
    <cellStyle name="Tekst ostrzeżenia 2 3 2" xfId="35431"/>
    <cellStyle name="Tekst ostrzeżenia 2 3 3" xfId="35432"/>
    <cellStyle name="Tekst ostrzeżenia 2 3 4" xfId="35433"/>
    <cellStyle name="Tekst ostrzeżenia 2 3 5" xfId="35434"/>
    <cellStyle name="Tekst ostrzeżenia 2 3 6" xfId="35435"/>
    <cellStyle name="Tekst ostrzeżenia 2 3 7" xfId="35436"/>
    <cellStyle name="Tekst ostrzeżenia 2 30" xfId="35437"/>
    <cellStyle name="Tekst ostrzeżenia 2 30 2" xfId="35438"/>
    <cellStyle name="Tekst ostrzeżenia 2 31" xfId="35439"/>
    <cellStyle name="Tekst ostrzeżenia 2 31 2" xfId="35440"/>
    <cellStyle name="Tekst ostrzeżenia 2 32" xfId="35441"/>
    <cellStyle name="Tekst ostrzeżenia 2 32 2" xfId="35442"/>
    <cellStyle name="Tekst ostrzeżenia 2 33" xfId="35443"/>
    <cellStyle name="Tekst ostrzeżenia 2 34" xfId="35444"/>
    <cellStyle name="Tekst ostrzeżenia 2 35" xfId="35445"/>
    <cellStyle name="Tekst ostrzeżenia 2 36" xfId="35446"/>
    <cellStyle name="Tekst ostrzeżenia 2 37" xfId="35447"/>
    <cellStyle name="Tekst ostrzeżenia 2 38" xfId="35448"/>
    <cellStyle name="Tekst ostrzeżenia 2 39" xfId="35449"/>
    <cellStyle name="Tekst ostrzeżenia 2 4" xfId="35450"/>
    <cellStyle name="Tekst ostrzeżenia 2 4 2" xfId="35451"/>
    <cellStyle name="Tekst ostrzeżenia 2 4 3" xfId="35452"/>
    <cellStyle name="Tekst ostrzeżenia 2 4 4" xfId="35453"/>
    <cellStyle name="Tekst ostrzeżenia 2 4 5" xfId="35454"/>
    <cellStyle name="Tekst ostrzeżenia 2 4 6" xfId="35455"/>
    <cellStyle name="Tekst ostrzeżenia 2 4 7" xfId="35456"/>
    <cellStyle name="Tekst ostrzeżenia 2 40" xfId="35457"/>
    <cellStyle name="Tekst ostrzeżenia 2 41" xfId="35458"/>
    <cellStyle name="Tekst ostrzeżenia 2 42" xfId="35459"/>
    <cellStyle name="Tekst ostrzeżenia 2 43" xfId="35460"/>
    <cellStyle name="Tekst ostrzeżenia 2 44" xfId="35461"/>
    <cellStyle name="Tekst ostrzeżenia 2 45" xfId="35462"/>
    <cellStyle name="Tekst ostrzeżenia 2 46" xfId="35463"/>
    <cellStyle name="Tekst ostrzeżenia 2 47" xfId="35464"/>
    <cellStyle name="Tekst ostrzeżenia 2 48" xfId="35465"/>
    <cellStyle name="Tekst ostrzeżenia 2 49" xfId="35466"/>
    <cellStyle name="Tekst ostrzeżenia 2 5" xfId="35467"/>
    <cellStyle name="Tekst ostrzeżenia 2 5 2" xfId="35468"/>
    <cellStyle name="Tekst ostrzeżenia 2 5 3" xfId="35469"/>
    <cellStyle name="Tekst ostrzeżenia 2 5 4" xfId="35470"/>
    <cellStyle name="Tekst ostrzeżenia 2 5 5" xfId="35471"/>
    <cellStyle name="Tekst ostrzeżenia 2 5 6" xfId="35472"/>
    <cellStyle name="Tekst ostrzeżenia 2 5 7" xfId="35473"/>
    <cellStyle name="Tekst ostrzeżenia 2 50" xfId="35474"/>
    <cellStyle name="Tekst ostrzeżenia 2 51" xfId="35475"/>
    <cellStyle name="Tekst ostrzeżenia 2 52" xfId="35476"/>
    <cellStyle name="Tekst ostrzeżenia 2 6" xfId="35477"/>
    <cellStyle name="Tekst ostrzeżenia 2 6 2" xfId="35478"/>
    <cellStyle name="Tekst ostrzeżenia 2 6 3" xfId="35479"/>
    <cellStyle name="Tekst ostrzeżenia 2 6 4" xfId="35480"/>
    <cellStyle name="Tekst ostrzeżenia 2 6 5" xfId="35481"/>
    <cellStyle name="Tekst ostrzeżenia 2 6 6" xfId="35482"/>
    <cellStyle name="Tekst ostrzeżenia 2 6 7" xfId="35483"/>
    <cellStyle name="Tekst ostrzeżenia 2 7" xfId="35484"/>
    <cellStyle name="Tekst ostrzeżenia 2 7 2" xfId="35485"/>
    <cellStyle name="Tekst ostrzeżenia 2 7 3" xfId="35486"/>
    <cellStyle name="Tekst ostrzeżenia 2 7 4" xfId="35487"/>
    <cellStyle name="Tekst ostrzeżenia 2 7 5" xfId="35488"/>
    <cellStyle name="Tekst ostrzeżenia 2 7 6" xfId="35489"/>
    <cellStyle name="Tekst ostrzeżenia 2 7 7" xfId="35490"/>
    <cellStyle name="Tekst ostrzeżenia 2 8" xfId="35491"/>
    <cellStyle name="Tekst ostrzeżenia 2 8 2" xfId="35492"/>
    <cellStyle name="Tekst ostrzeżenia 2 8 3" xfId="35493"/>
    <cellStyle name="Tekst ostrzeżenia 2 8 4" xfId="35494"/>
    <cellStyle name="Tekst ostrzeżenia 2 8 5" xfId="35495"/>
    <cellStyle name="Tekst ostrzeżenia 2 8 6" xfId="35496"/>
    <cellStyle name="Tekst ostrzeżenia 2 8 7" xfId="35497"/>
    <cellStyle name="Tekst ostrzeżenia 2 9" xfId="35498"/>
    <cellStyle name="Tekst ostrzeżenia 2 9 2" xfId="35499"/>
    <cellStyle name="Tekst ostrzeżenia 2 9 3" xfId="35500"/>
    <cellStyle name="Tekst ostrzeżenia 2 9 4" xfId="35501"/>
    <cellStyle name="Tekst ostrzeżenia 2 9 5" xfId="35502"/>
    <cellStyle name="Tekst ostrzeżenia 2 9 6" xfId="35503"/>
    <cellStyle name="Tekst ostrzeżenia 2 9 7" xfId="35504"/>
    <cellStyle name="Tekst ostrzeżenia 3" xfId="35505"/>
    <cellStyle name="Tekst ostrzeżenia 3 2" xfId="35506"/>
    <cellStyle name="Tekst ostrzeżenia 3 2 2" xfId="35507"/>
    <cellStyle name="Tekst ostrzeżenia 3 3" xfId="35508"/>
    <cellStyle name="Tekst ostrzeżenia 3 4" xfId="35509"/>
    <cellStyle name="Tekst ostrzeżenia 3 5" xfId="35510"/>
    <cellStyle name="Tekst ostrzeżenia 3 6" xfId="35511"/>
    <cellStyle name="Tekst ostrzeżenia 3 7" xfId="35512"/>
    <cellStyle name="Tekst ostrzeżenia 3 8" xfId="35513"/>
    <cellStyle name="Tekst ostrzeżenia 3 9" xfId="35514"/>
    <cellStyle name="Tekst ostrzeżenia 4" xfId="35515"/>
    <cellStyle name="Tekst ostrzeżenia 4 2" xfId="35516"/>
    <cellStyle name="Tekst ostrzeżenia 4 3" xfId="35517"/>
    <cellStyle name="Tekst ostrzeżenia 4 4" xfId="35518"/>
    <cellStyle name="Tekst ostrzeżenia 4 5" xfId="35519"/>
    <cellStyle name="Tekst ostrzeżenia 4 6" xfId="35520"/>
    <cellStyle name="Tekst ostrzeżenia 4 7" xfId="35521"/>
    <cellStyle name="Tekst ostrzeżenia 4 8" xfId="35522"/>
    <cellStyle name="Tekst ostrzeżenia 4 9" xfId="35523"/>
    <cellStyle name="Tekst ostrzeżenia 5" xfId="35524"/>
    <cellStyle name="Tekst ostrzeżenia 5 2" xfId="35525"/>
    <cellStyle name="Tekst ostrzeżenia 6" xfId="35526"/>
    <cellStyle name="Tekst ostrzeżenia 7" xfId="35527"/>
    <cellStyle name="Tytuł 2" xfId="35528"/>
    <cellStyle name="Tytuł 2 10" xfId="35529"/>
    <cellStyle name="Tytuł 2 10 2" xfId="35530"/>
    <cellStyle name="Tytuł 2 10 3" xfId="35531"/>
    <cellStyle name="Tytuł 2 10 4" xfId="35532"/>
    <cellStyle name="Tytuł 2 10 5" xfId="35533"/>
    <cellStyle name="Tytuł 2 10 6" xfId="35534"/>
    <cellStyle name="Tytuł 2 10 7" xfId="35535"/>
    <cellStyle name="Tytuł 2 11" xfId="35536"/>
    <cellStyle name="Tytuł 2 11 2" xfId="35537"/>
    <cellStyle name="Tytuł 2 11 3" xfId="35538"/>
    <cellStyle name="Tytuł 2 11 4" xfId="35539"/>
    <cellStyle name="Tytuł 2 11 5" xfId="35540"/>
    <cellStyle name="Tytuł 2 11 6" xfId="35541"/>
    <cellStyle name="Tytuł 2 11 7" xfId="35542"/>
    <cellStyle name="Tytuł 2 12" xfId="35543"/>
    <cellStyle name="Tytuł 2 12 2" xfId="35544"/>
    <cellStyle name="Tytuł 2 12 3" xfId="35545"/>
    <cellStyle name="Tytuł 2 12 4" xfId="35546"/>
    <cellStyle name="Tytuł 2 12 5" xfId="35547"/>
    <cellStyle name="Tytuł 2 12 6" xfId="35548"/>
    <cellStyle name="Tytuł 2 12 7" xfId="35549"/>
    <cellStyle name="Tytuł 2 13" xfId="35550"/>
    <cellStyle name="Tytuł 2 13 2" xfId="35551"/>
    <cellStyle name="Tytuł 2 13 3" xfId="35552"/>
    <cellStyle name="Tytuł 2 13 4" xfId="35553"/>
    <cellStyle name="Tytuł 2 13 5" xfId="35554"/>
    <cellStyle name="Tytuł 2 13 6" xfId="35555"/>
    <cellStyle name="Tytuł 2 13 7" xfId="35556"/>
    <cellStyle name="Tytuł 2 14" xfId="35557"/>
    <cellStyle name="Tytuł 2 14 2" xfId="35558"/>
    <cellStyle name="Tytuł 2 14 3" xfId="35559"/>
    <cellStyle name="Tytuł 2 14 4" xfId="35560"/>
    <cellStyle name="Tytuł 2 14 5" xfId="35561"/>
    <cellStyle name="Tytuł 2 14 6" xfId="35562"/>
    <cellStyle name="Tytuł 2 14 7" xfId="35563"/>
    <cellStyle name="Tytuł 2 15" xfId="35564"/>
    <cellStyle name="Tytuł 2 15 2" xfId="35565"/>
    <cellStyle name="Tytuł 2 15 3" xfId="35566"/>
    <cellStyle name="Tytuł 2 15 4" xfId="35567"/>
    <cellStyle name="Tytuł 2 15 5" xfId="35568"/>
    <cellStyle name="Tytuł 2 15 6" xfId="35569"/>
    <cellStyle name="Tytuł 2 15 7" xfId="35570"/>
    <cellStyle name="Tytuł 2 16" xfId="35571"/>
    <cellStyle name="Tytuł 2 16 2" xfId="35572"/>
    <cellStyle name="Tytuł 2 16 3" xfId="35573"/>
    <cellStyle name="Tytuł 2 16 4" xfId="35574"/>
    <cellStyle name="Tytuł 2 16 5" xfId="35575"/>
    <cellStyle name="Tytuł 2 16 6" xfId="35576"/>
    <cellStyle name="Tytuł 2 16 7" xfId="35577"/>
    <cellStyle name="Tytuł 2 17" xfId="35578"/>
    <cellStyle name="Tytuł 2 17 2" xfId="35579"/>
    <cellStyle name="Tytuł 2 17 3" xfId="35580"/>
    <cellStyle name="Tytuł 2 17 4" xfId="35581"/>
    <cellStyle name="Tytuł 2 17 5" xfId="35582"/>
    <cellStyle name="Tytuł 2 17 6" xfId="35583"/>
    <cellStyle name="Tytuł 2 17 7" xfId="35584"/>
    <cellStyle name="Tytuł 2 18" xfId="35585"/>
    <cellStyle name="Tytuł 2 18 2" xfId="35586"/>
    <cellStyle name="Tytuł 2 18 3" xfId="35587"/>
    <cellStyle name="Tytuł 2 18 4" xfId="35588"/>
    <cellStyle name="Tytuł 2 18 5" xfId="35589"/>
    <cellStyle name="Tytuł 2 18 6" xfId="35590"/>
    <cellStyle name="Tytuł 2 18 7" xfId="35591"/>
    <cellStyle name="Tytuł 2 19" xfId="35592"/>
    <cellStyle name="Tytuł 2 19 2" xfId="35593"/>
    <cellStyle name="Tytuł 2 19 3" xfId="35594"/>
    <cellStyle name="Tytuł 2 19 4" xfId="35595"/>
    <cellStyle name="Tytuł 2 19 5" xfId="35596"/>
    <cellStyle name="Tytuł 2 19 6" xfId="35597"/>
    <cellStyle name="Tytuł 2 19 7" xfId="35598"/>
    <cellStyle name="Tytuł 2 2" xfId="35599"/>
    <cellStyle name="Tytuł 2 2 2" xfId="35600"/>
    <cellStyle name="Tytuł 2 2 3" xfId="35601"/>
    <cellStyle name="Tytuł 2 2 4" xfId="35602"/>
    <cellStyle name="Tytuł 2 2 5" xfId="35603"/>
    <cellStyle name="Tytuł 2 2 6" xfId="35604"/>
    <cellStyle name="Tytuł 2 2 7" xfId="35605"/>
    <cellStyle name="Tytuł 2 2 8" xfId="35606"/>
    <cellStyle name="Tytuł 2 20" xfId="35607"/>
    <cellStyle name="Tytuł 2 20 2" xfId="35608"/>
    <cellStyle name="Tytuł 2 20 3" xfId="35609"/>
    <cellStyle name="Tytuł 2 20 4" xfId="35610"/>
    <cellStyle name="Tytuł 2 20 5" xfId="35611"/>
    <cellStyle name="Tytuł 2 20 6" xfId="35612"/>
    <cellStyle name="Tytuł 2 20 7" xfId="35613"/>
    <cellStyle name="Tytuł 2 21" xfId="35614"/>
    <cellStyle name="Tytuł 2 21 2" xfId="35615"/>
    <cellStyle name="Tytuł 2 21 3" xfId="35616"/>
    <cellStyle name="Tytuł 2 21 4" xfId="35617"/>
    <cellStyle name="Tytuł 2 21 5" xfId="35618"/>
    <cellStyle name="Tytuł 2 21 6" xfId="35619"/>
    <cellStyle name="Tytuł 2 21 7" xfId="35620"/>
    <cellStyle name="Tytuł 2 22" xfId="35621"/>
    <cellStyle name="Tytuł 2 22 2" xfId="35622"/>
    <cellStyle name="Tytuł 2 22 3" xfId="35623"/>
    <cellStyle name="Tytuł 2 22 4" xfId="35624"/>
    <cellStyle name="Tytuł 2 22 5" xfId="35625"/>
    <cellStyle name="Tytuł 2 22 6" xfId="35626"/>
    <cellStyle name="Tytuł 2 22 7" xfId="35627"/>
    <cellStyle name="Tytuł 2 23" xfId="35628"/>
    <cellStyle name="Tytuł 2 23 2" xfId="35629"/>
    <cellStyle name="Tytuł 2 23 3" xfId="35630"/>
    <cellStyle name="Tytuł 2 23 4" xfId="35631"/>
    <cellStyle name="Tytuł 2 23 5" xfId="35632"/>
    <cellStyle name="Tytuł 2 23 6" xfId="35633"/>
    <cellStyle name="Tytuł 2 23 7" xfId="35634"/>
    <cellStyle name="Tytuł 2 24" xfId="35635"/>
    <cellStyle name="Tytuł 2 24 2" xfId="35636"/>
    <cellStyle name="Tytuł 2 24 3" xfId="35637"/>
    <cellStyle name="Tytuł 2 24 4" xfId="35638"/>
    <cellStyle name="Tytuł 2 24 5" xfId="35639"/>
    <cellStyle name="Tytuł 2 24 6" xfId="35640"/>
    <cellStyle name="Tytuł 2 24 7" xfId="35641"/>
    <cellStyle name="Tytuł 2 25" xfId="35642"/>
    <cellStyle name="Tytuł 2 25 2" xfId="35643"/>
    <cellStyle name="Tytuł 2 25 3" xfId="35644"/>
    <cellStyle name="Tytuł 2 25 4" xfId="35645"/>
    <cellStyle name="Tytuł 2 25 5" xfId="35646"/>
    <cellStyle name="Tytuł 2 25 6" xfId="35647"/>
    <cellStyle name="Tytuł 2 25 7" xfId="35648"/>
    <cellStyle name="Tytuł 2 26" xfId="35649"/>
    <cellStyle name="Tytuł 2 26 2" xfId="35650"/>
    <cellStyle name="Tytuł 2 26 3" xfId="35651"/>
    <cellStyle name="Tytuł 2 26 4" xfId="35652"/>
    <cellStyle name="Tytuł 2 26 5" xfId="35653"/>
    <cellStyle name="Tytuł 2 26 6" xfId="35654"/>
    <cellStyle name="Tytuł 2 26 7" xfId="35655"/>
    <cellStyle name="Tytuł 2 27" xfId="35656"/>
    <cellStyle name="Tytuł 2 27 2" xfId="35657"/>
    <cellStyle name="Tytuł 2 27 3" xfId="35658"/>
    <cellStyle name="Tytuł 2 27 4" xfId="35659"/>
    <cellStyle name="Tytuł 2 27 5" xfId="35660"/>
    <cellStyle name="Tytuł 2 27 6" xfId="35661"/>
    <cellStyle name="Tytuł 2 27 7" xfId="35662"/>
    <cellStyle name="Tytuł 2 28" xfId="35663"/>
    <cellStyle name="Tytuł 2 28 2" xfId="35664"/>
    <cellStyle name="Tytuł 2 28 3" xfId="35665"/>
    <cellStyle name="Tytuł 2 28 4" xfId="35666"/>
    <cellStyle name="Tytuł 2 28 5" xfId="35667"/>
    <cellStyle name="Tytuł 2 28 6" xfId="35668"/>
    <cellStyle name="Tytuł 2 28 7" xfId="35669"/>
    <cellStyle name="Tytuł 2 29" xfId="35670"/>
    <cellStyle name="Tytuł 2 3" xfId="35671"/>
    <cellStyle name="Tytuł 2 3 2" xfId="35672"/>
    <cellStyle name="Tytuł 2 3 3" xfId="35673"/>
    <cellStyle name="Tytuł 2 3 4" xfId="35674"/>
    <cellStyle name="Tytuł 2 3 5" xfId="35675"/>
    <cellStyle name="Tytuł 2 3 6" xfId="35676"/>
    <cellStyle name="Tytuł 2 3 7" xfId="35677"/>
    <cellStyle name="Tytuł 2 30" xfId="35678"/>
    <cellStyle name="Tytuł 2 31" xfId="35679"/>
    <cellStyle name="Tytuł 2 32" xfId="35680"/>
    <cellStyle name="Tytuł 2 33" xfId="35681"/>
    <cellStyle name="Tytuł 2 34" xfId="35682"/>
    <cellStyle name="Tytuł 2 35" xfId="35683"/>
    <cellStyle name="Tytuł 2 36" xfId="35684"/>
    <cellStyle name="Tytuł 2 37" xfId="35685"/>
    <cellStyle name="Tytuł 2 38" xfId="35686"/>
    <cellStyle name="Tytuł 2 39" xfId="35687"/>
    <cellStyle name="Tytuł 2 4" xfId="35688"/>
    <cellStyle name="Tytuł 2 4 2" xfId="35689"/>
    <cellStyle name="Tytuł 2 4 3" xfId="35690"/>
    <cellStyle name="Tytuł 2 4 4" xfId="35691"/>
    <cellStyle name="Tytuł 2 4 5" xfId="35692"/>
    <cellStyle name="Tytuł 2 4 6" xfId="35693"/>
    <cellStyle name="Tytuł 2 4 7" xfId="35694"/>
    <cellStyle name="Tytuł 2 40" xfId="35695"/>
    <cellStyle name="Tytuł 2 41" xfId="35696"/>
    <cellStyle name="Tytuł 2 42" xfId="35697"/>
    <cellStyle name="Tytuł 2 43" xfId="35698"/>
    <cellStyle name="Tytuł 2 44" xfId="35699"/>
    <cellStyle name="Tytuł 2 45" xfId="35700"/>
    <cellStyle name="Tytuł 2 46" xfId="35701"/>
    <cellStyle name="Tytuł 2 47" xfId="35702"/>
    <cellStyle name="Tytuł 2 48" xfId="35703"/>
    <cellStyle name="Tytuł 2 49" xfId="35704"/>
    <cellStyle name="Tytuł 2 5" xfId="35705"/>
    <cellStyle name="Tytuł 2 5 2" xfId="35706"/>
    <cellStyle name="Tytuł 2 5 3" xfId="35707"/>
    <cellStyle name="Tytuł 2 5 4" xfId="35708"/>
    <cellStyle name="Tytuł 2 5 5" xfId="35709"/>
    <cellStyle name="Tytuł 2 5 6" xfId="35710"/>
    <cellStyle name="Tytuł 2 5 7" xfId="35711"/>
    <cellStyle name="Tytuł 2 50" xfId="35712"/>
    <cellStyle name="Tytuł 2 51" xfId="35713"/>
    <cellStyle name="Tytuł 2 52" xfId="35714"/>
    <cellStyle name="Tytuł 2 6" xfId="35715"/>
    <cellStyle name="Tytuł 2 6 2" xfId="35716"/>
    <cellStyle name="Tytuł 2 6 3" xfId="35717"/>
    <cellStyle name="Tytuł 2 6 4" xfId="35718"/>
    <cellStyle name="Tytuł 2 6 5" xfId="35719"/>
    <cellStyle name="Tytuł 2 6 6" xfId="35720"/>
    <cellStyle name="Tytuł 2 6 7" xfId="35721"/>
    <cellStyle name="Tytuł 2 7" xfId="35722"/>
    <cellStyle name="Tytuł 2 7 2" xfId="35723"/>
    <cellStyle name="Tytuł 2 7 3" xfId="35724"/>
    <cellStyle name="Tytuł 2 7 4" xfId="35725"/>
    <cellStyle name="Tytuł 2 7 5" xfId="35726"/>
    <cellStyle name="Tytuł 2 7 6" xfId="35727"/>
    <cellStyle name="Tytuł 2 7 7" xfId="35728"/>
    <cellStyle name="Tytuł 2 8" xfId="35729"/>
    <cellStyle name="Tytuł 2 8 2" xfId="35730"/>
    <cellStyle name="Tytuł 2 8 3" xfId="35731"/>
    <cellStyle name="Tytuł 2 8 4" xfId="35732"/>
    <cellStyle name="Tytuł 2 8 5" xfId="35733"/>
    <cellStyle name="Tytuł 2 8 6" xfId="35734"/>
    <cellStyle name="Tytuł 2 8 7" xfId="35735"/>
    <cellStyle name="Tytuł 2 9" xfId="35736"/>
    <cellStyle name="Tytuł 2 9 2" xfId="35737"/>
    <cellStyle name="Tytuł 2 9 3" xfId="35738"/>
    <cellStyle name="Tytuł 2 9 4" xfId="35739"/>
    <cellStyle name="Tytuł 2 9 5" xfId="35740"/>
    <cellStyle name="Tytuł 2 9 6" xfId="35741"/>
    <cellStyle name="Tytuł 2 9 7" xfId="35742"/>
    <cellStyle name="Tytuł 3" xfId="35743"/>
    <cellStyle name="Tytuł 3 2" xfId="35744"/>
    <cellStyle name="Tytuł 3 2 2" xfId="35745"/>
    <cellStyle name="Tytuł 3 3" xfId="35746"/>
    <cellStyle name="Tytuł 3 4" xfId="35747"/>
    <cellStyle name="Tytuł 3 5" xfId="35748"/>
    <cellStyle name="Tytuł 3 6" xfId="35749"/>
    <cellStyle name="Tytuł 3 7" xfId="35750"/>
    <cellStyle name="Tytuł 3 8" xfId="35751"/>
    <cellStyle name="Tytuł 4" xfId="35752"/>
    <cellStyle name="Tytuł 4 2" xfId="35753"/>
    <cellStyle name="Tytuł 4 3" xfId="35754"/>
    <cellStyle name="Tytuł 4 4" xfId="35755"/>
    <cellStyle name="Tytuł 4 5" xfId="35756"/>
    <cellStyle name="Tytuł 4 6" xfId="35757"/>
    <cellStyle name="Tytuł 4 7" xfId="35758"/>
    <cellStyle name="Tytuł 4 8" xfId="35759"/>
    <cellStyle name="Tytuł 5" xfId="35760"/>
    <cellStyle name="Tytuł 6" xfId="35761"/>
    <cellStyle name="Tytuł 7" xfId="35762"/>
    <cellStyle name="Tytuł 8" xfId="35763"/>
    <cellStyle name="über" xfId="35764"/>
    <cellStyle name="Unit" xfId="35765"/>
    <cellStyle name="Uwaga 10" xfId="35766"/>
    <cellStyle name="Uwaga 100" xfId="35767"/>
    <cellStyle name="Uwaga 100 2" xfId="35768"/>
    <cellStyle name="Uwaga 101" xfId="35769"/>
    <cellStyle name="Uwaga 101 2" xfId="35770"/>
    <cellStyle name="Uwaga 102" xfId="35771"/>
    <cellStyle name="Uwaga 102 2" xfId="35772"/>
    <cellStyle name="Uwaga 103" xfId="35773"/>
    <cellStyle name="Uwaga 103 2" xfId="35774"/>
    <cellStyle name="Uwaga 104" xfId="35775"/>
    <cellStyle name="Uwaga 104 2" xfId="35776"/>
    <cellStyle name="Uwaga 105" xfId="35777"/>
    <cellStyle name="Uwaga 105 2" xfId="35778"/>
    <cellStyle name="Uwaga 106" xfId="35779"/>
    <cellStyle name="Uwaga 106 2" xfId="35780"/>
    <cellStyle name="Uwaga 107" xfId="35781"/>
    <cellStyle name="Uwaga 107 2" xfId="35782"/>
    <cellStyle name="Uwaga 108" xfId="35783"/>
    <cellStyle name="Uwaga 108 2" xfId="35784"/>
    <cellStyle name="Uwaga 109" xfId="35785"/>
    <cellStyle name="Uwaga 109 2" xfId="35786"/>
    <cellStyle name="Uwaga 11" xfId="35787"/>
    <cellStyle name="Uwaga 110" xfId="35788"/>
    <cellStyle name="Uwaga 110 2" xfId="35789"/>
    <cellStyle name="Uwaga 111" xfId="35790"/>
    <cellStyle name="Uwaga 111 2" xfId="35791"/>
    <cellStyle name="Uwaga 112" xfId="35792"/>
    <cellStyle name="Uwaga 112 2" xfId="35793"/>
    <cellStyle name="Uwaga 113" xfId="35794"/>
    <cellStyle name="Uwaga 113 2" xfId="35795"/>
    <cellStyle name="Uwaga 114" xfId="35796"/>
    <cellStyle name="Uwaga 114 2" xfId="35797"/>
    <cellStyle name="Uwaga 115" xfId="35798"/>
    <cellStyle name="Uwaga 115 2" xfId="35799"/>
    <cellStyle name="Uwaga 116" xfId="35800"/>
    <cellStyle name="Uwaga 116 2" xfId="35801"/>
    <cellStyle name="Uwaga 117" xfId="35802"/>
    <cellStyle name="Uwaga 117 2" xfId="35803"/>
    <cellStyle name="Uwaga 118" xfId="35804"/>
    <cellStyle name="Uwaga 118 2" xfId="35805"/>
    <cellStyle name="Uwaga 119" xfId="35806"/>
    <cellStyle name="Uwaga 119 2" xfId="35807"/>
    <cellStyle name="Uwaga 12" xfId="35808"/>
    <cellStyle name="Uwaga 120" xfId="35809"/>
    <cellStyle name="Uwaga 120 2" xfId="35810"/>
    <cellStyle name="Uwaga 121" xfId="35811"/>
    <cellStyle name="Uwaga 121 2" xfId="35812"/>
    <cellStyle name="Uwaga 122" xfId="35813"/>
    <cellStyle name="Uwaga 122 2" xfId="35814"/>
    <cellStyle name="Uwaga 123" xfId="35815"/>
    <cellStyle name="Uwaga 123 2" xfId="35816"/>
    <cellStyle name="Uwaga 124" xfId="35817"/>
    <cellStyle name="Uwaga 124 2" xfId="35818"/>
    <cellStyle name="Uwaga 125" xfId="35819"/>
    <cellStyle name="Uwaga 13" xfId="35820"/>
    <cellStyle name="Uwaga 14" xfId="35821"/>
    <cellStyle name="Uwaga 15" xfId="35822"/>
    <cellStyle name="Uwaga 16" xfId="35823"/>
    <cellStyle name="Uwaga 17" xfId="35824"/>
    <cellStyle name="Uwaga 18" xfId="35825"/>
    <cellStyle name="Uwaga 19" xfId="35826"/>
    <cellStyle name="Uwaga 2" xfId="35827"/>
    <cellStyle name="Uwaga 2 10" xfId="35828"/>
    <cellStyle name="Uwaga 2 10 10" xfId="35829"/>
    <cellStyle name="Uwaga 2 10 10 2" xfId="35830"/>
    <cellStyle name="Uwaga 2 10 10 3" xfId="35831"/>
    <cellStyle name="Uwaga 2 10 10 4" xfId="35832"/>
    <cellStyle name="Uwaga 2 10 11" xfId="35833"/>
    <cellStyle name="Uwaga 2 10 11 2" xfId="35834"/>
    <cellStyle name="Uwaga 2 10 11 3" xfId="35835"/>
    <cellStyle name="Uwaga 2 10 11 4" xfId="35836"/>
    <cellStyle name="Uwaga 2 10 12" xfId="35837"/>
    <cellStyle name="Uwaga 2 10 12 2" xfId="35838"/>
    <cellStyle name="Uwaga 2 10 12 3" xfId="35839"/>
    <cellStyle name="Uwaga 2 10 12 4" xfId="35840"/>
    <cellStyle name="Uwaga 2 10 13" xfId="35841"/>
    <cellStyle name="Uwaga 2 10 13 2" xfId="35842"/>
    <cellStyle name="Uwaga 2 10 13 3" xfId="35843"/>
    <cellStyle name="Uwaga 2 10 13 4" xfId="35844"/>
    <cellStyle name="Uwaga 2 10 14" xfId="35845"/>
    <cellStyle name="Uwaga 2 10 14 2" xfId="35846"/>
    <cellStyle name="Uwaga 2 10 14 3" xfId="35847"/>
    <cellStyle name="Uwaga 2 10 14 4" xfId="35848"/>
    <cellStyle name="Uwaga 2 10 15" xfId="35849"/>
    <cellStyle name="Uwaga 2 10 15 2" xfId="35850"/>
    <cellStyle name="Uwaga 2 10 15 3" xfId="35851"/>
    <cellStyle name="Uwaga 2 10 15 4" xfId="35852"/>
    <cellStyle name="Uwaga 2 10 16" xfId="35853"/>
    <cellStyle name="Uwaga 2 10 16 2" xfId="35854"/>
    <cellStyle name="Uwaga 2 10 16 3" xfId="35855"/>
    <cellStyle name="Uwaga 2 10 16 4" xfId="35856"/>
    <cellStyle name="Uwaga 2 10 17" xfId="35857"/>
    <cellStyle name="Uwaga 2 10 17 2" xfId="35858"/>
    <cellStyle name="Uwaga 2 10 17 3" xfId="35859"/>
    <cellStyle name="Uwaga 2 10 17 4" xfId="35860"/>
    <cellStyle name="Uwaga 2 10 18" xfId="35861"/>
    <cellStyle name="Uwaga 2 10 18 2" xfId="35862"/>
    <cellStyle name="Uwaga 2 10 18 3" xfId="35863"/>
    <cellStyle name="Uwaga 2 10 18 4" xfId="35864"/>
    <cellStyle name="Uwaga 2 10 19" xfId="35865"/>
    <cellStyle name="Uwaga 2 10 19 2" xfId="35866"/>
    <cellStyle name="Uwaga 2 10 19 3" xfId="35867"/>
    <cellStyle name="Uwaga 2 10 19 4" xfId="35868"/>
    <cellStyle name="Uwaga 2 10 2" xfId="35869"/>
    <cellStyle name="Uwaga 2 10 2 2" xfId="35870"/>
    <cellStyle name="Uwaga 2 10 2 3" xfId="35871"/>
    <cellStyle name="Uwaga 2 10 2 4" xfId="35872"/>
    <cellStyle name="Uwaga 2 10 20" xfId="35873"/>
    <cellStyle name="Uwaga 2 10 20 2" xfId="35874"/>
    <cellStyle name="Uwaga 2 10 20 3" xfId="35875"/>
    <cellStyle name="Uwaga 2 10 20 4" xfId="35876"/>
    <cellStyle name="Uwaga 2 10 21" xfId="35877"/>
    <cellStyle name="Uwaga 2 10 21 2" xfId="35878"/>
    <cellStyle name="Uwaga 2 10 21 3" xfId="35879"/>
    <cellStyle name="Uwaga 2 10 22" xfId="35880"/>
    <cellStyle name="Uwaga 2 10 22 2" xfId="35881"/>
    <cellStyle name="Uwaga 2 10 22 3" xfId="35882"/>
    <cellStyle name="Uwaga 2 10 23" xfId="35883"/>
    <cellStyle name="Uwaga 2 10 23 2" xfId="35884"/>
    <cellStyle name="Uwaga 2 10 23 3" xfId="35885"/>
    <cellStyle name="Uwaga 2 10 24" xfId="35886"/>
    <cellStyle name="Uwaga 2 10 24 2" xfId="35887"/>
    <cellStyle name="Uwaga 2 10 24 3" xfId="35888"/>
    <cellStyle name="Uwaga 2 10 25" xfId="35889"/>
    <cellStyle name="Uwaga 2 10 25 2" xfId="35890"/>
    <cellStyle name="Uwaga 2 10 25 3" xfId="35891"/>
    <cellStyle name="Uwaga 2 10 26" xfId="35892"/>
    <cellStyle name="Uwaga 2 10 26 2" xfId="35893"/>
    <cellStyle name="Uwaga 2 10 26 3" xfId="35894"/>
    <cellStyle name="Uwaga 2 10 27" xfId="35895"/>
    <cellStyle name="Uwaga 2 10 27 2" xfId="35896"/>
    <cellStyle name="Uwaga 2 10 27 3" xfId="35897"/>
    <cellStyle name="Uwaga 2 10 28" xfId="35898"/>
    <cellStyle name="Uwaga 2 10 28 2" xfId="35899"/>
    <cellStyle name="Uwaga 2 10 28 3" xfId="35900"/>
    <cellStyle name="Uwaga 2 10 29" xfId="35901"/>
    <cellStyle name="Uwaga 2 10 29 2" xfId="35902"/>
    <cellStyle name="Uwaga 2 10 29 3" xfId="35903"/>
    <cellStyle name="Uwaga 2 10 3" xfId="35904"/>
    <cellStyle name="Uwaga 2 10 3 2" xfId="35905"/>
    <cellStyle name="Uwaga 2 10 3 3" xfId="35906"/>
    <cellStyle name="Uwaga 2 10 3 4" xfId="35907"/>
    <cellStyle name="Uwaga 2 10 30" xfId="35908"/>
    <cellStyle name="Uwaga 2 10 30 2" xfId="35909"/>
    <cellStyle name="Uwaga 2 10 30 3" xfId="35910"/>
    <cellStyle name="Uwaga 2 10 31" xfId="35911"/>
    <cellStyle name="Uwaga 2 10 31 2" xfId="35912"/>
    <cellStyle name="Uwaga 2 10 31 3" xfId="35913"/>
    <cellStyle name="Uwaga 2 10 32" xfId="35914"/>
    <cellStyle name="Uwaga 2 10 32 2" xfId="35915"/>
    <cellStyle name="Uwaga 2 10 32 3" xfId="35916"/>
    <cellStyle name="Uwaga 2 10 33" xfId="35917"/>
    <cellStyle name="Uwaga 2 10 33 2" xfId="35918"/>
    <cellStyle name="Uwaga 2 10 33 3" xfId="35919"/>
    <cellStyle name="Uwaga 2 10 34" xfId="35920"/>
    <cellStyle name="Uwaga 2 10 34 2" xfId="35921"/>
    <cellStyle name="Uwaga 2 10 34 3" xfId="35922"/>
    <cellStyle name="Uwaga 2 10 35" xfId="35923"/>
    <cellStyle name="Uwaga 2 10 35 2" xfId="35924"/>
    <cellStyle name="Uwaga 2 10 35 3" xfId="35925"/>
    <cellStyle name="Uwaga 2 10 36" xfId="35926"/>
    <cellStyle name="Uwaga 2 10 36 2" xfId="35927"/>
    <cellStyle name="Uwaga 2 10 36 3" xfId="35928"/>
    <cellStyle name="Uwaga 2 10 37" xfId="35929"/>
    <cellStyle name="Uwaga 2 10 37 2" xfId="35930"/>
    <cellStyle name="Uwaga 2 10 37 3" xfId="35931"/>
    <cellStyle name="Uwaga 2 10 38" xfId="35932"/>
    <cellStyle name="Uwaga 2 10 38 2" xfId="35933"/>
    <cellStyle name="Uwaga 2 10 38 3" xfId="35934"/>
    <cellStyle name="Uwaga 2 10 39" xfId="35935"/>
    <cellStyle name="Uwaga 2 10 39 2" xfId="35936"/>
    <cellStyle name="Uwaga 2 10 39 3" xfId="35937"/>
    <cellStyle name="Uwaga 2 10 4" xfId="35938"/>
    <cellStyle name="Uwaga 2 10 4 2" xfId="35939"/>
    <cellStyle name="Uwaga 2 10 4 3" xfId="35940"/>
    <cellStyle name="Uwaga 2 10 4 4" xfId="35941"/>
    <cellStyle name="Uwaga 2 10 40" xfId="35942"/>
    <cellStyle name="Uwaga 2 10 40 2" xfId="35943"/>
    <cellStyle name="Uwaga 2 10 40 3" xfId="35944"/>
    <cellStyle name="Uwaga 2 10 41" xfId="35945"/>
    <cellStyle name="Uwaga 2 10 41 2" xfId="35946"/>
    <cellStyle name="Uwaga 2 10 41 3" xfId="35947"/>
    <cellStyle name="Uwaga 2 10 42" xfId="35948"/>
    <cellStyle name="Uwaga 2 10 42 2" xfId="35949"/>
    <cellStyle name="Uwaga 2 10 42 3" xfId="35950"/>
    <cellStyle name="Uwaga 2 10 43" xfId="35951"/>
    <cellStyle name="Uwaga 2 10 43 2" xfId="35952"/>
    <cellStyle name="Uwaga 2 10 43 3" xfId="35953"/>
    <cellStyle name="Uwaga 2 10 44" xfId="35954"/>
    <cellStyle name="Uwaga 2 10 44 2" xfId="35955"/>
    <cellStyle name="Uwaga 2 10 44 3" xfId="35956"/>
    <cellStyle name="Uwaga 2 10 45" xfId="35957"/>
    <cellStyle name="Uwaga 2 10 45 2" xfId="35958"/>
    <cellStyle name="Uwaga 2 10 45 3" xfId="35959"/>
    <cellStyle name="Uwaga 2 10 46" xfId="35960"/>
    <cellStyle name="Uwaga 2 10 46 2" xfId="35961"/>
    <cellStyle name="Uwaga 2 10 46 3" xfId="35962"/>
    <cellStyle name="Uwaga 2 10 47" xfId="35963"/>
    <cellStyle name="Uwaga 2 10 47 2" xfId="35964"/>
    <cellStyle name="Uwaga 2 10 47 3" xfId="35965"/>
    <cellStyle name="Uwaga 2 10 48" xfId="35966"/>
    <cellStyle name="Uwaga 2 10 48 2" xfId="35967"/>
    <cellStyle name="Uwaga 2 10 48 3" xfId="35968"/>
    <cellStyle name="Uwaga 2 10 49" xfId="35969"/>
    <cellStyle name="Uwaga 2 10 49 2" xfId="35970"/>
    <cellStyle name="Uwaga 2 10 49 3" xfId="35971"/>
    <cellStyle name="Uwaga 2 10 5" xfId="35972"/>
    <cellStyle name="Uwaga 2 10 5 2" xfId="35973"/>
    <cellStyle name="Uwaga 2 10 5 3" xfId="35974"/>
    <cellStyle name="Uwaga 2 10 5 4" xfId="35975"/>
    <cellStyle name="Uwaga 2 10 50" xfId="35976"/>
    <cellStyle name="Uwaga 2 10 50 2" xfId="35977"/>
    <cellStyle name="Uwaga 2 10 50 3" xfId="35978"/>
    <cellStyle name="Uwaga 2 10 51" xfId="35979"/>
    <cellStyle name="Uwaga 2 10 51 2" xfId="35980"/>
    <cellStyle name="Uwaga 2 10 51 3" xfId="35981"/>
    <cellStyle name="Uwaga 2 10 52" xfId="35982"/>
    <cellStyle name="Uwaga 2 10 52 2" xfId="35983"/>
    <cellStyle name="Uwaga 2 10 52 3" xfId="35984"/>
    <cellStyle name="Uwaga 2 10 53" xfId="35985"/>
    <cellStyle name="Uwaga 2 10 53 2" xfId="35986"/>
    <cellStyle name="Uwaga 2 10 53 3" xfId="35987"/>
    <cellStyle name="Uwaga 2 10 54" xfId="35988"/>
    <cellStyle name="Uwaga 2 10 54 2" xfId="35989"/>
    <cellStyle name="Uwaga 2 10 54 3" xfId="35990"/>
    <cellStyle name="Uwaga 2 10 55" xfId="35991"/>
    <cellStyle name="Uwaga 2 10 55 2" xfId="35992"/>
    <cellStyle name="Uwaga 2 10 55 3" xfId="35993"/>
    <cellStyle name="Uwaga 2 10 56" xfId="35994"/>
    <cellStyle name="Uwaga 2 10 56 2" xfId="35995"/>
    <cellStyle name="Uwaga 2 10 56 3" xfId="35996"/>
    <cellStyle name="Uwaga 2 10 57" xfId="35997"/>
    <cellStyle name="Uwaga 2 10 58" xfId="35998"/>
    <cellStyle name="Uwaga 2 10 6" xfId="35999"/>
    <cellStyle name="Uwaga 2 10 6 2" xfId="36000"/>
    <cellStyle name="Uwaga 2 10 6 3" xfId="36001"/>
    <cellStyle name="Uwaga 2 10 6 4" xfId="36002"/>
    <cellStyle name="Uwaga 2 10 7" xfId="36003"/>
    <cellStyle name="Uwaga 2 10 7 2" xfId="36004"/>
    <cellStyle name="Uwaga 2 10 7 3" xfId="36005"/>
    <cellStyle name="Uwaga 2 10 7 4" xfId="36006"/>
    <cellStyle name="Uwaga 2 10 8" xfId="36007"/>
    <cellStyle name="Uwaga 2 10 8 2" xfId="36008"/>
    <cellStyle name="Uwaga 2 10 8 3" xfId="36009"/>
    <cellStyle name="Uwaga 2 10 8 4" xfId="36010"/>
    <cellStyle name="Uwaga 2 10 9" xfId="36011"/>
    <cellStyle name="Uwaga 2 10 9 2" xfId="36012"/>
    <cellStyle name="Uwaga 2 10 9 3" xfId="36013"/>
    <cellStyle name="Uwaga 2 10 9 4" xfId="36014"/>
    <cellStyle name="Uwaga 2 11" xfId="36015"/>
    <cellStyle name="Uwaga 2 11 10" xfId="36016"/>
    <cellStyle name="Uwaga 2 11 10 2" xfId="36017"/>
    <cellStyle name="Uwaga 2 11 10 3" xfId="36018"/>
    <cellStyle name="Uwaga 2 11 10 4" xfId="36019"/>
    <cellStyle name="Uwaga 2 11 11" xfId="36020"/>
    <cellStyle name="Uwaga 2 11 11 2" xfId="36021"/>
    <cellStyle name="Uwaga 2 11 11 3" xfId="36022"/>
    <cellStyle name="Uwaga 2 11 11 4" xfId="36023"/>
    <cellStyle name="Uwaga 2 11 12" xfId="36024"/>
    <cellStyle name="Uwaga 2 11 12 2" xfId="36025"/>
    <cellStyle name="Uwaga 2 11 12 3" xfId="36026"/>
    <cellStyle name="Uwaga 2 11 12 4" xfId="36027"/>
    <cellStyle name="Uwaga 2 11 13" xfId="36028"/>
    <cellStyle name="Uwaga 2 11 13 2" xfId="36029"/>
    <cellStyle name="Uwaga 2 11 13 3" xfId="36030"/>
    <cellStyle name="Uwaga 2 11 13 4" xfId="36031"/>
    <cellStyle name="Uwaga 2 11 14" xfId="36032"/>
    <cellStyle name="Uwaga 2 11 14 2" xfId="36033"/>
    <cellStyle name="Uwaga 2 11 14 3" xfId="36034"/>
    <cellStyle name="Uwaga 2 11 14 4" xfId="36035"/>
    <cellStyle name="Uwaga 2 11 15" xfId="36036"/>
    <cellStyle name="Uwaga 2 11 15 2" xfId="36037"/>
    <cellStyle name="Uwaga 2 11 15 3" xfId="36038"/>
    <cellStyle name="Uwaga 2 11 15 4" xfId="36039"/>
    <cellStyle name="Uwaga 2 11 16" xfId="36040"/>
    <cellStyle name="Uwaga 2 11 16 2" xfId="36041"/>
    <cellStyle name="Uwaga 2 11 16 3" xfId="36042"/>
    <cellStyle name="Uwaga 2 11 16 4" xfId="36043"/>
    <cellStyle name="Uwaga 2 11 17" xfId="36044"/>
    <cellStyle name="Uwaga 2 11 17 2" xfId="36045"/>
    <cellStyle name="Uwaga 2 11 17 3" xfId="36046"/>
    <cellStyle name="Uwaga 2 11 17 4" xfId="36047"/>
    <cellStyle name="Uwaga 2 11 18" xfId="36048"/>
    <cellStyle name="Uwaga 2 11 18 2" xfId="36049"/>
    <cellStyle name="Uwaga 2 11 18 3" xfId="36050"/>
    <cellStyle name="Uwaga 2 11 18 4" xfId="36051"/>
    <cellStyle name="Uwaga 2 11 19" xfId="36052"/>
    <cellStyle name="Uwaga 2 11 19 2" xfId="36053"/>
    <cellStyle name="Uwaga 2 11 19 3" xfId="36054"/>
    <cellStyle name="Uwaga 2 11 19 4" xfId="36055"/>
    <cellStyle name="Uwaga 2 11 2" xfId="36056"/>
    <cellStyle name="Uwaga 2 11 2 2" xfId="36057"/>
    <cellStyle name="Uwaga 2 11 2 3" xfId="36058"/>
    <cellStyle name="Uwaga 2 11 2 4" xfId="36059"/>
    <cellStyle name="Uwaga 2 11 20" xfId="36060"/>
    <cellStyle name="Uwaga 2 11 20 2" xfId="36061"/>
    <cellStyle name="Uwaga 2 11 20 3" xfId="36062"/>
    <cellStyle name="Uwaga 2 11 20 4" xfId="36063"/>
    <cellStyle name="Uwaga 2 11 21" xfId="36064"/>
    <cellStyle name="Uwaga 2 11 21 2" xfId="36065"/>
    <cellStyle name="Uwaga 2 11 21 3" xfId="36066"/>
    <cellStyle name="Uwaga 2 11 22" xfId="36067"/>
    <cellStyle name="Uwaga 2 11 22 2" xfId="36068"/>
    <cellStyle name="Uwaga 2 11 22 3" xfId="36069"/>
    <cellStyle name="Uwaga 2 11 23" xfId="36070"/>
    <cellStyle name="Uwaga 2 11 23 2" xfId="36071"/>
    <cellStyle name="Uwaga 2 11 23 3" xfId="36072"/>
    <cellStyle name="Uwaga 2 11 24" xfId="36073"/>
    <cellStyle name="Uwaga 2 11 24 2" xfId="36074"/>
    <cellStyle name="Uwaga 2 11 24 3" xfId="36075"/>
    <cellStyle name="Uwaga 2 11 25" xfId="36076"/>
    <cellStyle name="Uwaga 2 11 25 2" xfId="36077"/>
    <cellStyle name="Uwaga 2 11 25 3" xfId="36078"/>
    <cellStyle name="Uwaga 2 11 26" xfId="36079"/>
    <cellStyle name="Uwaga 2 11 26 2" xfId="36080"/>
    <cellStyle name="Uwaga 2 11 26 3" xfId="36081"/>
    <cellStyle name="Uwaga 2 11 27" xfId="36082"/>
    <cellStyle name="Uwaga 2 11 27 2" xfId="36083"/>
    <cellStyle name="Uwaga 2 11 27 3" xfId="36084"/>
    <cellStyle name="Uwaga 2 11 28" xfId="36085"/>
    <cellStyle name="Uwaga 2 11 28 2" xfId="36086"/>
    <cellStyle name="Uwaga 2 11 28 3" xfId="36087"/>
    <cellStyle name="Uwaga 2 11 29" xfId="36088"/>
    <cellStyle name="Uwaga 2 11 29 2" xfId="36089"/>
    <cellStyle name="Uwaga 2 11 29 3" xfId="36090"/>
    <cellStyle name="Uwaga 2 11 3" xfId="36091"/>
    <cellStyle name="Uwaga 2 11 3 2" xfId="36092"/>
    <cellStyle name="Uwaga 2 11 3 3" xfId="36093"/>
    <cellStyle name="Uwaga 2 11 3 4" xfId="36094"/>
    <cellStyle name="Uwaga 2 11 30" xfId="36095"/>
    <cellStyle name="Uwaga 2 11 30 2" xfId="36096"/>
    <cellStyle name="Uwaga 2 11 30 3" xfId="36097"/>
    <cellStyle name="Uwaga 2 11 31" xfId="36098"/>
    <cellStyle name="Uwaga 2 11 31 2" xfId="36099"/>
    <cellStyle name="Uwaga 2 11 31 3" xfId="36100"/>
    <cellStyle name="Uwaga 2 11 32" xfId="36101"/>
    <cellStyle name="Uwaga 2 11 32 2" xfId="36102"/>
    <cellStyle name="Uwaga 2 11 32 3" xfId="36103"/>
    <cellStyle name="Uwaga 2 11 33" xfId="36104"/>
    <cellStyle name="Uwaga 2 11 33 2" xfId="36105"/>
    <cellStyle name="Uwaga 2 11 33 3" xfId="36106"/>
    <cellStyle name="Uwaga 2 11 34" xfId="36107"/>
    <cellStyle name="Uwaga 2 11 34 2" xfId="36108"/>
    <cellStyle name="Uwaga 2 11 34 3" xfId="36109"/>
    <cellStyle name="Uwaga 2 11 35" xfId="36110"/>
    <cellStyle name="Uwaga 2 11 35 2" xfId="36111"/>
    <cellStyle name="Uwaga 2 11 35 3" xfId="36112"/>
    <cellStyle name="Uwaga 2 11 36" xfId="36113"/>
    <cellStyle name="Uwaga 2 11 36 2" xfId="36114"/>
    <cellStyle name="Uwaga 2 11 36 3" xfId="36115"/>
    <cellStyle name="Uwaga 2 11 37" xfId="36116"/>
    <cellStyle name="Uwaga 2 11 37 2" xfId="36117"/>
    <cellStyle name="Uwaga 2 11 37 3" xfId="36118"/>
    <cellStyle name="Uwaga 2 11 38" xfId="36119"/>
    <cellStyle name="Uwaga 2 11 38 2" xfId="36120"/>
    <cellStyle name="Uwaga 2 11 38 3" xfId="36121"/>
    <cellStyle name="Uwaga 2 11 39" xfId="36122"/>
    <cellStyle name="Uwaga 2 11 39 2" xfId="36123"/>
    <cellStyle name="Uwaga 2 11 39 3" xfId="36124"/>
    <cellStyle name="Uwaga 2 11 4" xfId="36125"/>
    <cellStyle name="Uwaga 2 11 4 2" xfId="36126"/>
    <cellStyle name="Uwaga 2 11 4 3" xfId="36127"/>
    <cellStyle name="Uwaga 2 11 4 4" xfId="36128"/>
    <cellStyle name="Uwaga 2 11 40" xfId="36129"/>
    <cellStyle name="Uwaga 2 11 40 2" xfId="36130"/>
    <cellStyle name="Uwaga 2 11 40 3" xfId="36131"/>
    <cellStyle name="Uwaga 2 11 41" xfId="36132"/>
    <cellStyle name="Uwaga 2 11 41 2" xfId="36133"/>
    <cellStyle name="Uwaga 2 11 41 3" xfId="36134"/>
    <cellStyle name="Uwaga 2 11 42" xfId="36135"/>
    <cellStyle name="Uwaga 2 11 42 2" xfId="36136"/>
    <cellStyle name="Uwaga 2 11 42 3" xfId="36137"/>
    <cellStyle name="Uwaga 2 11 43" xfId="36138"/>
    <cellStyle name="Uwaga 2 11 43 2" xfId="36139"/>
    <cellStyle name="Uwaga 2 11 43 3" xfId="36140"/>
    <cellStyle name="Uwaga 2 11 44" xfId="36141"/>
    <cellStyle name="Uwaga 2 11 44 2" xfId="36142"/>
    <cellStyle name="Uwaga 2 11 44 3" xfId="36143"/>
    <cellStyle name="Uwaga 2 11 45" xfId="36144"/>
    <cellStyle name="Uwaga 2 11 45 2" xfId="36145"/>
    <cellStyle name="Uwaga 2 11 45 3" xfId="36146"/>
    <cellStyle name="Uwaga 2 11 46" xfId="36147"/>
    <cellStyle name="Uwaga 2 11 46 2" xfId="36148"/>
    <cellStyle name="Uwaga 2 11 46 3" xfId="36149"/>
    <cellStyle name="Uwaga 2 11 47" xfId="36150"/>
    <cellStyle name="Uwaga 2 11 47 2" xfId="36151"/>
    <cellStyle name="Uwaga 2 11 47 3" xfId="36152"/>
    <cellStyle name="Uwaga 2 11 48" xfId="36153"/>
    <cellStyle name="Uwaga 2 11 48 2" xfId="36154"/>
    <cellStyle name="Uwaga 2 11 48 3" xfId="36155"/>
    <cellStyle name="Uwaga 2 11 49" xfId="36156"/>
    <cellStyle name="Uwaga 2 11 49 2" xfId="36157"/>
    <cellStyle name="Uwaga 2 11 49 3" xfId="36158"/>
    <cellStyle name="Uwaga 2 11 5" xfId="36159"/>
    <cellStyle name="Uwaga 2 11 5 2" xfId="36160"/>
    <cellStyle name="Uwaga 2 11 5 3" xfId="36161"/>
    <cellStyle name="Uwaga 2 11 5 4" xfId="36162"/>
    <cellStyle name="Uwaga 2 11 50" xfId="36163"/>
    <cellStyle name="Uwaga 2 11 50 2" xfId="36164"/>
    <cellStyle name="Uwaga 2 11 50 3" xfId="36165"/>
    <cellStyle name="Uwaga 2 11 51" xfId="36166"/>
    <cellStyle name="Uwaga 2 11 51 2" xfId="36167"/>
    <cellStyle name="Uwaga 2 11 51 3" xfId="36168"/>
    <cellStyle name="Uwaga 2 11 52" xfId="36169"/>
    <cellStyle name="Uwaga 2 11 52 2" xfId="36170"/>
    <cellStyle name="Uwaga 2 11 52 3" xfId="36171"/>
    <cellStyle name="Uwaga 2 11 53" xfId="36172"/>
    <cellStyle name="Uwaga 2 11 53 2" xfId="36173"/>
    <cellStyle name="Uwaga 2 11 53 3" xfId="36174"/>
    <cellStyle name="Uwaga 2 11 54" xfId="36175"/>
    <cellStyle name="Uwaga 2 11 54 2" xfId="36176"/>
    <cellStyle name="Uwaga 2 11 54 3" xfId="36177"/>
    <cellStyle name="Uwaga 2 11 55" xfId="36178"/>
    <cellStyle name="Uwaga 2 11 55 2" xfId="36179"/>
    <cellStyle name="Uwaga 2 11 55 3" xfId="36180"/>
    <cellStyle name="Uwaga 2 11 56" xfId="36181"/>
    <cellStyle name="Uwaga 2 11 56 2" xfId="36182"/>
    <cellStyle name="Uwaga 2 11 56 3" xfId="36183"/>
    <cellStyle name="Uwaga 2 11 57" xfId="36184"/>
    <cellStyle name="Uwaga 2 11 58" xfId="36185"/>
    <cellStyle name="Uwaga 2 11 6" xfId="36186"/>
    <cellStyle name="Uwaga 2 11 6 2" xfId="36187"/>
    <cellStyle name="Uwaga 2 11 6 3" xfId="36188"/>
    <cellStyle name="Uwaga 2 11 6 4" xfId="36189"/>
    <cellStyle name="Uwaga 2 11 7" xfId="36190"/>
    <cellStyle name="Uwaga 2 11 7 2" xfId="36191"/>
    <cellStyle name="Uwaga 2 11 7 3" xfId="36192"/>
    <cellStyle name="Uwaga 2 11 7 4" xfId="36193"/>
    <cellStyle name="Uwaga 2 11 8" xfId="36194"/>
    <cellStyle name="Uwaga 2 11 8 2" xfId="36195"/>
    <cellStyle name="Uwaga 2 11 8 3" xfId="36196"/>
    <cellStyle name="Uwaga 2 11 8 4" xfId="36197"/>
    <cellStyle name="Uwaga 2 11 9" xfId="36198"/>
    <cellStyle name="Uwaga 2 11 9 2" xfId="36199"/>
    <cellStyle name="Uwaga 2 11 9 3" xfId="36200"/>
    <cellStyle name="Uwaga 2 11 9 4" xfId="36201"/>
    <cellStyle name="Uwaga 2 12" xfId="36202"/>
    <cellStyle name="Uwaga 2 12 10" xfId="36203"/>
    <cellStyle name="Uwaga 2 12 10 2" xfId="36204"/>
    <cellStyle name="Uwaga 2 12 10 3" xfId="36205"/>
    <cellStyle name="Uwaga 2 12 10 4" xfId="36206"/>
    <cellStyle name="Uwaga 2 12 11" xfId="36207"/>
    <cellStyle name="Uwaga 2 12 11 2" xfId="36208"/>
    <cellStyle name="Uwaga 2 12 11 3" xfId="36209"/>
    <cellStyle name="Uwaga 2 12 11 4" xfId="36210"/>
    <cellStyle name="Uwaga 2 12 12" xfId="36211"/>
    <cellStyle name="Uwaga 2 12 12 2" xfId="36212"/>
    <cellStyle name="Uwaga 2 12 12 3" xfId="36213"/>
    <cellStyle name="Uwaga 2 12 12 4" xfId="36214"/>
    <cellStyle name="Uwaga 2 12 13" xfId="36215"/>
    <cellStyle name="Uwaga 2 12 13 2" xfId="36216"/>
    <cellStyle name="Uwaga 2 12 13 3" xfId="36217"/>
    <cellStyle name="Uwaga 2 12 13 4" xfId="36218"/>
    <cellStyle name="Uwaga 2 12 14" xfId="36219"/>
    <cellStyle name="Uwaga 2 12 14 2" xfId="36220"/>
    <cellStyle name="Uwaga 2 12 14 3" xfId="36221"/>
    <cellStyle name="Uwaga 2 12 14 4" xfId="36222"/>
    <cellStyle name="Uwaga 2 12 15" xfId="36223"/>
    <cellStyle name="Uwaga 2 12 15 2" xfId="36224"/>
    <cellStyle name="Uwaga 2 12 15 3" xfId="36225"/>
    <cellStyle name="Uwaga 2 12 15 4" xfId="36226"/>
    <cellStyle name="Uwaga 2 12 16" xfId="36227"/>
    <cellStyle name="Uwaga 2 12 16 2" xfId="36228"/>
    <cellStyle name="Uwaga 2 12 16 3" xfId="36229"/>
    <cellStyle name="Uwaga 2 12 16 4" xfId="36230"/>
    <cellStyle name="Uwaga 2 12 17" xfId="36231"/>
    <cellStyle name="Uwaga 2 12 17 2" xfId="36232"/>
    <cellStyle name="Uwaga 2 12 17 3" xfId="36233"/>
    <cellStyle name="Uwaga 2 12 17 4" xfId="36234"/>
    <cellStyle name="Uwaga 2 12 18" xfId="36235"/>
    <cellStyle name="Uwaga 2 12 18 2" xfId="36236"/>
    <cellStyle name="Uwaga 2 12 18 3" xfId="36237"/>
    <cellStyle name="Uwaga 2 12 18 4" xfId="36238"/>
    <cellStyle name="Uwaga 2 12 19" xfId="36239"/>
    <cellStyle name="Uwaga 2 12 19 2" xfId="36240"/>
    <cellStyle name="Uwaga 2 12 19 3" xfId="36241"/>
    <cellStyle name="Uwaga 2 12 19 4" xfId="36242"/>
    <cellStyle name="Uwaga 2 12 2" xfId="36243"/>
    <cellStyle name="Uwaga 2 12 2 2" xfId="36244"/>
    <cellStyle name="Uwaga 2 12 2 3" xfId="36245"/>
    <cellStyle name="Uwaga 2 12 2 4" xfId="36246"/>
    <cellStyle name="Uwaga 2 12 20" xfId="36247"/>
    <cellStyle name="Uwaga 2 12 20 2" xfId="36248"/>
    <cellStyle name="Uwaga 2 12 20 3" xfId="36249"/>
    <cellStyle name="Uwaga 2 12 20 4" xfId="36250"/>
    <cellStyle name="Uwaga 2 12 21" xfId="36251"/>
    <cellStyle name="Uwaga 2 12 21 2" xfId="36252"/>
    <cellStyle name="Uwaga 2 12 21 3" xfId="36253"/>
    <cellStyle name="Uwaga 2 12 22" xfId="36254"/>
    <cellStyle name="Uwaga 2 12 22 2" xfId="36255"/>
    <cellStyle name="Uwaga 2 12 22 3" xfId="36256"/>
    <cellStyle name="Uwaga 2 12 23" xfId="36257"/>
    <cellStyle name="Uwaga 2 12 23 2" xfId="36258"/>
    <cellStyle name="Uwaga 2 12 23 3" xfId="36259"/>
    <cellStyle name="Uwaga 2 12 24" xfId="36260"/>
    <cellStyle name="Uwaga 2 12 24 2" xfId="36261"/>
    <cellStyle name="Uwaga 2 12 24 3" xfId="36262"/>
    <cellStyle name="Uwaga 2 12 25" xfId="36263"/>
    <cellStyle name="Uwaga 2 12 25 2" xfId="36264"/>
    <cellStyle name="Uwaga 2 12 25 3" xfId="36265"/>
    <cellStyle name="Uwaga 2 12 26" xfId="36266"/>
    <cellStyle name="Uwaga 2 12 26 2" xfId="36267"/>
    <cellStyle name="Uwaga 2 12 26 3" xfId="36268"/>
    <cellStyle name="Uwaga 2 12 27" xfId="36269"/>
    <cellStyle name="Uwaga 2 12 27 2" xfId="36270"/>
    <cellStyle name="Uwaga 2 12 27 3" xfId="36271"/>
    <cellStyle name="Uwaga 2 12 28" xfId="36272"/>
    <cellStyle name="Uwaga 2 12 28 2" xfId="36273"/>
    <cellStyle name="Uwaga 2 12 28 3" xfId="36274"/>
    <cellStyle name="Uwaga 2 12 29" xfId="36275"/>
    <cellStyle name="Uwaga 2 12 29 2" xfId="36276"/>
    <cellStyle name="Uwaga 2 12 29 3" xfId="36277"/>
    <cellStyle name="Uwaga 2 12 3" xfId="36278"/>
    <cellStyle name="Uwaga 2 12 3 2" xfId="36279"/>
    <cellStyle name="Uwaga 2 12 3 3" xfId="36280"/>
    <cellStyle name="Uwaga 2 12 3 4" xfId="36281"/>
    <cellStyle name="Uwaga 2 12 30" xfId="36282"/>
    <cellStyle name="Uwaga 2 12 30 2" xfId="36283"/>
    <cellStyle name="Uwaga 2 12 30 3" xfId="36284"/>
    <cellStyle name="Uwaga 2 12 31" xfId="36285"/>
    <cellStyle name="Uwaga 2 12 31 2" xfId="36286"/>
    <cellStyle name="Uwaga 2 12 31 3" xfId="36287"/>
    <cellStyle name="Uwaga 2 12 32" xfId="36288"/>
    <cellStyle name="Uwaga 2 12 32 2" xfId="36289"/>
    <cellStyle name="Uwaga 2 12 32 3" xfId="36290"/>
    <cellStyle name="Uwaga 2 12 33" xfId="36291"/>
    <cellStyle name="Uwaga 2 12 33 2" xfId="36292"/>
    <cellStyle name="Uwaga 2 12 33 3" xfId="36293"/>
    <cellStyle name="Uwaga 2 12 34" xfId="36294"/>
    <cellStyle name="Uwaga 2 12 34 2" xfId="36295"/>
    <cellStyle name="Uwaga 2 12 34 3" xfId="36296"/>
    <cellStyle name="Uwaga 2 12 35" xfId="36297"/>
    <cellStyle name="Uwaga 2 12 35 2" xfId="36298"/>
    <cellStyle name="Uwaga 2 12 35 3" xfId="36299"/>
    <cellStyle name="Uwaga 2 12 36" xfId="36300"/>
    <cellStyle name="Uwaga 2 12 36 2" xfId="36301"/>
    <cellStyle name="Uwaga 2 12 36 3" xfId="36302"/>
    <cellStyle name="Uwaga 2 12 37" xfId="36303"/>
    <cellStyle name="Uwaga 2 12 37 2" xfId="36304"/>
    <cellStyle name="Uwaga 2 12 37 3" xfId="36305"/>
    <cellStyle name="Uwaga 2 12 38" xfId="36306"/>
    <cellStyle name="Uwaga 2 12 38 2" xfId="36307"/>
    <cellStyle name="Uwaga 2 12 38 3" xfId="36308"/>
    <cellStyle name="Uwaga 2 12 39" xfId="36309"/>
    <cellStyle name="Uwaga 2 12 39 2" xfId="36310"/>
    <cellStyle name="Uwaga 2 12 39 3" xfId="36311"/>
    <cellStyle name="Uwaga 2 12 4" xfId="36312"/>
    <cellStyle name="Uwaga 2 12 4 2" xfId="36313"/>
    <cellStyle name="Uwaga 2 12 4 3" xfId="36314"/>
    <cellStyle name="Uwaga 2 12 4 4" xfId="36315"/>
    <cellStyle name="Uwaga 2 12 40" xfId="36316"/>
    <cellStyle name="Uwaga 2 12 40 2" xfId="36317"/>
    <cellStyle name="Uwaga 2 12 40 3" xfId="36318"/>
    <cellStyle name="Uwaga 2 12 41" xfId="36319"/>
    <cellStyle name="Uwaga 2 12 41 2" xfId="36320"/>
    <cellStyle name="Uwaga 2 12 41 3" xfId="36321"/>
    <cellStyle name="Uwaga 2 12 42" xfId="36322"/>
    <cellStyle name="Uwaga 2 12 42 2" xfId="36323"/>
    <cellStyle name="Uwaga 2 12 42 3" xfId="36324"/>
    <cellStyle name="Uwaga 2 12 43" xfId="36325"/>
    <cellStyle name="Uwaga 2 12 43 2" xfId="36326"/>
    <cellStyle name="Uwaga 2 12 43 3" xfId="36327"/>
    <cellStyle name="Uwaga 2 12 44" xfId="36328"/>
    <cellStyle name="Uwaga 2 12 44 2" xfId="36329"/>
    <cellStyle name="Uwaga 2 12 44 3" xfId="36330"/>
    <cellStyle name="Uwaga 2 12 45" xfId="36331"/>
    <cellStyle name="Uwaga 2 12 45 2" xfId="36332"/>
    <cellStyle name="Uwaga 2 12 45 3" xfId="36333"/>
    <cellStyle name="Uwaga 2 12 46" xfId="36334"/>
    <cellStyle name="Uwaga 2 12 46 2" xfId="36335"/>
    <cellStyle name="Uwaga 2 12 46 3" xfId="36336"/>
    <cellStyle name="Uwaga 2 12 47" xfId="36337"/>
    <cellStyle name="Uwaga 2 12 47 2" xfId="36338"/>
    <cellStyle name="Uwaga 2 12 47 3" xfId="36339"/>
    <cellStyle name="Uwaga 2 12 48" xfId="36340"/>
    <cellStyle name="Uwaga 2 12 48 2" xfId="36341"/>
    <cellStyle name="Uwaga 2 12 48 3" xfId="36342"/>
    <cellStyle name="Uwaga 2 12 49" xfId="36343"/>
    <cellStyle name="Uwaga 2 12 49 2" xfId="36344"/>
    <cellStyle name="Uwaga 2 12 49 3" xfId="36345"/>
    <cellStyle name="Uwaga 2 12 5" xfId="36346"/>
    <cellStyle name="Uwaga 2 12 5 2" xfId="36347"/>
    <cellStyle name="Uwaga 2 12 5 3" xfId="36348"/>
    <cellStyle name="Uwaga 2 12 5 4" xfId="36349"/>
    <cellStyle name="Uwaga 2 12 50" xfId="36350"/>
    <cellStyle name="Uwaga 2 12 50 2" xfId="36351"/>
    <cellStyle name="Uwaga 2 12 50 3" xfId="36352"/>
    <cellStyle name="Uwaga 2 12 51" xfId="36353"/>
    <cellStyle name="Uwaga 2 12 51 2" xfId="36354"/>
    <cellStyle name="Uwaga 2 12 51 3" xfId="36355"/>
    <cellStyle name="Uwaga 2 12 52" xfId="36356"/>
    <cellStyle name="Uwaga 2 12 52 2" xfId="36357"/>
    <cellStyle name="Uwaga 2 12 52 3" xfId="36358"/>
    <cellStyle name="Uwaga 2 12 53" xfId="36359"/>
    <cellStyle name="Uwaga 2 12 53 2" xfId="36360"/>
    <cellStyle name="Uwaga 2 12 53 3" xfId="36361"/>
    <cellStyle name="Uwaga 2 12 54" xfId="36362"/>
    <cellStyle name="Uwaga 2 12 54 2" xfId="36363"/>
    <cellStyle name="Uwaga 2 12 54 3" xfId="36364"/>
    <cellStyle name="Uwaga 2 12 55" xfId="36365"/>
    <cellStyle name="Uwaga 2 12 55 2" xfId="36366"/>
    <cellStyle name="Uwaga 2 12 55 3" xfId="36367"/>
    <cellStyle name="Uwaga 2 12 56" xfId="36368"/>
    <cellStyle name="Uwaga 2 12 56 2" xfId="36369"/>
    <cellStyle name="Uwaga 2 12 56 3" xfId="36370"/>
    <cellStyle name="Uwaga 2 12 57" xfId="36371"/>
    <cellStyle name="Uwaga 2 12 58" xfId="36372"/>
    <cellStyle name="Uwaga 2 12 6" xfId="36373"/>
    <cellStyle name="Uwaga 2 12 6 2" xfId="36374"/>
    <cellStyle name="Uwaga 2 12 6 3" xfId="36375"/>
    <cellStyle name="Uwaga 2 12 6 4" xfId="36376"/>
    <cellStyle name="Uwaga 2 12 7" xfId="36377"/>
    <cellStyle name="Uwaga 2 12 7 2" xfId="36378"/>
    <cellStyle name="Uwaga 2 12 7 3" xfId="36379"/>
    <cellStyle name="Uwaga 2 12 7 4" xfId="36380"/>
    <cellStyle name="Uwaga 2 12 8" xfId="36381"/>
    <cellStyle name="Uwaga 2 12 8 2" xfId="36382"/>
    <cellStyle name="Uwaga 2 12 8 3" xfId="36383"/>
    <cellStyle name="Uwaga 2 12 8 4" xfId="36384"/>
    <cellStyle name="Uwaga 2 12 9" xfId="36385"/>
    <cellStyle name="Uwaga 2 12 9 2" xfId="36386"/>
    <cellStyle name="Uwaga 2 12 9 3" xfId="36387"/>
    <cellStyle name="Uwaga 2 12 9 4" xfId="36388"/>
    <cellStyle name="Uwaga 2 13" xfId="36389"/>
    <cellStyle name="Uwaga 2 13 10" xfId="36390"/>
    <cellStyle name="Uwaga 2 13 10 2" xfId="36391"/>
    <cellStyle name="Uwaga 2 13 10 3" xfId="36392"/>
    <cellStyle name="Uwaga 2 13 10 4" xfId="36393"/>
    <cellStyle name="Uwaga 2 13 11" xfId="36394"/>
    <cellStyle name="Uwaga 2 13 11 2" xfId="36395"/>
    <cellStyle name="Uwaga 2 13 11 3" xfId="36396"/>
    <cellStyle name="Uwaga 2 13 11 4" xfId="36397"/>
    <cellStyle name="Uwaga 2 13 12" xfId="36398"/>
    <cellStyle name="Uwaga 2 13 12 2" xfId="36399"/>
    <cellStyle name="Uwaga 2 13 12 3" xfId="36400"/>
    <cellStyle name="Uwaga 2 13 12 4" xfId="36401"/>
    <cellStyle name="Uwaga 2 13 13" xfId="36402"/>
    <cellStyle name="Uwaga 2 13 13 2" xfId="36403"/>
    <cellStyle name="Uwaga 2 13 13 3" xfId="36404"/>
    <cellStyle name="Uwaga 2 13 13 4" xfId="36405"/>
    <cellStyle name="Uwaga 2 13 14" xfId="36406"/>
    <cellStyle name="Uwaga 2 13 14 2" xfId="36407"/>
    <cellStyle name="Uwaga 2 13 14 3" xfId="36408"/>
    <cellStyle name="Uwaga 2 13 14 4" xfId="36409"/>
    <cellStyle name="Uwaga 2 13 15" xfId="36410"/>
    <cellStyle name="Uwaga 2 13 15 2" xfId="36411"/>
    <cellStyle name="Uwaga 2 13 15 3" xfId="36412"/>
    <cellStyle name="Uwaga 2 13 15 4" xfId="36413"/>
    <cellStyle name="Uwaga 2 13 16" xfId="36414"/>
    <cellStyle name="Uwaga 2 13 16 2" xfId="36415"/>
    <cellStyle name="Uwaga 2 13 16 3" xfId="36416"/>
    <cellStyle name="Uwaga 2 13 16 4" xfId="36417"/>
    <cellStyle name="Uwaga 2 13 17" xfId="36418"/>
    <cellStyle name="Uwaga 2 13 17 2" xfId="36419"/>
    <cellStyle name="Uwaga 2 13 17 3" xfId="36420"/>
    <cellStyle name="Uwaga 2 13 17 4" xfId="36421"/>
    <cellStyle name="Uwaga 2 13 18" xfId="36422"/>
    <cellStyle name="Uwaga 2 13 18 2" xfId="36423"/>
    <cellStyle name="Uwaga 2 13 18 3" xfId="36424"/>
    <cellStyle name="Uwaga 2 13 18 4" xfId="36425"/>
    <cellStyle name="Uwaga 2 13 19" xfId="36426"/>
    <cellStyle name="Uwaga 2 13 19 2" xfId="36427"/>
    <cellStyle name="Uwaga 2 13 19 3" xfId="36428"/>
    <cellStyle name="Uwaga 2 13 19 4" xfId="36429"/>
    <cellStyle name="Uwaga 2 13 2" xfId="36430"/>
    <cellStyle name="Uwaga 2 13 2 2" xfId="36431"/>
    <cellStyle name="Uwaga 2 13 2 3" xfId="36432"/>
    <cellStyle name="Uwaga 2 13 2 4" xfId="36433"/>
    <cellStyle name="Uwaga 2 13 20" xfId="36434"/>
    <cellStyle name="Uwaga 2 13 20 2" xfId="36435"/>
    <cellStyle name="Uwaga 2 13 20 3" xfId="36436"/>
    <cellStyle name="Uwaga 2 13 20 4" xfId="36437"/>
    <cellStyle name="Uwaga 2 13 21" xfId="36438"/>
    <cellStyle name="Uwaga 2 13 21 2" xfId="36439"/>
    <cellStyle name="Uwaga 2 13 21 3" xfId="36440"/>
    <cellStyle name="Uwaga 2 13 22" xfId="36441"/>
    <cellStyle name="Uwaga 2 13 22 2" xfId="36442"/>
    <cellStyle name="Uwaga 2 13 22 3" xfId="36443"/>
    <cellStyle name="Uwaga 2 13 23" xfId="36444"/>
    <cellStyle name="Uwaga 2 13 23 2" xfId="36445"/>
    <cellStyle name="Uwaga 2 13 23 3" xfId="36446"/>
    <cellStyle name="Uwaga 2 13 24" xfId="36447"/>
    <cellStyle name="Uwaga 2 13 24 2" xfId="36448"/>
    <cellStyle name="Uwaga 2 13 24 3" xfId="36449"/>
    <cellStyle name="Uwaga 2 13 25" xfId="36450"/>
    <cellStyle name="Uwaga 2 13 25 2" xfId="36451"/>
    <cellStyle name="Uwaga 2 13 25 3" xfId="36452"/>
    <cellStyle name="Uwaga 2 13 26" xfId="36453"/>
    <cellStyle name="Uwaga 2 13 26 2" xfId="36454"/>
    <cellStyle name="Uwaga 2 13 26 3" xfId="36455"/>
    <cellStyle name="Uwaga 2 13 27" xfId="36456"/>
    <cellStyle name="Uwaga 2 13 27 2" xfId="36457"/>
    <cellStyle name="Uwaga 2 13 27 3" xfId="36458"/>
    <cellStyle name="Uwaga 2 13 28" xfId="36459"/>
    <cellStyle name="Uwaga 2 13 28 2" xfId="36460"/>
    <cellStyle name="Uwaga 2 13 28 3" xfId="36461"/>
    <cellStyle name="Uwaga 2 13 29" xfId="36462"/>
    <cellStyle name="Uwaga 2 13 29 2" xfId="36463"/>
    <cellStyle name="Uwaga 2 13 29 3" xfId="36464"/>
    <cellStyle name="Uwaga 2 13 3" xfId="36465"/>
    <cellStyle name="Uwaga 2 13 3 2" xfId="36466"/>
    <cellStyle name="Uwaga 2 13 3 3" xfId="36467"/>
    <cellStyle name="Uwaga 2 13 3 4" xfId="36468"/>
    <cellStyle name="Uwaga 2 13 30" xfId="36469"/>
    <cellStyle name="Uwaga 2 13 30 2" xfId="36470"/>
    <cellStyle name="Uwaga 2 13 30 3" xfId="36471"/>
    <cellStyle name="Uwaga 2 13 31" xfId="36472"/>
    <cellStyle name="Uwaga 2 13 31 2" xfId="36473"/>
    <cellStyle name="Uwaga 2 13 31 3" xfId="36474"/>
    <cellStyle name="Uwaga 2 13 32" xfId="36475"/>
    <cellStyle name="Uwaga 2 13 32 2" xfId="36476"/>
    <cellStyle name="Uwaga 2 13 32 3" xfId="36477"/>
    <cellStyle name="Uwaga 2 13 33" xfId="36478"/>
    <cellStyle name="Uwaga 2 13 33 2" xfId="36479"/>
    <cellStyle name="Uwaga 2 13 33 3" xfId="36480"/>
    <cellStyle name="Uwaga 2 13 34" xfId="36481"/>
    <cellStyle name="Uwaga 2 13 34 2" xfId="36482"/>
    <cellStyle name="Uwaga 2 13 34 3" xfId="36483"/>
    <cellStyle name="Uwaga 2 13 35" xfId="36484"/>
    <cellStyle name="Uwaga 2 13 35 2" xfId="36485"/>
    <cellStyle name="Uwaga 2 13 35 3" xfId="36486"/>
    <cellStyle name="Uwaga 2 13 36" xfId="36487"/>
    <cellStyle name="Uwaga 2 13 36 2" xfId="36488"/>
    <cellStyle name="Uwaga 2 13 36 3" xfId="36489"/>
    <cellStyle name="Uwaga 2 13 37" xfId="36490"/>
    <cellStyle name="Uwaga 2 13 37 2" xfId="36491"/>
    <cellStyle name="Uwaga 2 13 37 3" xfId="36492"/>
    <cellStyle name="Uwaga 2 13 38" xfId="36493"/>
    <cellStyle name="Uwaga 2 13 38 2" xfId="36494"/>
    <cellStyle name="Uwaga 2 13 38 3" xfId="36495"/>
    <cellStyle name="Uwaga 2 13 39" xfId="36496"/>
    <cellStyle name="Uwaga 2 13 39 2" xfId="36497"/>
    <cellStyle name="Uwaga 2 13 39 3" xfId="36498"/>
    <cellStyle name="Uwaga 2 13 4" xfId="36499"/>
    <cellStyle name="Uwaga 2 13 4 2" xfId="36500"/>
    <cellStyle name="Uwaga 2 13 4 3" xfId="36501"/>
    <cellStyle name="Uwaga 2 13 4 4" xfId="36502"/>
    <cellStyle name="Uwaga 2 13 40" xfId="36503"/>
    <cellStyle name="Uwaga 2 13 40 2" xfId="36504"/>
    <cellStyle name="Uwaga 2 13 40 3" xfId="36505"/>
    <cellStyle name="Uwaga 2 13 41" xfId="36506"/>
    <cellStyle name="Uwaga 2 13 41 2" xfId="36507"/>
    <cellStyle name="Uwaga 2 13 41 3" xfId="36508"/>
    <cellStyle name="Uwaga 2 13 42" xfId="36509"/>
    <cellStyle name="Uwaga 2 13 42 2" xfId="36510"/>
    <cellStyle name="Uwaga 2 13 42 3" xfId="36511"/>
    <cellStyle name="Uwaga 2 13 43" xfId="36512"/>
    <cellStyle name="Uwaga 2 13 43 2" xfId="36513"/>
    <cellStyle name="Uwaga 2 13 43 3" xfId="36514"/>
    <cellStyle name="Uwaga 2 13 44" xfId="36515"/>
    <cellStyle name="Uwaga 2 13 44 2" xfId="36516"/>
    <cellStyle name="Uwaga 2 13 44 3" xfId="36517"/>
    <cellStyle name="Uwaga 2 13 45" xfId="36518"/>
    <cellStyle name="Uwaga 2 13 45 2" xfId="36519"/>
    <cellStyle name="Uwaga 2 13 45 3" xfId="36520"/>
    <cellStyle name="Uwaga 2 13 46" xfId="36521"/>
    <cellStyle name="Uwaga 2 13 46 2" xfId="36522"/>
    <cellStyle name="Uwaga 2 13 46 3" xfId="36523"/>
    <cellStyle name="Uwaga 2 13 47" xfId="36524"/>
    <cellStyle name="Uwaga 2 13 47 2" xfId="36525"/>
    <cellStyle name="Uwaga 2 13 47 3" xfId="36526"/>
    <cellStyle name="Uwaga 2 13 48" xfId="36527"/>
    <cellStyle name="Uwaga 2 13 48 2" xfId="36528"/>
    <cellStyle name="Uwaga 2 13 48 3" xfId="36529"/>
    <cellStyle name="Uwaga 2 13 49" xfId="36530"/>
    <cellStyle name="Uwaga 2 13 49 2" xfId="36531"/>
    <cellStyle name="Uwaga 2 13 49 3" xfId="36532"/>
    <cellStyle name="Uwaga 2 13 5" xfId="36533"/>
    <cellStyle name="Uwaga 2 13 5 2" xfId="36534"/>
    <cellStyle name="Uwaga 2 13 5 3" xfId="36535"/>
    <cellStyle name="Uwaga 2 13 5 4" xfId="36536"/>
    <cellStyle name="Uwaga 2 13 50" xfId="36537"/>
    <cellStyle name="Uwaga 2 13 50 2" xfId="36538"/>
    <cellStyle name="Uwaga 2 13 50 3" xfId="36539"/>
    <cellStyle name="Uwaga 2 13 51" xfId="36540"/>
    <cellStyle name="Uwaga 2 13 51 2" xfId="36541"/>
    <cellStyle name="Uwaga 2 13 51 3" xfId="36542"/>
    <cellStyle name="Uwaga 2 13 52" xfId="36543"/>
    <cellStyle name="Uwaga 2 13 52 2" xfId="36544"/>
    <cellStyle name="Uwaga 2 13 52 3" xfId="36545"/>
    <cellStyle name="Uwaga 2 13 53" xfId="36546"/>
    <cellStyle name="Uwaga 2 13 53 2" xfId="36547"/>
    <cellStyle name="Uwaga 2 13 53 3" xfId="36548"/>
    <cellStyle name="Uwaga 2 13 54" xfId="36549"/>
    <cellStyle name="Uwaga 2 13 54 2" xfId="36550"/>
    <cellStyle name="Uwaga 2 13 54 3" xfId="36551"/>
    <cellStyle name="Uwaga 2 13 55" xfId="36552"/>
    <cellStyle name="Uwaga 2 13 55 2" xfId="36553"/>
    <cellStyle name="Uwaga 2 13 55 3" xfId="36554"/>
    <cellStyle name="Uwaga 2 13 56" xfId="36555"/>
    <cellStyle name="Uwaga 2 13 56 2" xfId="36556"/>
    <cellStyle name="Uwaga 2 13 56 3" xfId="36557"/>
    <cellStyle name="Uwaga 2 13 57" xfId="36558"/>
    <cellStyle name="Uwaga 2 13 58" xfId="36559"/>
    <cellStyle name="Uwaga 2 13 6" xfId="36560"/>
    <cellStyle name="Uwaga 2 13 6 2" xfId="36561"/>
    <cellStyle name="Uwaga 2 13 6 3" xfId="36562"/>
    <cellStyle name="Uwaga 2 13 6 4" xfId="36563"/>
    <cellStyle name="Uwaga 2 13 7" xfId="36564"/>
    <cellStyle name="Uwaga 2 13 7 2" xfId="36565"/>
    <cellStyle name="Uwaga 2 13 7 3" xfId="36566"/>
    <cellStyle name="Uwaga 2 13 7 4" xfId="36567"/>
    <cellStyle name="Uwaga 2 13 8" xfId="36568"/>
    <cellStyle name="Uwaga 2 13 8 2" xfId="36569"/>
    <cellStyle name="Uwaga 2 13 8 3" xfId="36570"/>
    <cellStyle name="Uwaga 2 13 8 4" xfId="36571"/>
    <cellStyle name="Uwaga 2 13 9" xfId="36572"/>
    <cellStyle name="Uwaga 2 13 9 2" xfId="36573"/>
    <cellStyle name="Uwaga 2 13 9 3" xfId="36574"/>
    <cellStyle name="Uwaga 2 13 9 4" xfId="36575"/>
    <cellStyle name="Uwaga 2 14" xfId="36576"/>
    <cellStyle name="Uwaga 2 14 10" xfId="36577"/>
    <cellStyle name="Uwaga 2 14 10 2" xfId="36578"/>
    <cellStyle name="Uwaga 2 14 10 3" xfId="36579"/>
    <cellStyle name="Uwaga 2 14 10 4" xfId="36580"/>
    <cellStyle name="Uwaga 2 14 11" xfId="36581"/>
    <cellStyle name="Uwaga 2 14 11 2" xfId="36582"/>
    <cellStyle name="Uwaga 2 14 11 3" xfId="36583"/>
    <cellStyle name="Uwaga 2 14 11 4" xfId="36584"/>
    <cellStyle name="Uwaga 2 14 12" xfId="36585"/>
    <cellStyle name="Uwaga 2 14 12 2" xfId="36586"/>
    <cellStyle name="Uwaga 2 14 12 3" xfId="36587"/>
    <cellStyle name="Uwaga 2 14 12 4" xfId="36588"/>
    <cellStyle name="Uwaga 2 14 13" xfId="36589"/>
    <cellStyle name="Uwaga 2 14 13 2" xfId="36590"/>
    <cellStyle name="Uwaga 2 14 13 3" xfId="36591"/>
    <cellStyle name="Uwaga 2 14 13 4" xfId="36592"/>
    <cellStyle name="Uwaga 2 14 14" xfId="36593"/>
    <cellStyle name="Uwaga 2 14 14 2" xfId="36594"/>
    <cellStyle name="Uwaga 2 14 14 3" xfId="36595"/>
    <cellStyle name="Uwaga 2 14 14 4" xfId="36596"/>
    <cellStyle name="Uwaga 2 14 15" xfId="36597"/>
    <cellStyle name="Uwaga 2 14 15 2" xfId="36598"/>
    <cellStyle name="Uwaga 2 14 15 3" xfId="36599"/>
    <cellStyle name="Uwaga 2 14 15 4" xfId="36600"/>
    <cellStyle name="Uwaga 2 14 16" xfId="36601"/>
    <cellStyle name="Uwaga 2 14 16 2" xfId="36602"/>
    <cellStyle name="Uwaga 2 14 16 3" xfId="36603"/>
    <cellStyle name="Uwaga 2 14 16 4" xfId="36604"/>
    <cellStyle name="Uwaga 2 14 17" xfId="36605"/>
    <cellStyle name="Uwaga 2 14 17 2" xfId="36606"/>
    <cellStyle name="Uwaga 2 14 17 3" xfId="36607"/>
    <cellStyle name="Uwaga 2 14 17 4" xfId="36608"/>
    <cellStyle name="Uwaga 2 14 18" xfId="36609"/>
    <cellStyle name="Uwaga 2 14 18 2" xfId="36610"/>
    <cellStyle name="Uwaga 2 14 18 3" xfId="36611"/>
    <cellStyle name="Uwaga 2 14 18 4" xfId="36612"/>
    <cellStyle name="Uwaga 2 14 19" xfId="36613"/>
    <cellStyle name="Uwaga 2 14 19 2" xfId="36614"/>
    <cellStyle name="Uwaga 2 14 19 3" xfId="36615"/>
    <cellStyle name="Uwaga 2 14 19 4" xfId="36616"/>
    <cellStyle name="Uwaga 2 14 2" xfId="36617"/>
    <cellStyle name="Uwaga 2 14 2 2" xfId="36618"/>
    <cellStyle name="Uwaga 2 14 2 3" xfId="36619"/>
    <cellStyle name="Uwaga 2 14 2 4" xfId="36620"/>
    <cellStyle name="Uwaga 2 14 20" xfId="36621"/>
    <cellStyle name="Uwaga 2 14 20 2" xfId="36622"/>
    <cellStyle name="Uwaga 2 14 20 3" xfId="36623"/>
    <cellStyle name="Uwaga 2 14 20 4" xfId="36624"/>
    <cellStyle name="Uwaga 2 14 21" xfId="36625"/>
    <cellStyle name="Uwaga 2 14 21 2" xfId="36626"/>
    <cellStyle name="Uwaga 2 14 21 3" xfId="36627"/>
    <cellStyle name="Uwaga 2 14 22" xfId="36628"/>
    <cellStyle name="Uwaga 2 14 22 2" xfId="36629"/>
    <cellStyle name="Uwaga 2 14 22 3" xfId="36630"/>
    <cellStyle name="Uwaga 2 14 23" xfId="36631"/>
    <cellStyle name="Uwaga 2 14 23 2" xfId="36632"/>
    <cellStyle name="Uwaga 2 14 23 3" xfId="36633"/>
    <cellStyle name="Uwaga 2 14 24" xfId="36634"/>
    <cellStyle name="Uwaga 2 14 24 2" xfId="36635"/>
    <cellStyle name="Uwaga 2 14 24 3" xfId="36636"/>
    <cellStyle name="Uwaga 2 14 25" xfId="36637"/>
    <cellStyle name="Uwaga 2 14 25 2" xfId="36638"/>
    <cellStyle name="Uwaga 2 14 25 3" xfId="36639"/>
    <cellStyle name="Uwaga 2 14 26" xfId="36640"/>
    <cellStyle name="Uwaga 2 14 26 2" xfId="36641"/>
    <cellStyle name="Uwaga 2 14 26 3" xfId="36642"/>
    <cellStyle name="Uwaga 2 14 27" xfId="36643"/>
    <cellStyle name="Uwaga 2 14 27 2" xfId="36644"/>
    <cellStyle name="Uwaga 2 14 27 3" xfId="36645"/>
    <cellStyle name="Uwaga 2 14 28" xfId="36646"/>
    <cellStyle name="Uwaga 2 14 28 2" xfId="36647"/>
    <cellStyle name="Uwaga 2 14 28 3" xfId="36648"/>
    <cellStyle name="Uwaga 2 14 29" xfId="36649"/>
    <cellStyle name="Uwaga 2 14 29 2" xfId="36650"/>
    <cellStyle name="Uwaga 2 14 29 3" xfId="36651"/>
    <cellStyle name="Uwaga 2 14 3" xfId="36652"/>
    <cellStyle name="Uwaga 2 14 3 2" xfId="36653"/>
    <cellStyle name="Uwaga 2 14 3 3" xfId="36654"/>
    <cellStyle name="Uwaga 2 14 3 4" xfId="36655"/>
    <cellStyle name="Uwaga 2 14 30" xfId="36656"/>
    <cellStyle name="Uwaga 2 14 30 2" xfId="36657"/>
    <cellStyle name="Uwaga 2 14 30 3" xfId="36658"/>
    <cellStyle name="Uwaga 2 14 31" xfId="36659"/>
    <cellStyle name="Uwaga 2 14 31 2" xfId="36660"/>
    <cellStyle name="Uwaga 2 14 31 3" xfId="36661"/>
    <cellStyle name="Uwaga 2 14 32" xfId="36662"/>
    <cellStyle name="Uwaga 2 14 32 2" xfId="36663"/>
    <cellStyle name="Uwaga 2 14 32 3" xfId="36664"/>
    <cellStyle name="Uwaga 2 14 33" xfId="36665"/>
    <cellStyle name="Uwaga 2 14 33 2" xfId="36666"/>
    <cellStyle name="Uwaga 2 14 33 3" xfId="36667"/>
    <cellStyle name="Uwaga 2 14 34" xfId="36668"/>
    <cellStyle name="Uwaga 2 14 34 2" xfId="36669"/>
    <cellStyle name="Uwaga 2 14 34 3" xfId="36670"/>
    <cellStyle name="Uwaga 2 14 35" xfId="36671"/>
    <cellStyle name="Uwaga 2 14 35 2" xfId="36672"/>
    <cellStyle name="Uwaga 2 14 35 3" xfId="36673"/>
    <cellStyle name="Uwaga 2 14 36" xfId="36674"/>
    <cellStyle name="Uwaga 2 14 36 2" xfId="36675"/>
    <cellStyle name="Uwaga 2 14 36 3" xfId="36676"/>
    <cellStyle name="Uwaga 2 14 37" xfId="36677"/>
    <cellStyle name="Uwaga 2 14 37 2" xfId="36678"/>
    <cellStyle name="Uwaga 2 14 37 3" xfId="36679"/>
    <cellStyle name="Uwaga 2 14 38" xfId="36680"/>
    <cellStyle name="Uwaga 2 14 38 2" xfId="36681"/>
    <cellStyle name="Uwaga 2 14 38 3" xfId="36682"/>
    <cellStyle name="Uwaga 2 14 39" xfId="36683"/>
    <cellStyle name="Uwaga 2 14 39 2" xfId="36684"/>
    <cellStyle name="Uwaga 2 14 39 3" xfId="36685"/>
    <cellStyle name="Uwaga 2 14 4" xfId="36686"/>
    <cellStyle name="Uwaga 2 14 4 2" xfId="36687"/>
    <cellStyle name="Uwaga 2 14 4 3" xfId="36688"/>
    <cellStyle name="Uwaga 2 14 4 4" xfId="36689"/>
    <cellStyle name="Uwaga 2 14 40" xfId="36690"/>
    <cellStyle name="Uwaga 2 14 40 2" xfId="36691"/>
    <cellStyle name="Uwaga 2 14 40 3" xfId="36692"/>
    <cellStyle name="Uwaga 2 14 41" xfId="36693"/>
    <cellStyle name="Uwaga 2 14 41 2" xfId="36694"/>
    <cellStyle name="Uwaga 2 14 41 3" xfId="36695"/>
    <cellStyle name="Uwaga 2 14 42" xfId="36696"/>
    <cellStyle name="Uwaga 2 14 42 2" xfId="36697"/>
    <cellStyle name="Uwaga 2 14 42 3" xfId="36698"/>
    <cellStyle name="Uwaga 2 14 43" xfId="36699"/>
    <cellStyle name="Uwaga 2 14 43 2" xfId="36700"/>
    <cellStyle name="Uwaga 2 14 43 3" xfId="36701"/>
    <cellStyle name="Uwaga 2 14 44" xfId="36702"/>
    <cellStyle name="Uwaga 2 14 44 2" xfId="36703"/>
    <cellStyle name="Uwaga 2 14 44 3" xfId="36704"/>
    <cellStyle name="Uwaga 2 14 45" xfId="36705"/>
    <cellStyle name="Uwaga 2 14 45 2" xfId="36706"/>
    <cellStyle name="Uwaga 2 14 45 3" xfId="36707"/>
    <cellStyle name="Uwaga 2 14 46" xfId="36708"/>
    <cellStyle name="Uwaga 2 14 46 2" xfId="36709"/>
    <cellStyle name="Uwaga 2 14 46 3" xfId="36710"/>
    <cellStyle name="Uwaga 2 14 47" xfId="36711"/>
    <cellStyle name="Uwaga 2 14 47 2" xfId="36712"/>
    <cellStyle name="Uwaga 2 14 47 3" xfId="36713"/>
    <cellStyle name="Uwaga 2 14 48" xfId="36714"/>
    <cellStyle name="Uwaga 2 14 48 2" xfId="36715"/>
    <cellStyle name="Uwaga 2 14 48 3" xfId="36716"/>
    <cellStyle name="Uwaga 2 14 49" xfId="36717"/>
    <cellStyle name="Uwaga 2 14 49 2" xfId="36718"/>
    <cellStyle name="Uwaga 2 14 49 3" xfId="36719"/>
    <cellStyle name="Uwaga 2 14 5" xfId="36720"/>
    <cellStyle name="Uwaga 2 14 5 2" xfId="36721"/>
    <cellStyle name="Uwaga 2 14 5 3" xfId="36722"/>
    <cellStyle name="Uwaga 2 14 5 4" xfId="36723"/>
    <cellStyle name="Uwaga 2 14 50" xfId="36724"/>
    <cellStyle name="Uwaga 2 14 50 2" xfId="36725"/>
    <cellStyle name="Uwaga 2 14 50 3" xfId="36726"/>
    <cellStyle name="Uwaga 2 14 51" xfId="36727"/>
    <cellStyle name="Uwaga 2 14 51 2" xfId="36728"/>
    <cellStyle name="Uwaga 2 14 51 3" xfId="36729"/>
    <cellStyle name="Uwaga 2 14 52" xfId="36730"/>
    <cellStyle name="Uwaga 2 14 52 2" xfId="36731"/>
    <cellStyle name="Uwaga 2 14 52 3" xfId="36732"/>
    <cellStyle name="Uwaga 2 14 53" xfId="36733"/>
    <cellStyle name="Uwaga 2 14 53 2" xfId="36734"/>
    <cellStyle name="Uwaga 2 14 53 3" xfId="36735"/>
    <cellStyle name="Uwaga 2 14 54" xfId="36736"/>
    <cellStyle name="Uwaga 2 14 54 2" xfId="36737"/>
    <cellStyle name="Uwaga 2 14 54 3" xfId="36738"/>
    <cellStyle name="Uwaga 2 14 55" xfId="36739"/>
    <cellStyle name="Uwaga 2 14 55 2" xfId="36740"/>
    <cellStyle name="Uwaga 2 14 55 3" xfId="36741"/>
    <cellStyle name="Uwaga 2 14 56" xfId="36742"/>
    <cellStyle name="Uwaga 2 14 56 2" xfId="36743"/>
    <cellStyle name="Uwaga 2 14 56 3" xfId="36744"/>
    <cellStyle name="Uwaga 2 14 57" xfId="36745"/>
    <cellStyle name="Uwaga 2 14 58" xfId="36746"/>
    <cellStyle name="Uwaga 2 14 6" xfId="36747"/>
    <cellStyle name="Uwaga 2 14 6 2" xfId="36748"/>
    <cellStyle name="Uwaga 2 14 6 3" xfId="36749"/>
    <cellStyle name="Uwaga 2 14 6 4" xfId="36750"/>
    <cellStyle name="Uwaga 2 14 7" xfId="36751"/>
    <cellStyle name="Uwaga 2 14 7 2" xfId="36752"/>
    <cellStyle name="Uwaga 2 14 7 3" xfId="36753"/>
    <cellStyle name="Uwaga 2 14 7 4" xfId="36754"/>
    <cellStyle name="Uwaga 2 14 8" xfId="36755"/>
    <cellStyle name="Uwaga 2 14 8 2" xfId="36756"/>
    <cellStyle name="Uwaga 2 14 8 3" xfId="36757"/>
    <cellStyle name="Uwaga 2 14 8 4" xfId="36758"/>
    <cellStyle name="Uwaga 2 14 9" xfId="36759"/>
    <cellStyle name="Uwaga 2 14 9 2" xfId="36760"/>
    <cellStyle name="Uwaga 2 14 9 3" xfId="36761"/>
    <cellStyle name="Uwaga 2 14 9 4" xfId="36762"/>
    <cellStyle name="Uwaga 2 15" xfId="36763"/>
    <cellStyle name="Uwaga 2 15 10" xfId="36764"/>
    <cellStyle name="Uwaga 2 15 10 2" xfId="36765"/>
    <cellStyle name="Uwaga 2 15 10 3" xfId="36766"/>
    <cellStyle name="Uwaga 2 15 10 4" xfId="36767"/>
    <cellStyle name="Uwaga 2 15 11" xfId="36768"/>
    <cellStyle name="Uwaga 2 15 11 2" xfId="36769"/>
    <cellStyle name="Uwaga 2 15 11 3" xfId="36770"/>
    <cellStyle name="Uwaga 2 15 11 4" xfId="36771"/>
    <cellStyle name="Uwaga 2 15 12" xfId="36772"/>
    <cellStyle name="Uwaga 2 15 12 2" xfId="36773"/>
    <cellStyle name="Uwaga 2 15 12 3" xfId="36774"/>
    <cellStyle name="Uwaga 2 15 12 4" xfId="36775"/>
    <cellStyle name="Uwaga 2 15 13" xfId="36776"/>
    <cellStyle name="Uwaga 2 15 13 2" xfId="36777"/>
    <cellStyle name="Uwaga 2 15 13 3" xfId="36778"/>
    <cellStyle name="Uwaga 2 15 13 4" xfId="36779"/>
    <cellStyle name="Uwaga 2 15 14" xfId="36780"/>
    <cellStyle name="Uwaga 2 15 14 2" xfId="36781"/>
    <cellStyle name="Uwaga 2 15 14 3" xfId="36782"/>
    <cellStyle name="Uwaga 2 15 14 4" xfId="36783"/>
    <cellStyle name="Uwaga 2 15 15" xfId="36784"/>
    <cellStyle name="Uwaga 2 15 15 2" xfId="36785"/>
    <cellStyle name="Uwaga 2 15 15 3" xfId="36786"/>
    <cellStyle name="Uwaga 2 15 15 4" xfId="36787"/>
    <cellStyle name="Uwaga 2 15 16" xfId="36788"/>
    <cellStyle name="Uwaga 2 15 16 2" xfId="36789"/>
    <cellStyle name="Uwaga 2 15 16 3" xfId="36790"/>
    <cellStyle name="Uwaga 2 15 16 4" xfId="36791"/>
    <cellStyle name="Uwaga 2 15 17" xfId="36792"/>
    <cellStyle name="Uwaga 2 15 17 2" xfId="36793"/>
    <cellStyle name="Uwaga 2 15 17 3" xfId="36794"/>
    <cellStyle name="Uwaga 2 15 17 4" xfId="36795"/>
    <cellStyle name="Uwaga 2 15 18" xfId="36796"/>
    <cellStyle name="Uwaga 2 15 18 2" xfId="36797"/>
    <cellStyle name="Uwaga 2 15 18 3" xfId="36798"/>
    <cellStyle name="Uwaga 2 15 18 4" xfId="36799"/>
    <cellStyle name="Uwaga 2 15 19" xfId="36800"/>
    <cellStyle name="Uwaga 2 15 19 2" xfId="36801"/>
    <cellStyle name="Uwaga 2 15 19 3" xfId="36802"/>
    <cellStyle name="Uwaga 2 15 19 4" xfId="36803"/>
    <cellStyle name="Uwaga 2 15 2" xfId="36804"/>
    <cellStyle name="Uwaga 2 15 2 2" xfId="36805"/>
    <cellStyle name="Uwaga 2 15 2 3" xfId="36806"/>
    <cellStyle name="Uwaga 2 15 2 4" xfId="36807"/>
    <cellStyle name="Uwaga 2 15 20" xfId="36808"/>
    <cellStyle name="Uwaga 2 15 20 2" xfId="36809"/>
    <cellStyle name="Uwaga 2 15 20 3" xfId="36810"/>
    <cellStyle name="Uwaga 2 15 20 4" xfId="36811"/>
    <cellStyle name="Uwaga 2 15 21" xfId="36812"/>
    <cellStyle name="Uwaga 2 15 21 2" xfId="36813"/>
    <cellStyle name="Uwaga 2 15 21 3" xfId="36814"/>
    <cellStyle name="Uwaga 2 15 22" xfId="36815"/>
    <cellStyle name="Uwaga 2 15 22 2" xfId="36816"/>
    <cellStyle name="Uwaga 2 15 22 3" xfId="36817"/>
    <cellStyle name="Uwaga 2 15 23" xfId="36818"/>
    <cellStyle name="Uwaga 2 15 23 2" xfId="36819"/>
    <cellStyle name="Uwaga 2 15 23 3" xfId="36820"/>
    <cellStyle name="Uwaga 2 15 24" xfId="36821"/>
    <cellStyle name="Uwaga 2 15 24 2" xfId="36822"/>
    <cellStyle name="Uwaga 2 15 24 3" xfId="36823"/>
    <cellStyle name="Uwaga 2 15 25" xfId="36824"/>
    <cellStyle name="Uwaga 2 15 25 2" xfId="36825"/>
    <cellStyle name="Uwaga 2 15 25 3" xfId="36826"/>
    <cellStyle name="Uwaga 2 15 26" xfId="36827"/>
    <cellStyle name="Uwaga 2 15 26 2" xfId="36828"/>
    <cellStyle name="Uwaga 2 15 26 3" xfId="36829"/>
    <cellStyle name="Uwaga 2 15 27" xfId="36830"/>
    <cellStyle name="Uwaga 2 15 27 2" xfId="36831"/>
    <cellStyle name="Uwaga 2 15 27 3" xfId="36832"/>
    <cellStyle name="Uwaga 2 15 28" xfId="36833"/>
    <cellStyle name="Uwaga 2 15 28 2" xfId="36834"/>
    <cellStyle name="Uwaga 2 15 28 3" xfId="36835"/>
    <cellStyle name="Uwaga 2 15 29" xfId="36836"/>
    <cellStyle name="Uwaga 2 15 29 2" xfId="36837"/>
    <cellStyle name="Uwaga 2 15 29 3" xfId="36838"/>
    <cellStyle name="Uwaga 2 15 3" xfId="36839"/>
    <cellStyle name="Uwaga 2 15 3 2" xfId="36840"/>
    <cellStyle name="Uwaga 2 15 3 3" xfId="36841"/>
    <cellStyle name="Uwaga 2 15 3 4" xfId="36842"/>
    <cellStyle name="Uwaga 2 15 30" xfId="36843"/>
    <cellStyle name="Uwaga 2 15 30 2" xfId="36844"/>
    <cellStyle name="Uwaga 2 15 30 3" xfId="36845"/>
    <cellStyle name="Uwaga 2 15 31" xfId="36846"/>
    <cellStyle name="Uwaga 2 15 31 2" xfId="36847"/>
    <cellStyle name="Uwaga 2 15 31 3" xfId="36848"/>
    <cellStyle name="Uwaga 2 15 32" xfId="36849"/>
    <cellStyle name="Uwaga 2 15 32 2" xfId="36850"/>
    <cellStyle name="Uwaga 2 15 32 3" xfId="36851"/>
    <cellStyle name="Uwaga 2 15 33" xfId="36852"/>
    <cellStyle name="Uwaga 2 15 33 2" xfId="36853"/>
    <cellStyle name="Uwaga 2 15 33 3" xfId="36854"/>
    <cellStyle name="Uwaga 2 15 34" xfId="36855"/>
    <cellStyle name="Uwaga 2 15 34 2" xfId="36856"/>
    <cellStyle name="Uwaga 2 15 34 3" xfId="36857"/>
    <cellStyle name="Uwaga 2 15 35" xfId="36858"/>
    <cellStyle name="Uwaga 2 15 35 2" xfId="36859"/>
    <cellStyle name="Uwaga 2 15 35 3" xfId="36860"/>
    <cellStyle name="Uwaga 2 15 36" xfId="36861"/>
    <cellStyle name="Uwaga 2 15 36 2" xfId="36862"/>
    <cellStyle name="Uwaga 2 15 36 3" xfId="36863"/>
    <cellStyle name="Uwaga 2 15 37" xfId="36864"/>
    <cellStyle name="Uwaga 2 15 37 2" xfId="36865"/>
    <cellStyle name="Uwaga 2 15 37 3" xfId="36866"/>
    <cellStyle name="Uwaga 2 15 38" xfId="36867"/>
    <cellStyle name="Uwaga 2 15 38 2" xfId="36868"/>
    <cellStyle name="Uwaga 2 15 38 3" xfId="36869"/>
    <cellStyle name="Uwaga 2 15 39" xfId="36870"/>
    <cellStyle name="Uwaga 2 15 39 2" xfId="36871"/>
    <cellStyle name="Uwaga 2 15 39 3" xfId="36872"/>
    <cellStyle name="Uwaga 2 15 4" xfId="36873"/>
    <cellStyle name="Uwaga 2 15 4 2" xfId="36874"/>
    <cellStyle name="Uwaga 2 15 4 3" xfId="36875"/>
    <cellStyle name="Uwaga 2 15 4 4" xfId="36876"/>
    <cellStyle name="Uwaga 2 15 40" xfId="36877"/>
    <cellStyle name="Uwaga 2 15 40 2" xfId="36878"/>
    <cellStyle name="Uwaga 2 15 40 3" xfId="36879"/>
    <cellStyle name="Uwaga 2 15 41" xfId="36880"/>
    <cellStyle name="Uwaga 2 15 41 2" xfId="36881"/>
    <cellStyle name="Uwaga 2 15 41 3" xfId="36882"/>
    <cellStyle name="Uwaga 2 15 42" xfId="36883"/>
    <cellStyle name="Uwaga 2 15 42 2" xfId="36884"/>
    <cellStyle name="Uwaga 2 15 42 3" xfId="36885"/>
    <cellStyle name="Uwaga 2 15 43" xfId="36886"/>
    <cellStyle name="Uwaga 2 15 43 2" xfId="36887"/>
    <cellStyle name="Uwaga 2 15 43 3" xfId="36888"/>
    <cellStyle name="Uwaga 2 15 44" xfId="36889"/>
    <cellStyle name="Uwaga 2 15 44 2" xfId="36890"/>
    <cellStyle name="Uwaga 2 15 44 3" xfId="36891"/>
    <cellStyle name="Uwaga 2 15 45" xfId="36892"/>
    <cellStyle name="Uwaga 2 15 45 2" xfId="36893"/>
    <cellStyle name="Uwaga 2 15 45 3" xfId="36894"/>
    <cellStyle name="Uwaga 2 15 46" xfId="36895"/>
    <cellStyle name="Uwaga 2 15 46 2" xfId="36896"/>
    <cellStyle name="Uwaga 2 15 46 3" xfId="36897"/>
    <cellStyle name="Uwaga 2 15 47" xfId="36898"/>
    <cellStyle name="Uwaga 2 15 47 2" xfId="36899"/>
    <cellStyle name="Uwaga 2 15 47 3" xfId="36900"/>
    <cellStyle name="Uwaga 2 15 48" xfId="36901"/>
    <cellStyle name="Uwaga 2 15 48 2" xfId="36902"/>
    <cellStyle name="Uwaga 2 15 48 3" xfId="36903"/>
    <cellStyle name="Uwaga 2 15 49" xfId="36904"/>
    <cellStyle name="Uwaga 2 15 49 2" xfId="36905"/>
    <cellStyle name="Uwaga 2 15 49 3" xfId="36906"/>
    <cellStyle name="Uwaga 2 15 5" xfId="36907"/>
    <cellStyle name="Uwaga 2 15 5 2" xfId="36908"/>
    <cellStyle name="Uwaga 2 15 5 3" xfId="36909"/>
    <cellStyle name="Uwaga 2 15 5 4" xfId="36910"/>
    <cellStyle name="Uwaga 2 15 50" xfId="36911"/>
    <cellStyle name="Uwaga 2 15 50 2" xfId="36912"/>
    <cellStyle name="Uwaga 2 15 50 3" xfId="36913"/>
    <cellStyle name="Uwaga 2 15 51" xfId="36914"/>
    <cellStyle name="Uwaga 2 15 51 2" xfId="36915"/>
    <cellStyle name="Uwaga 2 15 51 3" xfId="36916"/>
    <cellStyle name="Uwaga 2 15 52" xfId="36917"/>
    <cellStyle name="Uwaga 2 15 52 2" xfId="36918"/>
    <cellStyle name="Uwaga 2 15 52 3" xfId="36919"/>
    <cellStyle name="Uwaga 2 15 53" xfId="36920"/>
    <cellStyle name="Uwaga 2 15 53 2" xfId="36921"/>
    <cellStyle name="Uwaga 2 15 53 3" xfId="36922"/>
    <cellStyle name="Uwaga 2 15 54" xfId="36923"/>
    <cellStyle name="Uwaga 2 15 54 2" xfId="36924"/>
    <cellStyle name="Uwaga 2 15 54 3" xfId="36925"/>
    <cellStyle name="Uwaga 2 15 55" xfId="36926"/>
    <cellStyle name="Uwaga 2 15 55 2" xfId="36927"/>
    <cellStyle name="Uwaga 2 15 55 3" xfId="36928"/>
    <cellStyle name="Uwaga 2 15 56" xfId="36929"/>
    <cellStyle name="Uwaga 2 15 56 2" xfId="36930"/>
    <cellStyle name="Uwaga 2 15 56 3" xfId="36931"/>
    <cellStyle name="Uwaga 2 15 57" xfId="36932"/>
    <cellStyle name="Uwaga 2 15 58" xfId="36933"/>
    <cellStyle name="Uwaga 2 15 6" xfId="36934"/>
    <cellStyle name="Uwaga 2 15 6 2" xfId="36935"/>
    <cellStyle name="Uwaga 2 15 6 3" xfId="36936"/>
    <cellStyle name="Uwaga 2 15 6 4" xfId="36937"/>
    <cellStyle name="Uwaga 2 15 7" xfId="36938"/>
    <cellStyle name="Uwaga 2 15 7 2" xfId="36939"/>
    <cellStyle name="Uwaga 2 15 7 3" xfId="36940"/>
    <cellStyle name="Uwaga 2 15 7 4" xfId="36941"/>
    <cellStyle name="Uwaga 2 15 8" xfId="36942"/>
    <cellStyle name="Uwaga 2 15 8 2" xfId="36943"/>
    <cellStyle name="Uwaga 2 15 8 3" xfId="36944"/>
    <cellStyle name="Uwaga 2 15 8 4" xfId="36945"/>
    <cellStyle name="Uwaga 2 15 9" xfId="36946"/>
    <cellStyle name="Uwaga 2 15 9 2" xfId="36947"/>
    <cellStyle name="Uwaga 2 15 9 3" xfId="36948"/>
    <cellStyle name="Uwaga 2 15 9 4" xfId="36949"/>
    <cellStyle name="Uwaga 2 16" xfId="36950"/>
    <cellStyle name="Uwaga 2 16 10" xfId="36951"/>
    <cellStyle name="Uwaga 2 16 10 2" xfId="36952"/>
    <cellStyle name="Uwaga 2 16 10 3" xfId="36953"/>
    <cellStyle name="Uwaga 2 16 10 4" xfId="36954"/>
    <cellStyle name="Uwaga 2 16 11" xfId="36955"/>
    <cellStyle name="Uwaga 2 16 11 2" xfId="36956"/>
    <cellStyle name="Uwaga 2 16 11 3" xfId="36957"/>
    <cellStyle name="Uwaga 2 16 11 4" xfId="36958"/>
    <cellStyle name="Uwaga 2 16 12" xfId="36959"/>
    <cellStyle name="Uwaga 2 16 12 2" xfId="36960"/>
    <cellStyle name="Uwaga 2 16 12 3" xfId="36961"/>
    <cellStyle name="Uwaga 2 16 12 4" xfId="36962"/>
    <cellStyle name="Uwaga 2 16 13" xfId="36963"/>
    <cellStyle name="Uwaga 2 16 13 2" xfId="36964"/>
    <cellStyle name="Uwaga 2 16 13 3" xfId="36965"/>
    <cellStyle name="Uwaga 2 16 13 4" xfId="36966"/>
    <cellStyle name="Uwaga 2 16 14" xfId="36967"/>
    <cellStyle name="Uwaga 2 16 14 2" xfId="36968"/>
    <cellStyle name="Uwaga 2 16 14 3" xfId="36969"/>
    <cellStyle name="Uwaga 2 16 14 4" xfId="36970"/>
    <cellStyle name="Uwaga 2 16 15" xfId="36971"/>
    <cellStyle name="Uwaga 2 16 15 2" xfId="36972"/>
    <cellStyle name="Uwaga 2 16 15 3" xfId="36973"/>
    <cellStyle name="Uwaga 2 16 15 4" xfId="36974"/>
    <cellStyle name="Uwaga 2 16 16" xfId="36975"/>
    <cellStyle name="Uwaga 2 16 16 2" xfId="36976"/>
    <cellStyle name="Uwaga 2 16 16 3" xfId="36977"/>
    <cellStyle name="Uwaga 2 16 16 4" xfId="36978"/>
    <cellStyle name="Uwaga 2 16 17" xfId="36979"/>
    <cellStyle name="Uwaga 2 16 17 2" xfId="36980"/>
    <cellStyle name="Uwaga 2 16 17 3" xfId="36981"/>
    <cellStyle name="Uwaga 2 16 17 4" xfId="36982"/>
    <cellStyle name="Uwaga 2 16 18" xfId="36983"/>
    <cellStyle name="Uwaga 2 16 18 2" xfId="36984"/>
    <cellStyle name="Uwaga 2 16 18 3" xfId="36985"/>
    <cellStyle name="Uwaga 2 16 18 4" xfId="36986"/>
    <cellStyle name="Uwaga 2 16 19" xfId="36987"/>
    <cellStyle name="Uwaga 2 16 19 2" xfId="36988"/>
    <cellStyle name="Uwaga 2 16 19 3" xfId="36989"/>
    <cellStyle name="Uwaga 2 16 19 4" xfId="36990"/>
    <cellStyle name="Uwaga 2 16 2" xfId="36991"/>
    <cellStyle name="Uwaga 2 16 2 2" xfId="36992"/>
    <cellStyle name="Uwaga 2 16 2 3" xfId="36993"/>
    <cellStyle name="Uwaga 2 16 2 4" xfId="36994"/>
    <cellStyle name="Uwaga 2 16 20" xfId="36995"/>
    <cellStyle name="Uwaga 2 16 20 2" xfId="36996"/>
    <cellStyle name="Uwaga 2 16 20 3" xfId="36997"/>
    <cellStyle name="Uwaga 2 16 20 4" xfId="36998"/>
    <cellStyle name="Uwaga 2 16 21" xfId="36999"/>
    <cellStyle name="Uwaga 2 16 21 2" xfId="37000"/>
    <cellStyle name="Uwaga 2 16 21 3" xfId="37001"/>
    <cellStyle name="Uwaga 2 16 22" xfId="37002"/>
    <cellStyle name="Uwaga 2 16 22 2" xfId="37003"/>
    <cellStyle name="Uwaga 2 16 22 3" xfId="37004"/>
    <cellStyle name="Uwaga 2 16 23" xfId="37005"/>
    <cellStyle name="Uwaga 2 16 23 2" xfId="37006"/>
    <cellStyle name="Uwaga 2 16 23 3" xfId="37007"/>
    <cellStyle name="Uwaga 2 16 24" xfId="37008"/>
    <cellStyle name="Uwaga 2 16 24 2" xfId="37009"/>
    <cellStyle name="Uwaga 2 16 24 3" xfId="37010"/>
    <cellStyle name="Uwaga 2 16 25" xfId="37011"/>
    <cellStyle name="Uwaga 2 16 25 2" xfId="37012"/>
    <cellStyle name="Uwaga 2 16 25 3" xfId="37013"/>
    <cellStyle name="Uwaga 2 16 26" xfId="37014"/>
    <cellStyle name="Uwaga 2 16 26 2" xfId="37015"/>
    <cellStyle name="Uwaga 2 16 26 3" xfId="37016"/>
    <cellStyle name="Uwaga 2 16 27" xfId="37017"/>
    <cellStyle name="Uwaga 2 16 27 2" xfId="37018"/>
    <cellStyle name="Uwaga 2 16 27 3" xfId="37019"/>
    <cellStyle name="Uwaga 2 16 28" xfId="37020"/>
    <cellStyle name="Uwaga 2 16 28 2" xfId="37021"/>
    <cellStyle name="Uwaga 2 16 28 3" xfId="37022"/>
    <cellStyle name="Uwaga 2 16 29" xfId="37023"/>
    <cellStyle name="Uwaga 2 16 29 2" xfId="37024"/>
    <cellStyle name="Uwaga 2 16 29 3" xfId="37025"/>
    <cellStyle name="Uwaga 2 16 3" xfId="37026"/>
    <cellStyle name="Uwaga 2 16 3 2" xfId="37027"/>
    <cellStyle name="Uwaga 2 16 3 3" xfId="37028"/>
    <cellStyle name="Uwaga 2 16 3 4" xfId="37029"/>
    <cellStyle name="Uwaga 2 16 30" xfId="37030"/>
    <cellStyle name="Uwaga 2 16 30 2" xfId="37031"/>
    <cellStyle name="Uwaga 2 16 30 3" xfId="37032"/>
    <cellStyle name="Uwaga 2 16 31" xfId="37033"/>
    <cellStyle name="Uwaga 2 16 31 2" xfId="37034"/>
    <cellStyle name="Uwaga 2 16 31 3" xfId="37035"/>
    <cellStyle name="Uwaga 2 16 32" xfId="37036"/>
    <cellStyle name="Uwaga 2 16 32 2" xfId="37037"/>
    <cellStyle name="Uwaga 2 16 32 3" xfId="37038"/>
    <cellStyle name="Uwaga 2 16 33" xfId="37039"/>
    <cellStyle name="Uwaga 2 16 33 2" xfId="37040"/>
    <cellStyle name="Uwaga 2 16 33 3" xfId="37041"/>
    <cellStyle name="Uwaga 2 16 34" xfId="37042"/>
    <cellStyle name="Uwaga 2 16 34 2" xfId="37043"/>
    <cellStyle name="Uwaga 2 16 34 3" xfId="37044"/>
    <cellStyle name="Uwaga 2 16 35" xfId="37045"/>
    <cellStyle name="Uwaga 2 16 35 2" xfId="37046"/>
    <cellStyle name="Uwaga 2 16 35 3" xfId="37047"/>
    <cellStyle name="Uwaga 2 16 36" xfId="37048"/>
    <cellStyle name="Uwaga 2 16 36 2" xfId="37049"/>
    <cellStyle name="Uwaga 2 16 36 3" xfId="37050"/>
    <cellStyle name="Uwaga 2 16 37" xfId="37051"/>
    <cellStyle name="Uwaga 2 16 37 2" xfId="37052"/>
    <cellStyle name="Uwaga 2 16 37 3" xfId="37053"/>
    <cellStyle name="Uwaga 2 16 38" xfId="37054"/>
    <cellStyle name="Uwaga 2 16 38 2" xfId="37055"/>
    <cellStyle name="Uwaga 2 16 38 3" xfId="37056"/>
    <cellStyle name="Uwaga 2 16 39" xfId="37057"/>
    <cellStyle name="Uwaga 2 16 39 2" xfId="37058"/>
    <cellStyle name="Uwaga 2 16 39 3" xfId="37059"/>
    <cellStyle name="Uwaga 2 16 4" xfId="37060"/>
    <cellStyle name="Uwaga 2 16 4 2" xfId="37061"/>
    <cellStyle name="Uwaga 2 16 4 3" xfId="37062"/>
    <cellStyle name="Uwaga 2 16 4 4" xfId="37063"/>
    <cellStyle name="Uwaga 2 16 40" xfId="37064"/>
    <cellStyle name="Uwaga 2 16 40 2" xfId="37065"/>
    <cellStyle name="Uwaga 2 16 40 3" xfId="37066"/>
    <cellStyle name="Uwaga 2 16 41" xfId="37067"/>
    <cellStyle name="Uwaga 2 16 41 2" xfId="37068"/>
    <cellStyle name="Uwaga 2 16 41 3" xfId="37069"/>
    <cellStyle name="Uwaga 2 16 42" xfId="37070"/>
    <cellStyle name="Uwaga 2 16 42 2" xfId="37071"/>
    <cellStyle name="Uwaga 2 16 42 3" xfId="37072"/>
    <cellStyle name="Uwaga 2 16 43" xfId="37073"/>
    <cellStyle name="Uwaga 2 16 43 2" xfId="37074"/>
    <cellStyle name="Uwaga 2 16 43 3" xfId="37075"/>
    <cellStyle name="Uwaga 2 16 44" xfId="37076"/>
    <cellStyle name="Uwaga 2 16 44 2" xfId="37077"/>
    <cellStyle name="Uwaga 2 16 44 3" xfId="37078"/>
    <cellStyle name="Uwaga 2 16 45" xfId="37079"/>
    <cellStyle name="Uwaga 2 16 45 2" xfId="37080"/>
    <cellStyle name="Uwaga 2 16 45 3" xfId="37081"/>
    <cellStyle name="Uwaga 2 16 46" xfId="37082"/>
    <cellStyle name="Uwaga 2 16 46 2" xfId="37083"/>
    <cellStyle name="Uwaga 2 16 46 3" xfId="37084"/>
    <cellStyle name="Uwaga 2 16 47" xfId="37085"/>
    <cellStyle name="Uwaga 2 16 47 2" xfId="37086"/>
    <cellStyle name="Uwaga 2 16 47 3" xfId="37087"/>
    <cellStyle name="Uwaga 2 16 48" xfId="37088"/>
    <cellStyle name="Uwaga 2 16 48 2" xfId="37089"/>
    <cellStyle name="Uwaga 2 16 48 3" xfId="37090"/>
    <cellStyle name="Uwaga 2 16 49" xfId="37091"/>
    <cellStyle name="Uwaga 2 16 49 2" xfId="37092"/>
    <cellStyle name="Uwaga 2 16 49 3" xfId="37093"/>
    <cellStyle name="Uwaga 2 16 5" xfId="37094"/>
    <cellStyle name="Uwaga 2 16 5 2" xfId="37095"/>
    <cellStyle name="Uwaga 2 16 5 3" xfId="37096"/>
    <cellStyle name="Uwaga 2 16 5 4" xfId="37097"/>
    <cellStyle name="Uwaga 2 16 50" xfId="37098"/>
    <cellStyle name="Uwaga 2 16 50 2" xfId="37099"/>
    <cellStyle name="Uwaga 2 16 50 3" xfId="37100"/>
    <cellStyle name="Uwaga 2 16 51" xfId="37101"/>
    <cellStyle name="Uwaga 2 16 51 2" xfId="37102"/>
    <cellStyle name="Uwaga 2 16 51 3" xfId="37103"/>
    <cellStyle name="Uwaga 2 16 52" xfId="37104"/>
    <cellStyle name="Uwaga 2 16 52 2" xfId="37105"/>
    <cellStyle name="Uwaga 2 16 52 3" xfId="37106"/>
    <cellStyle name="Uwaga 2 16 53" xfId="37107"/>
    <cellStyle name="Uwaga 2 16 53 2" xfId="37108"/>
    <cellStyle name="Uwaga 2 16 53 3" xfId="37109"/>
    <cellStyle name="Uwaga 2 16 54" xfId="37110"/>
    <cellStyle name="Uwaga 2 16 54 2" xfId="37111"/>
    <cellStyle name="Uwaga 2 16 54 3" xfId="37112"/>
    <cellStyle name="Uwaga 2 16 55" xfId="37113"/>
    <cellStyle name="Uwaga 2 16 55 2" xfId="37114"/>
    <cellStyle name="Uwaga 2 16 55 3" xfId="37115"/>
    <cellStyle name="Uwaga 2 16 56" xfId="37116"/>
    <cellStyle name="Uwaga 2 16 56 2" xfId="37117"/>
    <cellStyle name="Uwaga 2 16 56 3" xfId="37118"/>
    <cellStyle name="Uwaga 2 16 57" xfId="37119"/>
    <cellStyle name="Uwaga 2 16 58" xfId="37120"/>
    <cellStyle name="Uwaga 2 16 6" xfId="37121"/>
    <cellStyle name="Uwaga 2 16 6 2" xfId="37122"/>
    <cellStyle name="Uwaga 2 16 6 3" xfId="37123"/>
    <cellStyle name="Uwaga 2 16 6 4" xfId="37124"/>
    <cellStyle name="Uwaga 2 16 7" xfId="37125"/>
    <cellStyle name="Uwaga 2 16 7 2" xfId="37126"/>
    <cellStyle name="Uwaga 2 16 7 3" xfId="37127"/>
    <cellStyle name="Uwaga 2 16 7 4" xfId="37128"/>
    <cellStyle name="Uwaga 2 16 8" xfId="37129"/>
    <cellStyle name="Uwaga 2 16 8 2" xfId="37130"/>
    <cellStyle name="Uwaga 2 16 8 3" xfId="37131"/>
    <cellStyle name="Uwaga 2 16 8 4" xfId="37132"/>
    <cellStyle name="Uwaga 2 16 9" xfId="37133"/>
    <cellStyle name="Uwaga 2 16 9 2" xfId="37134"/>
    <cellStyle name="Uwaga 2 16 9 3" xfId="37135"/>
    <cellStyle name="Uwaga 2 16 9 4" xfId="37136"/>
    <cellStyle name="Uwaga 2 17" xfId="37137"/>
    <cellStyle name="Uwaga 2 17 10" xfId="37138"/>
    <cellStyle name="Uwaga 2 17 10 2" xfId="37139"/>
    <cellStyle name="Uwaga 2 17 10 3" xfId="37140"/>
    <cellStyle name="Uwaga 2 17 10 4" xfId="37141"/>
    <cellStyle name="Uwaga 2 17 11" xfId="37142"/>
    <cellStyle name="Uwaga 2 17 11 2" xfId="37143"/>
    <cellStyle name="Uwaga 2 17 11 3" xfId="37144"/>
    <cellStyle name="Uwaga 2 17 11 4" xfId="37145"/>
    <cellStyle name="Uwaga 2 17 12" xfId="37146"/>
    <cellStyle name="Uwaga 2 17 12 2" xfId="37147"/>
    <cellStyle name="Uwaga 2 17 12 3" xfId="37148"/>
    <cellStyle name="Uwaga 2 17 12 4" xfId="37149"/>
    <cellStyle name="Uwaga 2 17 13" xfId="37150"/>
    <cellStyle name="Uwaga 2 17 13 2" xfId="37151"/>
    <cellStyle name="Uwaga 2 17 13 3" xfId="37152"/>
    <cellStyle name="Uwaga 2 17 13 4" xfId="37153"/>
    <cellStyle name="Uwaga 2 17 14" xfId="37154"/>
    <cellStyle name="Uwaga 2 17 14 2" xfId="37155"/>
    <cellStyle name="Uwaga 2 17 14 3" xfId="37156"/>
    <cellStyle name="Uwaga 2 17 14 4" xfId="37157"/>
    <cellStyle name="Uwaga 2 17 15" xfId="37158"/>
    <cellStyle name="Uwaga 2 17 15 2" xfId="37159"/>
    <cellStyle name="Uwaga 2 17 15 3" xfId="37160"/>
    <cellStyle name="Uwaga 2 17 15 4" xfId="37161"/>
    <cellStyle name="Uwaga 2 17 16" xfId="37162"/>
    <cellStyle name="Uwaga 2 17 16 2" xfId="37163"/>
    <cellStyle name="Uwaga 2 17 16 3" xfId="37164"/>
    <cellStyle name="Uwaga 2 17 16 4" xfId="37165"/>
    <cellStyle name="Uwaga 2 17 17" xfId="37166"/>
    <cellStyle name="Uwaga 2 17 17 2" xfId="37167"/>
    <cellStyle name="Uwaga 2 17 17 3" xfId="37168"/>
    <cellStyle name="Uwaga 2 17 17 4" xfId="37169"/>
    <cellStyle name="Uwaga 2 17 18" xfId="37170"/>
    <cellStyle name="Uwaga 2 17 18 2" xfId="37171"/>
    <cellStyle name="Uwaga 2 17 18 3" xfId="37172"/>
    <cellStyle name="Uwaga 2 17 18 4" xfId="37173"/>
    <cellStyle name="Uwaga 2 17 19" xfId="37174"/>
    <cellStyle name="Uwaga 2 17 19 2" xfId="37175"/>
    <cellStyle name="Uwaga 2 17 19 3" xfId="37176"/>
    <cellStyle name="Uwaga 2 17 19 4" xfId="37177"/>
    <cellStyle name="Uwaga 2 17 2" xfId="37178"/>
    <cellStyle name="Uwaga 2 17 2 2" xfId="37179"/>
    <cellStyle name="Uwaga 2 17 2 3" xfId="37180"/>
    <cellStyle name="Uwaga 2 17 2 4" xfId="37181"/>
    <cellStyle name="Uwaga 2 17 20" xfId="37182"/>
    <cellStyle name="Uwaga 2 17 20 2" xfId="37183"/>
    <cellStyle name="Uwaga 2 17 20 3" xfId="37184"/>
    <cellStyle name="Uwaga 2 17 20 4" xfId="37185"/>
    <cellStyle name="Uwaga 2 17 21" xfId="37186"/>
    <cellStyle name="Uwaga 2 17 21 2" xfId="37187"/>
    <cellStyle name="Uwaga 2 17 21 3" xfId="37188"/>
    <cellStyle name="Uwaga 2 17 22" xfId="37189"/>
    <cellStyle name="Uwaga 2 17 22 2" xfId="37190"/>
    <cellStyle name="Uwaga 2 17 22 3" xfId="37191"/>
    <cellStyle name="Uwaga 2 17 23" xfId="37192"/>
    <cellStyle name="Uwaga 2 17 23 2" xfId="37193"/>
    <cellStyle name="Uwaga 2 17 23 3" xfId="37194"/>
    <cellStyle name="Uwaga 2 17 24" xfId="37195"/>
    <cellStyle name="Uwaga 2 17 24 2" xfId="37196"/>
    <cellStyle name="Uwaga 2 17 24 3" xfId="37197"/>
    <cellStyle name="Uwaga 2 17 25" xfId="37198"/>
    <cellStyle name="Uwaga 2 17 25 2" xfId="37199"/>
    <cellStyle name="Uwaga 2 17 25 3" xfId="37200"/>
    <cellStyle name="Uwaga 2 17 26" xfId="37201"/>
    <cellStyle name="Uwaga 2 17 26 2" xfId="37202"/>
    <cellStyle name="Uwaga 2 17 26 3" xfId="37203"/>
    <cellStyle name="Uwaga 2 17 27" xfId="37204"/>
    <cellStyle name="Uwaga 2 17 27 2" xfId="37205"/>
    <cellStyle name="Uwaga 2 17 27 3" xfId="37206"/>
    <cellStyle name="Uwaga 2 17 28" xfId="37207"/>
    <cellStyle name="Uwaga 2 17 28 2" xfId="37208"/>
    <cellStyle name="Uwaga 2 17 28 3" xfId="37209"/>
    <cellStyle name="Uwaga 2 17 29" xfId="37210"/>
    <cellStyle name="Uwaga 2 17 29 2" xfId="37211"/>
    <cellStyle name="Uwaga 2 17 29 3" xfId="37212"/>
    <cellStyle name="Uwaga 2 17 3" xfId="37213"/>
    <cellStyle name="Uwaga 2 17 3 2" xfId="37214"/>
    <cellStyle name="Uwaga 2 17 3 3" xfId="37215"/>
    <cellStyle name="Uwaga 2 17 3 4" xfId="37216"/>
    <cellStyle name="Uwaga 2 17 30" xfId="37217"/>
    <cellStyle name="Uwaga 2 17 30 2" xfId="37218"/>
    <cellStyle name="Uwaga 2 17 30 3" xfId="37219"/>
    <cellStyle name="Uwaga 2 17 31" xfId="37220"/>
    <cellStyle name="Uwaga 2 17 31 2" xfId="37221"/>
    <cellStyle name="Uwaga 2 17 31 3" xfId="37222"/>
    <cellStyle name="Uwaga 2 17 32" xfId="37223"/>
    <cellStyle name="Uwaga 2 17 32 2" xfId="37224"/>
    <cellStyle name="Uwaga 2 17 32 3" xfId="37225"/>
    <cellStyle name="Uwaga 2 17 33" xfId="37226"/>
    <cellStyle name="Uwaga 2 17 33 2" xfId="37227"/>
    <cellStyle name="Uwaga 2 17 33 3" xfId="37228"/>
    <cellStyle name="Uwaga 2 17 34" xfId="37229"/>
    <cellStyle name="Uwaga 2 17 34 2" xfId="37230"/>
    <cellStyle name="Uwaga 2 17 34 3" xfId="37231"/>
    <cellStyle name="Uwaga 2 17 35" xfId="37232"/>
    <cellStyle name="Uwaga 2 17 35 2" xfId="37233"/>
    <cellStyle name="Uwaga 2 17 35 3" xfId="37234"/>
    <cellStyle name="Uwaga 2 17 36" xfId="37235"/>
    <cellStyle name="Uwaga 2 17 36 2" xfId="37236"/>
    <cellStyle name="Uwaga 2 17 36 3" xfId="37237"/>
    <cellStyle name="Uwaga 2 17 37" xfId="37238"/>
    <cellStyle name="Uwaga 2 17 37 2" xfId="37239"/>
    <cellStyle name="Uwaga 2 17 37 3" xfId="37240"/>
    <cellStyle name="Uwaga 2 17 38" xfId="37241"/>
    <cellStyle name="Uwaga 2 17 38 2" xfId="37242"/>
    <cellStyle name="Uwaga 2 17 38 3" xfId="37243"/>
    <cellStyle name="Uwaga 2 17 39" xfId="37244"/>
    <cellStyle name="Uwaga 2 17 39 2" xfId="37245"/>
    <cellStyle name="Uwaga 2 17 39 3" xfId="37246"/>
    <cellStyle name="Uwaga 2 17 4" xfId="37247"/>
    <cellStyle name="Uwaga 2 17 4 2" xfId="37248"/>
    <cellStyle name="Uwaga 2 17 4 3" xfId="37249"/>
    <cellStyle name="Uwaga 2 17 4 4" xfId="37250"/>
    <cellStyle name="Uwaga 2 17 40" xfId="37251"/>
    <cellStyle name="Uwaga 2 17 40 2" xfId="37252"/>
    <cellStyle name="Uwaga 2 17 40 3" xfId="37253"/>
    <cellStyle name="Uwaga 2 17 41" xfId="37254"/>
    <cellStyle name="Uwaga 2 17 41 2" xfId="37255"/>
    <cellStyle name="Uwaga 2 17 41 3" xfId="37256"/>
    <cellStyle name="Uwaga 2 17 42" xfId="37257"/>
    <cellStyle name="Uwaga 2 17 42 2" xfId="37258"/>
    <cellStyle name="Uwaga 2 17 42 3" xfId="37259"/>
    <cellStyle name="Uwaga 2 17 43" xfId="37260"/>
    <cellStyle name="Uwaga 2 17 43 2" xfId="37261"/>
    <cellStyle name="Uwaga 2 17 43 3" xfId="37262"/>
    <cellStyle name="Uwaga 2 17 44" xfId="37263"/>
    <cellStyle name="Uwaga 2 17 44 2" xfId="37264"/>
    <cellStyle name="Uwaga 2 17 44 3" xfId="37265"/>
    <cellStyle name="Uwaga 2 17 45" xfId="37266"/>
    <cellStyle name="Uwaga 2 17 45 2" xfId="37267"/>
    <cellStyle name="Uwaga 2 17 45 3" xfId="37268"/>
    <cellStyle name="Uwaga 2 17 46" xfId="37269"/>
    <cellStyle name="Uwaga 2 17 46 2" xfId="37270"/>
    <cellStyle name="Uwaga 2 17 46 3" xfId="37271"/>
    <cellStyle name="Uwaga 2 17 47" xfId="37272"/>
    <cellStyle name="Uwaga 2 17 47 2" xfId="37273"/>
    <cellStyle name="Uwaga 2 17 47 3" xfId="37274"/>
    <cellStyle name="Uwaga 2 17 48" xfId="37275"/>
    <cellStyle name="Uwaga 2 17 48 2" xfId="37276"/>
    <cellStyle name="Uwaga 2 17 48 3" xfId="37277"/>
    <cellStyle name="Uwaga 2 17 49" xfId="37278"/>
    <cellStyle name="Uwaga 2 17 49 2" xfId="37279"/>
    <cellStyle name="Uwaga 2 17 49 3" xfId="37280"/>
    <cellStyle name="Uwaga 2 17 5" xfId="37281"/>
    <cellStyle name="Uwaga 2 17 5 2" xfId="37282"/>
    <cellStyle name="Uwaga 2 17 5 3" xfId="37283"/>
    <cellStyle name="Uwaga 2 17 5 4" xfId="37284"/>
    <cellStyle name="Uwaga 2 17 50" xfId="37285"/>
    <cellStyle name="Uwaga 2 17 50 2" xfId="37286"/>
    <cellStyle name="Uwaga 2 17 50 3" xfId="37287"/>
    <cellStyle name="Uwaga 2 17 51" xfId="37288"/>
    <cellStyle name="Uwaga 2 17 51 2" xfId="37289"/>
    <cellStyle name="Uwaga 2 17 51 3" xfId="37290"/>
    <cellStyle name="Uwaga 2 17 52" xfId="37291"/>
    <cellStyle name="Uwaga 2 17 52 2" xfId="37292"/>
    <cellStyle name="Uwaga 2 17 52 3" xfId="37293"/>
    <cellStyle name="Uwaga 2 17 53" xfId="37294"/>
    <cellStyle name="Uwaga 2 17 53 2" xfId="37295"/>
    <cellStyle name="Uwaga 2 17 53 3" xfId="37296"/>
    <cellStyle name="Uwaga 2 17 54" xfId="37297"/>
    <cellStyle name="Uwaga 2 17 54 2" xfId="37298"/>
    <cellStyle name="Uwaga 2 17 54 3" xfId="37299"/>
    <cellStyle name="Uwaga 2 17 55" xfId="37300"/>
    <cellStyle name="Uwaga 2 17 55 2" xfId="37301"/>
    <cellStyle name="Uwaga 2 17 55 3" xfId="37302"/>
    <cellStyle name="Uwaga 2 17 56" xfId="37303"/>
    <cellStyle name="Uwaga 2 17 56 2" xfId="37304"/>
    <cellStyle name="Uwaga 2 17 56 3" xfId="37305"/>
    <cellStyle name="Uwaga 2 17 57" xfId="37306"/>
    <cellStyle name="Uwaga 2 17 58" xfId="37307"/>
    <cellStyle name="Uwaga 2 17 6" xfId="37308"/>
    <cellStyle name="Uwaga 2 17 6 2" xfId="37309"/>
    <cellStyle name="Uwaga 2 17 6 3" xfId="37310"/>
    <cellStyle name="Uwaga 2 17 6 4" xfId="37311"/>
    <cellStyle name="Uwaga 2 17 7" xfId="37312"/>
    <cellStyle name="Uwaga 2 17 7 2" xfId="37313"/>
    <cellStyle name="Uwaga 2 17 7 3" xfId="37314"/>
    <cellStyle name="Uwaga 2 17 7 4" xfId="37315"/>
    <cellStyle name="Uwaga 2 17 8" xfId="37316"/>
    <cellStyle name="Uwaga 2 17 8 2" xfId="37317"/>
    <cellStyle name="Uwaga 2 17 8 3" xfId="37318"/>
    <cellStyle name="Uwaga 2 17 8 4" xfId="37319"/>
    <cellStyle name="Uwaga 2 17 9" xfId="37320"/>
    <cellStyle name="Uwaga 2 17 9 2" xfId="37321"/>
    <cellStyle name="Uwaga 2 17 9 3" xfId="37322"/>
    <cellStyle name="Uwaga 2 17 9 4" xfId="37323"/>
    <cellStyle name="Uwaga 2 18" xfId="37324"/>
    <cellStyle name="Uwaga 2 18 10" xfId="37325"/>
    <cellStyle name="Uwaga 2 18 10 2" xfId="37326"/>
    <cellStyle name="Uwaga 2 18 10 3" xfId="37327"/>
    <cellStyle name="Uwaga 2 18 10 4" xfId="37328"/>
    <cellStyle name="Uwaga 2 18 11" xfId="37329"/>
    <cellStyle name="Uwaga 2 18 11 2" xfId="37330"/>
    <cellStyle name="Uwaga 2 18 11 3" xfId="37331"/>
    <cellStyle name="Uwaga 2 18 11 4" xfId="37332"/>
    <cellStyle name="Uwaga 2 18 12" xfId="37333"/>
    <cellStyle name="Uwaga 2 18 12 2" xfId="37334"/>
    <cellStyle name="Uwaga 2 18 12 3" xfId="37335"/>
    <cellStyle name="Uwaga 2 18 12 4" xfId="37336"/>
    <cellStyle name="Uwaga 2 18 13" xfId="37337"/>
    <cellStyle name="Uwaga 2 18 13 2" xfId="37338"/>
    <cellStyle name="Uwaga 2 18 13 3" xfId="37339"/>
    <cellStyle name="Uwaga 2 18 13 4" xfId="37340"/>
    <cellStyle name="Uwaga 2 18 14" xfId="37341"/>
    <cellStyle name="Uwaga 2 18 14 2" xfId="37342"/>
    <cellStyle name="Uwaga 2 18 14 3" xfId="37343"/>
    <cellStyle name="Uwaga 2 18 14 4" xfId="37344"/>
    <cellStyle name="Uwaga 2 18 15" xfId="37345"/>
    <cellStyle name="Uwaga 2 18 15 2" xfId="37346"/>
    <cellStyle name="Uwaga 2 18 15 3" xfId="37347"/>
    <cellStyle name="Uwaga 2 18 15 4" xfId="37348"/>
    <cellStyle name="Uwaga 2 18 16" xfId="37349"/>
    <cellStyle name="Uwaga 2 18 16 2" xfId="37350"/>
    <cellStyle name="Uwaga 2 18 16 3" xfId="37351"/>
    <cellStyle name="Uwaga 2 18 16 4" xfId="37352"/>
    <cellStyle name="Uwaga 2 18 17" xfId="37353"/>
    <cellStyle name="Uwaga 2 18 17 2" xfId="37354"/>
    <cellStyle name="Uwaga 2 18 17 3" xfId="37355"/>
    <cellStyle name="Uwaga 2 18 17 4" xfId="37356"/>
    <cellStyle name="Uwaga 2 18 18" xfId="37357"/>
    <cellStyle name="Uwaga 2 18 18 2" xfId="37358"/>
    <cellStyle name="Uwaga 2 18 18 3" xfId="37359"/>
    <cellStyle name="Uwaga 2 18 18 4" xfId="37360"/>
    <cellStyle name="Uwaga 2 18 19" xfId="37361"/>
    <cellStyle name="Uwaga 2 18 19 2" xfId="37362"/>
    <cellStyle name="Uwaga 2 18 19 3" xfId="37363"/>
    <cellStyle name="Uwaga 2 18 19 4" xfId="37364"/>
    <cellStyle name="Uwaga 2 18 2" xfId="37365"/>
    <cellStyle name="Uwaga 2 18 2 2" xfId="37366"/>
    <cellStyle name="Uwaga 2 18 2 3" xfId="37367"/>
    <cellStyle name="Uwaga 2 18 2 4" xfId="37368"/>
    <cellStyle name="Uwaga 2 18 20" xfId="37369"/>
    <cellStyle name="Uwaga 2 18 20 2" xfId="37370"/>
    <cellStyle name="Uwaga 2 18 20 3" xfId="37371"/>
    <cellStyle name="Uwaga 2 18 20 4" xfId="37372"/>
    <cellStyle name="Uwaga 2 18 21" xfId="37373"/>
    <cellStyle name="Uwaga 2 18 21 2" xfId="37374"/>
    <cellStyle name="Uwaga 2 18 21 3" xfId="37375"/>
    <cellStyle name="Uwaga 2 18 22" xfId="37376"/>
    <cellStyle name="Uwaga 2 18 22 2" xfId="37377"/>
    <cellStyle name="Uwaga 2 18 22 3" xfId="37378"/>
    <cellStyle name="Uwaga 2 18 23" xfId="37379"/>
    <cellStyle name="Uwaga 2 18 23 2" xfId="37380"/>
    <cellStyle name="Uwaga 2 18 23 3" xfId="37381"/>
    <cellStyle name="Uwaga 2 18 24" xfId="37382"/>
    <cellStyle name="Uwaga 2 18 24 2" xfId="37383"/>
    <cellStyle name="Uwaga 2 18 24 3" xfId="37384"/>
    <cellStyle name="Uwaga 2 18 25" xfId="37385"/>
    <cellStyle name="Uwaga 2 18 25 2" xfId="37386"/>
    <cellStyle name="Uwaga 2 18 25 3" xfId="37387"/>
    <cellStyle name="Uwaga 2 18 26" xfId="37388"/>
    <cellStyle name="Uwaga 2 18 26 2" xfId="37389"/>
    <cellStyle name="Uwaga 2 18 26 3" xfId="37390"/>
    <cellStyle name="Uwaga 2 18 27" xfId="37391"/>
    <cellStyle name="Uwaga 2 18 27 2" xfId="37392"/>
    <cellStyle name="Uwaga 2 18 27 3" xfId="37393"/>
    <cellStyle name="Uwaga 2 18 28" xfId="37394"/>
    <cellStyle name="Uwaga 2 18 28 2" xfId="37395"/>
    <cellStyle name="Uwaga 2 18 28 3" xfId="37396"/>
    <cellStyle name="Uwaga 2 18 29" xfId="37397"/>
    <cellStyle name="Uwaga 2 18 29 2" xfId="37398"/>
    <cellStyle name="Uwaga 2 18 29 3" xfId="37399"/>
    <cellStyle name="Uwaga 2 18 3" xfId="37400"/>
    <cellStyle name="Uwaga 2 18 3 2" xfId="37401"/>
    <cellStyle name="Uwaga 2 18 3 3" xfId="37402"/>
    <cellStyle name="Uwaga 2 18 3 4" xfId="37403"/>
    <cellStyle name="Uwaga 2 18 30" xfId="37404"/>
    <cellStyle name="Uwaga 2 18 30 2" xfId="37405"/>
    <cellStyle name="Uwaga 2 18 30 3" xfId="37406"/>
    <cellStyle name="Uwaga 2 18 31" xfId="37407"/>
    <cellStyle name="Uwaga 2 18 31 2" xfId="37408"/>
    <cellStyle name="Uwaga 2 18 31 3" xfId="37409"/>
    <cellStyle name="Uwaga 2 18 32" xfId="37410"/>
    <cellStyle name="Uwaga 2 18 32 2" xfId="37411"/>
    <cellStyle name="Uwaga 2 18 32 3" xfId="37412"/>
    <cellStyle name="Uwaga 2 18 33" xfId="37413"/>
    <cellStyle name="Uwaga 2 18 33 2" xfId="37414"/>
    <cellStyle name="Uwaga 2 18 33 3" xfId="37415"/>
    <cellStyle name="Uwaga 2 18 34" xfId="37416"/>
    <cellStyle name="Uwaga 2 18 34 2" xfId="37417"/>
    <cellStyle name="Uwaga 2 18 34 3" xfId="37418"/>
    <cellStyle name="Uwaga 2 18 35" xfId="37419"/>
    <cellStyle name="Uwaga 2 18 35 2" xfId="37420"/>
    <cellStyle name="Uwaga 2 18 35 3" xfId="37421"/>
    <cellStyle name="Uwaga 2 18 36" xfId="37422"/>
    <cellStyle name="Uwaga 2 18 36 2" xfId="37423"/>
    <cellStyle name="Uwaga 2 18 36 3" xfId="37424"/>
    <cellStyle name="Uwaga 2 18 37" xfId="37425"/>
    <cellStyle name="Uwaga 2 18 37 2" xfId="37426"/>
    <cellStyle name="Uwaga 2 18 37 3" xfId="37427"/>
    <cellStyle name="Uwaga 2 18 38" xfId="37428"/>
    <cellStyle name="Uwaga 2 18 38 2" xfId="37429"/>
    <cellStyle name="Uwaga 2 18 38 3" xfId="37430"/>
    <cellStyle name="Uwaga 2 18 39" xfId="37431"/>
    <cellStyle name="Uwaga 2 18 39 2" xfId="37432"/>
    <cellStyle name="Uwaga 2 18 39 3" xfId="37433"/>
    <cellStyle name="Uwaga 2 18 4" xfId="37434"/>
    <cellStyle name="Uwaga 2 18 4 2" xfId="37435"/>
    <cellStyle name="Uwaga 2 18 4 3" xfId="37436"/>
    <cellStyle name="Uwaga 2 18 4 4" xfId="37437"/>
    <cellStyle name="Uwaga 2 18 40" xfId="37438"/>
    <cellStyle name="Uwaga 2 18 40 2" xfId="37439"/>
    <cellStyle name="Uwaga 2 18 40 3" xfId="37440"/>
    <cellStyle name="Uwaga 2 18 41" xfId="37441"/>
    <cellStyle name="Uwaga 2 18 41 2" xfId="37442"/>
    <cellStyle name="Uwaga 2 18 41 3" xfId="37443"/>
    <cellStyle name="Uwaga 2 18 42" xfId="37444"/>
    <cellStyle name="Uwaga 2 18 42 2" xfId="37445"/>
    <cellStyle name="Uwaga 2 18 42 3" xfId="37446"/>
    <cellStyle name="Uwaga 2 18 43" xfId="37447"/>
    <cellStyle name="Uwaga 2 18 43 2" xfId="37448"/>
    <cellStyle name="Uwaga 2 18 43 3" xfId="37449"/>
    <cellStyle name="Uwaga 2 18 44" xfId="37450"/>
    <cellStyle name="Uwaga 2 18 44 2" xfId="37451"/>
    <cellStyle name="Uwaga 2 18 44 3" xfId="37452"/>
    <cellStyle name="Uwaga 2 18 45" xfId="37453"/>
    <cellStyle name="Uwaga 2 18 45 2" xfId="37454"/>
    <cellStyle name="Uwaga 2 18 45 3" xfId="37455"/>
    <cellStyle name="Uwaga 2 18 46" xfId="37456"/>
    <cellStyle name="Uwaga 2 18 46 2" xfId="37457"/>
    <cellStyle name="Uwaga 2 18 46 3" xfId="37458"/>
    <cellStyle name="Uwaga 2 18 47" xfId="37459"/>
    <cellStyle name="Uwaga 2 18 47 2" xfId="37460"/>
    <cellStyle name="Uwaga 2 18 47 3" xfId="37461"/>
    <cellStyle name="Uwaga 2 18 48" xfId="37462"/>
    <cellStyle name="Uwaga 2 18 48 2" xfId="37463"/>
    <cellStyle name="Uwaga 2 18 48 3" xfId="37464"/>
    <cellStyle name="Uwaga 2 18 49" xfId="37465"/>
    <cellStyle name="Uwaga 2 18 49 2" xfId="37466"/>
    <cellStyle name="Uwaga 2 18 49 3" xfId="37467"/>
    <cellStyle name="Uwaga 2 18 5" xfId="37468"/>
    <cellStyle name="Uwaga 2 18 5 2" xfId="37469"/>
    <cellStyle name="Uwaga 2 18 5 3" xfId="37470"/>
    <cellStyle name="Uwaga 2 18 5 4" xfId="37471"/>
    <cellStyle name="Uwaga 2 18 50" xfId="37472"/>
    <cellStyle name="Uwaga 2 18 50 2" xfId="37473"/>
    <cellStyle name="Uwaga 2 18 50 3" xfId="37474"/>
    <cellStyle name="Uwaga 2 18 51" xfId="37475"/>
    <cellStyle name="Uwaga 2 18 51 2" xfId="37476"/>
    <cellStyle name="Uwaga 2 18 51 3" xfId="37477"/>
    <cellStyle name="Uwaga 2 18 52" xfId="37478"/>
    <cellStyle name="Uwaga 2 18 52 2" xfId="37479"/>
    <cellStyle name="Uwaga 2 18 52 3" xfId="37480"/>
    <cellStyle name="Uwaga 2 18 53" xfId="37481"/>
    <cellStyle name="Uwaga 2 18 53 2" xfId="37482"/>
    <cellStyle name="Uwaga 2 18 53 3" xfId="37483"/>
    <cellStyle name="Uwaga 2 18 54" xfId="37484"/>
    <cellStyle name="Uwaga 2 18 54 2" xfId="37485"/>
    <cellStyle name="Uwaga 2 18 54 3" xfId="37486"/>
    <cellStyle name="Uwaga 2 18 55" xfId="37487"/>
    <cellStyle name="Uwaga 2 18 55 2" xfId="37488"/>
    <cellStyle name="Uwaga 2 18 55 3" xfId="37489"/>
    <cellStyle name="Uwaga 2 18 56" xfId="37490"/>
    <cellStyle name="Uwaga 2 18 56 2" xfId="37491"/>
    <cellStyle name="Uwaga 2 18 56 3" xfId="37492"/>
    <cellStyle name="Uwaga 2 18 57" xfId="37493"/>
    <cellStyle name="Uwaga 2 18 58" xfId="37494"/>
    <cellStyle name="Uwaga 2 18 6" xfId="37495"/>
    <cellStyle name="Uwaga 2 18 6 2" xfId="37496"/>
    <cellStyle name="Uwaga 2 18 6 3" xfId="37497"/>
    <cellStyle name="Uwaga 2 18 6 4" xfId="37498"/>
    <cellStyle name="Uwaga 2 18 7" xfId="37499"/>
    <cellStyle name="Uwaga 2 18 7 2" xfId="37500"/>
    <cellStyle name="Uwaga 2 18 7 3" xfId="37501"/>
    <cellStyle name="Uwaga 2 18 7 4" xfId="37502"/>
    <cellStyle name="Uwaga 2 18 8" xfId="37503"/>
    <cellStyle name="Uwaga 2 18 8 2" xfId="37504"/>
    <cellStyle name="Uwaga 2 18 8 3" xfId="37505"/>
    <cellStyle name="Uwaga 2 18 8 4" xfId="37506"/>
    <cellStyle name="Uwaga 2 18 9" xfId="37507"/>
    <cellStyle name="Uwaga 2 18 9 2" xfId="37508"/>
    <cellStyle name="Uwaga 2 18 9 3" xfId="37509"/>
    <cellStyle name="Uwaga 2 18 9 4" xfId="37510"/>
    <cellStyle name="Uwaga 2 19" xfId="37511"/>
    <cellStyle name="Uwaga 2 19 10" xfId="37512"/>
    <cellStyle name="Uwaga 2 19 10 2" xfId="37513"/>
    <cellStyle name="Uwaga 2 19 10 3" xfId="37514"/>
    <cellStyle name="Uwaga 2 19 10 4" xfId="37515"/>
    <cellStyle name="Uwaga 2 19 11" xfId="37516"/>
    <cellStyle name="Uwaga 2 19 11 2" xfId="37517"/>
    <cellStyle name="Uwaga 2 19 11 3" xfId="37518"/>
    <cellStyle name="Uwaga 2 19 11 4" xfId="37519"/>
    <cellStyle name="Uwaga 2 19 12" xfId="37520"/>
    <cellStyle name="Uwaga 2 19 12 2" xfId="37521"/>
    <cellStyle name="Uwaga 2 19 12 3" xfId="37522"/>
    <cellStyle name="Uwaga 2 19 12 4" xfId="37523"/>
    <cellStyle name="Uwaga 2 19 13" xfId="37524"/>
    <cellStyle name="Uwaga 2 19 13 2" xfId="37525"/>
    <cellStyle name="Uwaga 2 19 13 3" xfId="37526"/>
    <cellStyle name="Uwaga 2 19 13 4" xfId="37527"/>
    <cellStyle name="Uwaga 2 19 14" xfId="37528"/>
    <cellStyle name="Uwaga 2 19 14 2" xfId="37529"/>
    <cellStyle name="Uwaga 2 19 14 3" xfId="37530"/>
    <cellStyle name="Uwaga 2 19 14 4" xfId="37531"/>
    <cellStyle name="Uwaga 2 19 15" xfId="37532"/>
    <cellStyle name="Uwaga 2 19 15 2" xfId="37533"/>
    <cellStyle name="Uwaga 2 19 15 3" xfId="37534"/>
    <cellStyle name="Uwaga 2 19 15 4" xfId="37535"/>
    <cellStyle name="Uwaga 2 19 16" xfId="37536"/>
    <cellStyle name="Uwaga 2 19 16 2" xfId="37537"/>
    <cellStyle name="Uwaga 2 19 16 3" xfId="37538"/>
    <cellStyle name="Uwaga 2 19 16 4" xfId="37539"/>
    <cellStyle name="Uwaga 2 19 17" xfId="37540"/>
    <cellStyle name="Uwaga 2 19 17 2" xfId="37541"/>
    <cellStyle name="Uwaga 2 19 17 3" xfId="37542"/>
    <cellStyle name="Uwaga 2 19 17 4" xfId="37543"/>
    <cellStyle name="Uwaga 2 19 18" xfId="37544"/>
    <cellStyle name="Uwaga 2 19 18 2" xfId="37545"/>
    <cellStyle name="Uwaga 2 19 18 3" xfId="37546"/>
    <cellStyle name="Uwaga 2 19 18 4" xfId="37547"/>
    <cellStyle name="Uwaga 2 19 19" xfId="37548"/>
    <cellStyle name="Uwaga 2 19 19 2" xfId="37549"/>
    <cellStyle name="Uwaga 2 19 19 3" xfId="37550"/>
    <cellStyle name="Uwaga 2 19 19 4" xfId="37551"/>
    <cellStyle name="Uwaga 2 19 2" xfId="37552"/>
    <cellStyle name="Uwaga 2 19 2 2" xfId="37553"/>
    <cellStyle name="Uwaga 2 19 2 3" xfId="37554"/>
    <cellStyle name="Uwaga 2 19 2 4" xfId="37555"/>
    <cellStyle name="Uwaga 2 19 20" xfId="37556"/>
    <cellStyle name="Uwaga 2 19 20 2" xfId="37557"/>
    <cellStyle name="Uwaga 2 19 20 3" xfId="37558"/>
    <cellStyle name="Uwaga 2 19 20 4" xfId="37559"/>
    <cellStyle name="Uwaga 2 19 21" xfId="37560"/>
    <cellStyle name="Uwaga 2 19 21 2" xfId="37561"/>
    <cellStyle name="Uwaga 2 19 21 3" xfId="37562"/>
    <cellStyle name="Uwaga 2 19 22" xfId="37563"/>
    <cellStyle name="Uwaga 2 19 22 2" xfId="37564"/>
    <cellStyle name="Uwaga 2 19 22 3" xfId="37565"/>
    <cellStyle name="Uwaga 2 19 23" xfId="37566"/>
    <cellStyle name="Uwaga 2 19 23 2" xfId="37567"/>
    <cellStyle name="Uwaga 2 19 23 3" xfId="37568"/>
    <cellStyle name="Uwaga 2 19 24" xfId="37569"/>
    <cellStyle name="Uwaga 2 19 24 2" xfId="37570"/>
    <cellStyle name="Uwaga 2 19 24 3" xfId="37571"/>
    <cellStyle name="Uwaga 2 19 25" xfId="37572"/>
    <cellStyle name="Uwaga 2 19 25 2" xfId="37573"/>
    <cellStyle name="Uwaga 2 19 25 3" xfId="37574"/>
    <cellStyle name="Uwaga 2 19 26" xfId="37575"/>
    <cellStyle name="Uwaga 2 19 26 2" xfId="37576"/>
    <cellStyle name="Uwaga 2 19 26 3" xfId="37577"/>
    <cellStyle name="Uwaga 2 19 27" xfId="37578"/>
    <cellStyle name="Uwaga 2 19 27 2" xfId="37579"/>
    <cellStyle name="Uwaga 2 19 27 3" xfId="37580"/>
    <cellStyle name="Uwaga 2 19 28" xfId="37581"/>
    <cellStyle name="Uwaga 2 19 28 2" xfId="37582"/>
    <cellStyle name="Uwaga 2 19 28 3" xfId="37583"/>
    <cellStyle name="Uwaga 2 19 29" xfId="37584"/>
    <cellStyle name="Uwaga 2 19 29 2" xfId="37585"/>
    <cellStyle name="Uwaga 2 19 29 3" xfId="37586"/>
    <cellStyle name="Uwaga 2 19 3" xfId="37587"/>
    <cellStyle name="Uwaga 2 19 3 2" xfId="37588"/>
    <cellStyle name="Uwaga 2 19 3 3" xfId="37589"/>
    <cellStyle name="Uwaga 2 19 3 4" xfId="37590"/>
    <cellStyle name="Uwaga 2 19 30" xfId="37591"/>
    <cellStyle name="Uwaga 2 19 30 2" xfId="37592"/>
    <cellStyle name="Uwaga 2 19 30 3" xfId="37593"/>
    <cellStyle name="Uwaga 2 19 31" xfId="37594"/>
    <cellStyle name="Uwaga 2 19 31 2" xfId="37595"/>
    <cellStyle name="Uwaga 2 19 31 3" xfId="37596"/>
    <cellStyle name="Uwaga 2 19 32" xfId="37597"/>
    <cellStyle name="Uwaga 2 19 32 2" xfId="37598"/>
    <cellStyle name="Uwaga 2 19 32 3" xfId="37599"/>
    <cellStyle name="Uwaga 2 19 33" xfId="37600"/>
    <cellStyle name="Uwaga 2 19 33 2" xfId="37601"/>
    <cellStyle name="Uwaga 2 19 33 3" xfId="37602"/>
    <cellStyle name="Uwaga 2 19 34" xfId="37603"/>
    <cellStyle name="Uwaga 2 19 34 2" xfId="37604"/>
    <cellStyle name="Uwaga 2 19 34 3" xfId="37605"/>
    <cellStyle name="Uwaga 2 19 35" xfId="37606"/>
    <cellStyle name="Uwaga 2 19 35 2" xfId="37607"/>
    <cellStyle name="Uwaga 2 19 35 3" xfId="37608"/>
    <cellStyle name="Uwaga 2 19 36" xfId="37609"/>
    <cellStyle name="Uwaga 2 19 36 2" xfId="37610"/>
    <cellStyle name="Uwaga 2 19 36 3" xfId="37611"/>
    <cellStyle name="Uwaga 2 19 37" xfId="37612"/>
    <cellStyle name="Uwaga 2 19 37 2" xfId="37613"/>
    <cellStyle name="Uwaga 2 19 37 3" xfId="37614"/>
    <cellStyle name="Uwaga 2 19 38" xfId="37615"/>
    <cellStyle name="Uwaga 2 19 38 2" xfId="37616"/>
    <cellStyle name="Uwaga 2 19 38 3" xfId="37617"/>
    <cellStyle name="Uwaga 2 19 39" xfId="37618"/>
    <cellStyle name="Uwaga 2 19 39 2" xfId="37619"/>
    <cellStyle name="Uwaga 2 19 39 3" xfId="37620"/>
    <cellStyle name="Uwaga 2 19 4" xfId="37621"/>
    <cellStyle name="Uwaga 2 19 4 2" xfId="37622"/>
    <cellStyle name="Uwaga 2 19 4 3" xfId="37623"/>
    <cellStyle name="Uwaga 2 19 4 4" xfId="37624"/>
    <cellStyle name="Uwaga 2 19 40" xfId="37625"/>
    <cellStyle name="Uwaga 2 19 40 2" xfId="37626"/>
    <cellStyle name="Uwaga 2 19 40 3" xfId="37627"/>
    <cellStyle name="Uwaga 2 19 41" xfId="37628"/>
    <cellStyle name="Uwaga 2 19 41 2" xfId="37629"/>
    <cellStyle name="Uwaga 2 19 41 3" xfId="37630"/>
    <cellStyle name="Uwaga 2 19 42" xfId="37631"/>
    <cellStyle name="Uwaga 2 19 42 2" xfId="37632"/>
    <cellStyle name="Uwaga 2 19 42 3" xfId="37633"/>
    <cellStyle name="Uwaga 2 19 43" xfId="37634"/>
    <cellStyle name="Uwaga 2 19 43 2" xfId="37635"/>
    <cellStyle name="Uwaga 2 19 43 3" xfId="37636"/>
    <cellStyle name="Uwaga 2 19 44" xfId="37637"/>
    <cellStyle name="Uwaga 2 19 44 2" xfId="37638"/>
    <cellStyle name="Uwaga 2 19 44 3" xfId="37639"/>
    <cellStyle name="Uwaga 2 19 45" xfId="37640"/>
    <cellStyle name="Uwaga 2 19 45 2" xfId="37641"/>
    <cellStyle name="Uwaga 2 19 45 3" xfId="37642"/>
    <cellStyle name="Uwaga 2 19 46" xfId="37643"/>
    <cellStyle name="Uwaga 2 19 46 2" xfId="37644"/>
    <cellStyle name="Uwaga 2 19 46 3" xfId="37645"/>
    <cellStyle name="Uwaga 2 19 47" xfId="37646"/>
    <cellStyle name="Uwaga 2 19 47 2" xfId="37647"/>
    <cellStyle name="Uwaga 2 19 47 3" xfId="37648"/>
    <cellStyle name="Uwaga 2 19 48" xfId="37649"/>
    <cellStyle name="Uwaga 2 19 48 2" xfId="37650"/>
    <cellStyle name="Uwaga 2 19 48 3" xfId="37651"/>
    <cellStyle name="Uwaga 2 19 49" xfId="37652"/>
    <cellStyle name="Uwaga 2 19 49 2" xfId="37653"/>
    <cellStyle name="Uwaga 2 19 49 3" xfId="37654"/>
    <cellStyle name="Uwaga 2 19 5" xfId="37655"/>
    <cellStyle name="Uwaga 2 19 5 2" xfId="37656"/>
    <cellStyle name="Uwaga 2 19 5 3" xfId="37657"/>
    <cellStyle name="Uwaga 2 19 5 4" xfId="37658"/>
    <cellStyle name="Uwaga 2 19 50" xfId="37659"/>
    <cellStyle name="Uwaga 2 19 50 2" xfId="37660"/>
    <cellStyle name="Uwaga 2 19 50 3" xfId="37661"/>
    <cellStyle name="Uwaga 2 19 51" xfId="37662"/>
    <cellStyle name="Uwaga 2 19 51 2" xfId="37663"/>
    <cellStyle name="Uwaga 2 19 51 3" xfId="37664"/>
    <cellStyle name="Uwaga 2 19 52" xfId="37665"/>
    <cellStyle name="Uwaga 2 19 52 2" xfId="37666"/>
    <cellStyle name="Uwaga 2 19 52 3" xfId="37667"/>
    <cellStyle name="Uwaga 2 19 53" xfId="37668"/>
    <cellStyle name="Uwaga 2 19 53 2" xfId="37669"/>
    <cellStyle name="Uwaga 2 19 53 3" xfId="37670"/>
    <cellStyle name="Uwaga 2 19 54" xfId="37671"/>
    <cellStyle name="Uwaga 2 19 54 2" xfId="37672"/>
    <cellStyle name="Uwaga 2 19 54 3" xfId="37673"/>
    <cellStyle name="Uwaga 2 19 55" xfId="37674"/>
    <cellStyle name="Uwaga 2 19 55 2" xfId="37675"/>
    <cellStyle name="Uwaga 2 19 55 3" xfId="37676"/>
    <cellStyle name="Uwaga 2 19 56" xfId="37677"/>
    <cellStyle name="Uwaga 2 19 56 2" xfId="37678"/>
    <cellStyle name="Uwaga 2 19 56 3" xfId="37679"/>
    <cellStyle name="Uwaga 2 19 57" xfId="37680"/>
    <cellStyle name="Uwaga 2 19 58" xfId="37681"/>
    <cellStyle name="Uwaga 2 19 6" xfId="37682"/>
    <cellStyle name="Uwaga 2 19 6 2" xfId="37683"/>
    <cellStyle name="Uwaga 2 19 6 3" xfId="37684"/>
    <cellStyle name="Uwaga 2 19 6 4" xfId="37685"/>
    <cellStyle name="Uwaga 2 19 7" xfId="37686"/>
    <cellStyle name="Uwaga 2 19 7 2" xfId="37687"/>
    <cellStyle name="Uwaga 2 19 7 3" xfId="37688"/>
    <cellStyle name="Uwaga 2 19 7 4" xfId="37689"/>
    <cellStyle name="Uwaga 2 19 8" xfId="37690"/>
    <cellStyle name="Uwaga 2 19 8 2" xfId="37691"/>
    <cellStyle name="Uwaga 2 19 8 3" xfId="37692"/>
    <cellStyle name="Uwaga 2 19 8 4" xfId="37693"/>
    <cellStyle name="Uwaga 2 19 9" xfId="37694"/>
    <cellStyle name="Uwaga 2 19 9 2" xfId="37695"/>
    <cellStyle name="Uwaga 2 19 9 3" xfId="37696"/>
    <cellStyle name="Uwaga 2 19 9 4" xfId="37697"/>
    <cellStyle name="Uwaga 2 2" xfId="37698"/>
    <cellStyle name="Uwaga 2 2 10" xfId="37699"/>
    <cellStyle name="Uwaga 2 2 10 2" xfId="37700"/>
    <cellStyle name="Uwaga 2 2 10 3" xfId="37701"/>
    <cellStyle name="Uwaga 2 2 10 4" xfId="37702"/>
    <cellStyle name="Uwaga 2 2 11" xfId="37703"/>
    <cellStyle name="Uwaga 2 2 11 2" xfId="37704"/>
    <cellStyle name="Uwaga 2 2 11 3" xfId="37705"/>
    <cellStyle name="Uwaga 2 2 11 4" xfId="37706"/>
    <cellStyle name="Uwaga 2 2 12" xfId="37707"/>
    <cellStyle name="Uwaga 2 2 12 2" xfId="37708"/>
    <cellStyle name="Uwaga 2 2 12 3" xfId="37709"/>
    <cellStyle name="Uwaga 2 2 12 4" xfId="37710"/>
    <cellStyle name="Uwaga 2 2 13" xfId="37711"/>
    <cellStyle name="Uwaga 2 2 13 2" xfId="37712"/>
    <cellStyle name="Uwaga 2 2 13 3" xfId="37713"/>
    <cellStyle name="Uwaga 2 2 13 4" xfId="37714"/>
    <cellStyle name="Uwaga 2 2 14" xfId="37715"/>
    <cellStyle name="Uwaga 2 2 14 2" xfId="37716"/>
    <cellStyle name="Uwaga 2 2 14 3" xfId="37717"/>
    <cellStyle name="Uwaga 2 2 14 4" xfId="37718"/>
    <cellStyle name="Uwaga 2 2 15" xfId="37719"/>
    <cellStyle name="Uwaga 2 2 15 2" xfId="37720"/>
    <cellStyle name="Uwaga 2 2 15 3" xfId="37721"/>
    <cellStyle name="Uwaga 2 2 15 4" xfId="37722"/>
    <cellStyle name="Uwaga 2 2 16" xfId="37723"/>
    <cellStyle name="Uwaga 2 2 16 2" xfId="37724"/>
    <cellStyle name="Uwaga 2 2 16 3" xfId="37725"/>
    <cellStyle name="Uwaga 2 2 16 4" xfId="37726"/>
    <cellStyle name="Uwaga 2 2 17" xfId="37727"/>
    <cellStyle name="Uwaga 2 2 17 2" xfId="37728"/>
    <cellStyle name="Uwaga 2 2 17 3" xfId="37729"/>
    <cellStyle name="Uwaga 2 2 17 4" xfId="37730"/>
    <cellStyle name="Uwaga 2 2 18" xfId="37731"/>
    <cellStyle name="Uwaga 2 2 18 2" xfId="37732"/>
    <cellStyle name="Uwaga 2 2 18 3" xfId="37733"/>
    <cellStyle name="Uwaga 2 2 18 4" xfId="37734"/>
    <cellStyle name="Uwaga 2 2 19" xfId="37735"/>
    <cellStyle name="Uwaga 2 2 19 2" xfId="37736"/>
    <cellStyle name="Uwaga 2 2 19 3" xfId="37737"/>
    <cellStyle name="Uwaga 2 2 19 4" xfId="37738"/>
    <cellStyle name="Uwaga 2 2 2" xfId="37739"/>
    <cellStyle name="Uwaga 2 2 2 2" xfId="37740"/>
    <cellStyle name="Uwaga 2 2 2 3" xfId="37741"/>
    <cellStyle name="Uwaga 2 2 2 4" xfId="37742"/>
    <cellStyle name="Uwaga 2 2 20" xfId="37743"/>
    <cellStyle name="Uwaga 2 2 20 2" xfId="37744"/>
    <cellStyle name="Uwaga 2 2 20 3" xfId="37745"/>
    <cellStyle name="Uwaga 2 2 20 4" xfId="37746"/>
    <cellStyle name="Uwaga 2 2 21" xfId="37747"/>
    <cellStyle name="Uwaga 2 2 21 2" xfId="37748"/>
    <cellStyle name="Uwaga 2 2 21 3" xfId="37749"/>
    <cellStyle name="Uwaga 2 2 22" xfId="37750"/>
    <cellStyle name="Uwaga 2 2 22 2" xfId="37751"/>
    <cellStyle name="Uwaga 2 2 22 3" xfId="37752"/>
    <cellStyle name="Uwaga 2 2 23" xfId="37753"/>
    <cellStyle name="Uwaga 2 2 23 2" xfId="37754"/>
    <cellStyle name="Uwaga 2 2 23 3" xfId="37755"/>
    <cellStyle name="Uwaga 2 2 24" xfId="37756"/>
    <cellStyle name="Uwaga 2 2 24 2" xfId="37757"/>
    <cellStyle name="Uwaga 2 2 24 3" xfId="37758"/>
    <cellStyle name="Uwaga 2 2 25" xfId="37759"/>
    <cellStyle name="Uwaga 2 2 25 2" xfId="37760"/>
    <cellStyle name="Uwaga 2 2 25 3" xfId="37761"/>
    <cellStyle name="Uwaga 2 2 26" xfId="37762"/>
    <cellStyle name="Uwaga 2 2 26 2" xfId="37763"/>
    <cellStyle name="Uwaga 2 2 26 3" xfId="37764"/>
    <cellStyle name="Uwaga 2 2 27" xfId="37765"/>
    <cellStyle name="Uwaga 2 2 27 2" xfId="37766"/>
    <cellStyle name="Uwaga 2 2 27 3" xfId="37767"/>
    <cellStyle name="Uwaga 2 2 28" xfId="37768"/>
    <cellStyle name="Uwaga 2 2 28 2" xfId="37769"/>
    <cellStyle name="Uwaga 2 2 28 3" xfId="37770"/>
    <cellStyle name="Uwaga 2 2 29" xfId="37771"/>
    <cellStyle name="Uwaga 2 2 29 2" xfId="37772"/>
    <cellStyle name="Uwaga 2 2 29 3" xfId="37773"/>
    <cellStyle name="Uwaga 2 2 3" xfId="37774"/>
    <cellStyle name="Uwaga 2 2 3 2" xfId="37775"/>
    <cellStyle name="Uwaga 2 2 3 3" xfId="37776"/>
    <cellStyle name="Uwaga 2 2 3 4" xfId="37777"/>
    <cellStyle name="Uwaga 2 2 30" xfId="37778"/>
    <cellStyle name="Uwaga 2 2 30 2" xfId="37779"/>
    <cellStyle name="Uwaga 2 2 30 3" xfId="37780"/>
    <cellStyle name="Uwaga 2 2 31" xfId="37781"/>
    <cellStyle name="Uwaga 2 2 31 2" xfId="37782"/>
    <cellStyle name="Uwaga 2 2 31 3" xfId="37783"/>
    <cellStyle name="Uwaga 2 2 32" xfId="37784"/>
    <cellStyle name="Uwaga 2 2 32 2" xfId="37785"/>
    <cellStyle name="Uwaga 2 2 32 3" xfId="37786"/>
    <cellStyle name="Uwaga 2 2 33" xfId="37787"/>
    <cellStyle name="Uwaga 2 2 33 2" xfId="37788"/>
    <cellStyle name="Uwaga 2 2 33 3" xfId="37789"/>
    <cellStyle name="Uwaga 2 2 34" xfId="37790"/>
    <cellStyle name="Uwaga 2 2 34 2" xfId="37791"/>
    <cellStyle name="Uwaga 2 2 34 3" xfId="37792"/>
    <cellStyle name="Uwaga 2 2 35" xfId="37793"/>
    <cellStyle name="Uwaga 2 2 35 2" xfId="37794"/>
    <cellStyle name="Uwaga 2 2 35 3" xfId="37795"/>
    <cellStyle name="Uwaga 2 2 36" xfId="37796"/>
    <cellStyle name="Uwaga 2 2 36 2" xfId="37797"/>
    <cellStyle name="Uwaga 2 2 36 3" xfId="37798"/>
    <cellStyle name="Uwaga 2 2 37" xfId="37799"/>
    <cellStyle name="Uwaga 2 2 37 2" xfId="37800"/>
    <cellStyle name="Uwaga 2 2 37 3" xfId="37801"/>
    <cellStyle name="Uwaga 2 2 38" xfId="37802"/>
    <cellStyle name="Uwaga 2 2 38 2" xfId="37803"/>
    <cellStyle name="Uwaga 2 2 38 3" xfId="37804"/>
    <cellStyle name="Uwaga 2 2 39" xfId="37805"/>
    <cellStyle name="Uwaga 2 2 39 2" xfId="37806"/>
    <cellStyle name="Uwaga 2 2 39 3" xfId="37807"/>
    <cellStyle name="Uwaga 2 2 4" xfId="37808"/>
    <cellStyle name="Uwaga 2 2 4 2" xfId="37809"/>
    <cellStyle name="Uwaga 2 2 4 3" xfId="37810"/>
    <cellStyle name="Uwaga 2 2 4 4" xfId="37811"/>
    <cellStyle name="Uwaga 2 2 40" xfId="37812"/>
    <cellStyle name="Uwaga 2 2 40 2" xfId="37813"/>
    <cellStyle name="Uwaga 2 2 40 3" xfId="37814"/>
    <cellStyle name="Uwaga 2 2 41" xfId="37815"/>
    <cellStyle name="Uwaga 2 2 41 2" xfId="37816"/>
    <cellStyle name="Uwaga 2 2 41 3" xfId="37817"/>
    <cellStyle name="Uwaga 2 2 42" xfId="37818"/>
    <cellStyle name="Uwaga 2 2 42 2" xfId="37819"/>
    <cellStyle name="Uwaga 2 2 42 3" xfId="37820"/>
    <cellStyle name="Uwaga 2 2 43" xfId="37821"/>
    <cellStyle name="Uwaga 2 2 43 2" xfId="37822"/>
    <cellStyle name="Uwaga 2 2 43 3" xfId="37823"/>
    <cellStyle name="Uwaga 2 2 44" xfId="37824"/>
    <cellStyle name="Uwaga 2 2 44 2" xfId="37825"/>
    <cellStyle name="Uwaga 2 2 44 3" xfId="37826"/>
    <cellStyle name="Uwaga 2 2 45" xfId="37827"/>
    <cellStyle name="Uwaga 2 2 45 2" xfId="37828"/>
    <cellStyle name="Uwaga 2 2 45 3" xfId="37829"/>
    <cellStyle name="Uwaga 2 2 46" xfId="37830"/>
    <cellStyle name="Uwaga 2 2 46 2" xfId="37831"/>
    <cellStyle name="Uwaga 2 2 46 3" xfId="37832"/>
    <cellStyle name="Uwaga 2 2 47" xfId="37833"/>
    <cellStyle name="Uwaga 2 2 47 2" xfId="37834"/>
    <cellStyle name="Uwaga 2 2 47 3" xfId="37835"/>
    <cellStyle name="Uwaga 2 2 48" xfId="37836"/>
    <cellStyle name="Uwaga 2 2 48 2" xfId="37837"/>
    <cellStyle name="Uwaga 2 2 48 3" xfId="37838"/>
    <cellStyle name="Uwaga 2 2 49" xfId="37839"/>
    <cellStyle name="Uwaga 2 2 49 2" xfId="37840"/>
    <cellStyle name="Uwaga 2 2 49 3" xfId="37841"/>
    <cellStyle name="Uwaga 2 2 5" xfId="37842"/>
    <cellStyle name="Uwaga 2 2 5 2" xfId="37843"/>
    <cellStyle name="Uwaga 2 2 5 3" xfId="37844"/>
    <cellStyle name="Uwaga 2 2 5 4" xfId="37845"/>
    <cellStyle name="Uwaga 2 2 50" xfId="37846"/>
    <cellStyle name="Uwaga 2 2 50 2" xfId="37847"/>
    <cellStyle name="Uwaga 2 2 50 3" xfId="37848"/>
    <cellStyle name="Uwaga 2 2 51" xfId="37849"/>
    <cellStyle name="Uwaga 2 2 51 2" xfId="37850"/>
    <cellStyle name="Uwaga 2 2 51 3" xfId="37851"/>
    <cellStyle name="Uwaga 2 2 52" xfId="37852"/>
    <cellStyle name="Uwaga 2 2 52 2" xfId="37853"/>
    <cellStyle name="Uwaga 2 2 52 3" xfId="37854"/>
    <cellStyle name="Uwaga 2 2 53" xfId="37855"/>
    <cellStyle name="Uwaga 2 2 53 2" xfId="37856"/>
    <cellStyle name="Uwaga 2 2 53 3" xfId="37857"/>
    <cellStyle name="Uwaga 2 2 54" xfId="37858"/>
    <cellStyle name="Uwaga 2 2 54 2" xfId="37859"/>
    <cellStyle name="Uwaga 2 2 54 3" xfId="37860"/>
    <cellStyle name="Uwaga 2 2 55" xfId="37861"/>
    <cellStyle name="Uwaga 2 2 55 2" xfId="37862"/>
    <cellStyle name="Uwaga 2 2 55 3" xfId="37863"/>
    <cellStyle name="Uwaga 2 2 56" xfId="37864"/>
    <cellStyle name="Uwaga 2 2 56 2" xfId="37865"/>
    <cellStyle name="Uwaga 2 2 56 3" xfId="37866"/>
    <cellStyle name="Uwaga 2 2 57" xfId="37867"/>
    <cellStyle name="Uwaga 2 2 58" xfId="37868"/>
    <cellStyle name="Uwaga 2 2 59" xfId="37869"/>
    <cellStyle name="Uwaga 2 2 6" xfId="37870"/>
    <cellStyle name="Uwaga 2 2 6 2" xfId="37871"/>
    <cellStyle name="Uwaga 2 2 6 3" xfId="37872"/>
    <cellStyle name="Uwaga 2 2 6 4" xfId="37873"/>
    <cellStyle name="Uwaga 2 2 7" xfId="37874"/>
    <cellStyle name="Uwaga 2 2 7 2" xfId="37875"/>
    <cellStyle name="Uwaga 2 2 7 3" xfId="37876"/>
    <cellStyle name="Uwaga 2 2 7 4" xfId="37877"/>
    <cellStyle name="Uwaga 2 2 8" xfId="37878"/>
    <cellStyle name="Uwaga 2 2 8 2" xfId="37879"/>
    <cellStyle name="Uwaga 2 2 8 3" xfId="37880"/>
    <cellStyle name="Uwaga 2 2 8 4" xfId="37881"/>
    <cellStyle name="Uwaga 2 2 9" xfId="37882"/>
    <cellStyle name="Uwaga 2 2 9 2" xfId="37883"/>
    <cellStyle name="Uwaga 2 2 9 3" xfId="37884"/>
    <cellStyle name="Uwaga 2 2 9 4" xfId="37885"/>
    <cellStyle name="Uwaga 2 20" xfId="37886"/>
    <cellStyle name="Uwaga 2 20 10" xfId="37887"/>
    <cellStyle name="Uwaga 2 20 10 2" xfId="37888"/>
    <cellStyle name="Uwaga 2 20 10 3" xfId="37889"/>
    <cellStyle name="Uwaga 2 20 10 4" xfId="37890"/>
    <cellStyle name="Uwaga 2 20 11" xfId="37891"/>
    <cellStyle name="Uwaga 2 20 11 2" xfId="37892"/>
    <cellStyle name="Uwaga 2 20 11 3" xfId="37893"/>
    <cellStyle name="Uwaga 2 20 11 4" xfId="37894"/>
    <cellStyle name="Uwaga 2 20 12" xfId="37895"/>
    <cellStyle name="Uwaga 2 20 12 2" xfId="37896"/>
    <cellStyle name="Uwaga 2 20 12 3" xfId="37897"/>
    <cellStyle name="Uwaga 2 20 12 4" xfId="37898"/>
    <cellStyle name="Uwaga 2 20 13" xfId="37899"/>
    <cellStyle name="Uwaga 2 20 13 2" xfId="37900"/>
    <cellStyle name="Uwaga 2 20 13 3" xfId="37901"/>
    <cellStyle name="Uwaga 2 20 13 4" xfId="37902"/>
    <cellStyle name="Uwaga 2 20 14" xfId="37903"/>
    <cellStyle name="Uwaga 2 20 14 2" xfId="37904"/>
    <cellStyle name="Uwaga 2 20 14 3" xfId="37905"/>
    <cellStyle name="Uwaga 2 20 14 4" xfId="37906"/>
    <cellStyle name="Uwaga 2 20 15" xfId="37907"/>
    <cellStyle name="Uwaga 2 20 15 2" xfId="37908"/>
    <cellStyle name="Uwaga 2 20 15 3" xfId="37909"/>
    <cellStyle name="Uwaga 2 20 15 4" xfId="37910"/>
    <cellStyle name="Uwaga 2 20 16" xfId="37911"/>
    <cellStyle name="Uwaga 2 20 16 2" xfId="37912"/>
    <cellStyle name="Uwaga 2 20 16 3" xfId="37913"/>
    <cellStyle name="Uwaga 2 20 16 4" xfId="37914"/>
    <cellStyle name="Uwaga 2 20 17" xfId="37915"/>
    <cellStyle name="Uwaga 2 20 17 2" xfId="37916"/>
    <cellStyle name="Uwaga 2 20 17 3" xfId="37917"/>
    <cellStyle name="Uwaga 2 20 17 4" xfId="37918"/>
    <cellStyle name="Uwaga 2 20 18" xfId="37919"/>
    <cellStyle name="Uwaga 2 20 18 2" xfId="37920"/>
    <cellStyle name="Uwaga 2 20 18 3" xfId="37921"/>
    <cellStyle name="Uwaga 2 20 18 4" xfId="37922"/>
    <cellStyle name="Uwaga 2 20 19" xfId="37923"/>
    <cellStyle name="Uwaga 2 20 19 2" xfId="37924"/>
    <cellStyle name="Uwaga 2 20 19 3" xfId="37925"/>
    <cellStyle name="Uwaga 2 20 19 4" xfId="37926"/>
    <cellStyle name="Uwaga 2 20 2" xfId="37927"/>
    <cellStyle name="Uwaga 2 20 2 2" xfId="37928"/>
    <cellStyle name="Uwaga 2 20 2 3" xfId="37929"/>
    <cellStyle name="Uwaga 2 20 2 4" xfId="37930"/>
    <cellStyle name="Uwaga 2 20 20" xfId="37931"/>
    <cellStyle name="Uwaga 2 20 20 2" xfId="37932"/>
    <cellStyle name="Uwaga 2 20 20 3" xfId="37933"/>
    <cellStyle name="Uwaga 2 20 20 4" xfId="37934"/>
    <cellStyle name="Uwaga 2 20 21" xfId="37935"/>
    <cellStyle name="Uwaga 2 20 21 2" xfId="37936"/>
    <cellStyle name="Uwaga 2 20 21 3" xfId="37937"/>
    <cellStyle name="Uwaga 2 20 22" xfId="37938"/>
    <cellStyle name="Uwaga 2 20 22 2" xfId="37939"/>
    <cellStyle name="Uwaga 2 20 22 3" xfId="37940"/>
    <cellStyle name="Uwaga 2 20 23" xfId="37941"/>
    <cellStyle name="Uwaga 2 20 23 2" xfId="37942"/>
    <cellStyle name="Uwaga 2 20 23 3" xfId="37943"/>
    <cellStyle name="Uwaga 2 20 24" xfId="37944"/>
    <cellStyle name="Uwaga 2 20 24 2" xfId="37945"/>
    <cellStyle name="Uwaga 2 20 24 3" xfId="37946"/>
    <cellStyle name="Uwaga 2 20 25" xfId="37947"/>
    <cellStyle name="Uwaga 2 20 25 2" xfId="37948"/>
    <cellStyle name="Uwaga 2 20 25 3" xfId="37949"/>
    <cellStyle name="Uwaga 2 20 26" xfId="37950"/>
    <cellStyle name="Uwaga 2 20 26 2" xfId="37951"/>
    <cellStyle name="Uwaga 2 20 26 3" xfId="37952"/>
    <cellStyle name="Uwaga 2 20 27" xfId="37953"/>
    <cellStyle name="Uwaga 2 20 27 2" xfId="37954"/>
    <cellStyle name="Uwaga 2 20 27 3" xfId="37955"/>
    <cellStyle name="Uwaga 2 20 28" xfId="37956"/>
    <cellStyle name="Uwaga 2 20 28 2" xfId="37957"/>
    <cellStyle name="Uwaga 2 20 28 3" xfId="37958"/>
    <cellStyle name="Uwaga 2 20 29" xfId="37959"/>
    <cellStyle name="Uwaga 2 20 29 2" xfId="37960"/>
    <cellStyle name="Uwaga 2 20 29 3" xfId="37961"/>
    <cellStyle name="Uwaga 2 20 3" xfId="37962"/>
    <cellStyle name="Uwaga 2 20 3 2" xfId="37963"/>
    <cellStyle name="Uwaga 2 20 3 3" xfId="37964"/>
    <cellStyle name="Uwaga 2 20 3 4" xfId="37965"/>
    <cellStyle name="Uwaga 2 20 30" xfId="37966"/>
    <cellStyle name="Uwaga 2 20 30 2" xfId="37967"/>
    <cellStyle name="Uwaga 2 20 30 3" xfId="37968"/>
    <cellStyle name="Uwaga 2 20 31" xfId="37969"/>
    <cellStyle name="Uwaga 2 20 31 2" xfId="37970"/>
    <cellStyle name="Uwaga 2 20 31 3" xfId="37971"/>
    <cellStyle name="Uwaga 2 20 32" xfId="37972"/>
    <cellStyle name="Uwaga 2 20 32 2" xfId="37973"/>
    <cellStyle name="Uwaga 2 20 32 3" xfId="37974"/>
    <cellStyle name="Uwaga 2 20 33" xfId="37975"/>
    <cellStyle name="Uwaga 2 20 33 2" xfId="37976"/>
    <cellStyle name="Uwaga 2 20 33 3" xfId="37977"/>
    <cellStyle name="Uwaga 2 20 34" xfId="37978"/>
    <cellStyle name="Uwaga 2 20 34 2" xfId="37979"/>
    <cellStyle name="Uwaga 2 20 34 3" xfId="37980"/>
    <cellStyle name="Uwaga 2 20 35" xfId="37981"/>
    <cellStyle name="Uwaga 2 20 35 2" xfId="37982"/>
    <cellStyle name="Uwaga 2 20 35 3" xfId="37983"/>
    <cellStyle name="Uwaga 2 20 36" xfId="37984"/>
    <cellStyle name="Uwaga 2 20 36 2" xfId="37985"/>
    <cellStyle name="Uwaga 2 20 36 3" xfId="37986"/>
    <cellStyle name="Uwaga 2 20 37" xfId="37987"/>
    <cellStyle name="Uwaga 2 20 37 2" xfId="37988"/>
    <cellStyle name="Uwaga 2 20 37 3" xfId="37989"/>
    <cellStyle name="Uwaga 2 20 38" xfId="37990"/>
    <cellStyle name="Uwaga 2 20 38 2" xfId="37991"/>
    <cellStyle name="Uwaga 2 20 38 3" xfId="37992"/>
    <cellStyle name="Uwaga 2 20 39" xfId="37993"/>
    <cellStyle name="Uwaga 2 20 39 2" xfId="37994"/>
    <cellStyle name="Uwaga 2 20 39 3" xfId="37995"/>
    <cellStyle name="Uwaga 2 20 4" xfId="37996"/>
    <cellStyle name="Uwaga 2 20 4 2" xfId="37997"/>
    <cellStyle name="Uwaga 2 20 4 3" xfId="37998"/>
    <cellStyle name="Uwaga 2 20 4 4" xfId="37999"/>
    <cellStyle name="Uwaga 2 20 40" xfId="38000"/>
    <cellStyle name="Uwaga 2 20 40 2" xfId="38001"/>
    <cellStyle name="Uwaga 2 20 40 3" xfId="38002"/>
    <cellStyle name="Uwaga 2 20 41" xfId="38003"/>
    <cellStyle name="Uwaga 2 20 41 2" xfId="38004"/>
    <cellStyle name="Uwaga 2 20 41 3" xfId="38005"/>
    <cellStyle name="Uwaga 2 20 42" xfId="38006"/>
    <cellStyle name="Uwaga 2 20 42 2" xfId="38007"/>
    <cellStyle name="Uwaga 2 20 42 3" xfId="38008"/>
    <cellStyle name="Uwaga 2 20 43" xfId="38009"/>
    <cellStyle name="Uwaga 2 20 43 2" xfId="38010"/>
    <cellStyle name="Uwaga 2 20 43 3" xfId="38011"/>
    <cellStyle name="Uwaga 2 20 44" xfId="38012"/>
    <cellStyle name="Uwaga 2 20 44 2" xfId="38013"/>
    <cellStyle name="Uwaga 2 20 44 3" xfId="38014"/>
    <cellStyle name="Uwaga 2 20 45" xfId="38015"/>
    <cellStyle name="Uwaga 2 20 45 2" xfId="38016"/>
    <cellStyle name="Uwaga 2 20 45 3" xfId="38017"/>
    <cellStyle name="Uwaga 2 20 46" xfId="38018"/>
    <cellStyle name="Uwaga 2 20 46 2" xfId="38019"/>
    <cellStyle name="Uwaga 2 20 46 3" xfId="38020"/>
    <cellStyle name="Uwaga 2 20 47" xfId="38021"/>
    <cellStyle name="Uwaga 2 20 47 2" xfId="38022"/>
    <cellStyle name="Uwaga 2 20 47 3" xfId="38023"/>
    <cellStyle name="Uwaga 2 20 48" xfId="38024"/>
    <cellStyle name="Uwaga 2 20 48 2" xfId="38025"/>
    <cellStyle name="Uwaga 2 20 48 3" xfId="38026"/>
    <cellStyle name="Uwaga 2 20 49" xfId="38027"/>
    <cellStyle name="Uwaga 2 20 49 2" xfId="38028"/>
    <cellStyle name="Uwaga 2 20 49 3" xfId="38029"/>
    <cellStyle name="Uwaga 2 20 5" xfId="38030"/>
    <cellStyle name="Uwaga 2 20 5 2" xfId="38031"/>
    <cellStyle name="Uwaga 2 20 5 3" xfId="38032"/>
    <cellStyle name="Uwaga 2 20 5 4" xfId="38033"/>
    <cellStyle name="Uwaga 2 20 50" xfId="38034"/>
    <cellStyle name="Uwaga 2 20 50 2" xfId="38035"/>
    <cellStyle name="Uwaga 2 20 50 3" xfId="38036"/>
    <cellStyle name="Uwaga 2 20 51" xfId="38037"/>
    <cellStyle name="Uwaga 2 20 51 2" xfId="38038"/>
    <cellStyle name="Uwaga 2 20 51 3" xfId="38039"/>
    <cellStyle name="Uwaga 2 20 52" xfId="38040"/>
    <cellStyle name="Uwaga 2 20 52 2" xfId="38041"/>
    <cellStyle name="Uwaga 2 20 52 3" xfId="38042"/>
    <cellStyle name="Uwaga 2 20 53" xfId="38043"/>
    <cellStyle name="Uwaga 2 20 53 2" xfId="38044"/>
    <cellStyle name="Uwaga 2 20 53 3" xfId="38045"/>
    <cellStyle name="Uwaga 2 20 54" xfId="38046"/>
    <cellStyle name="Uwaga 2 20 54 2" xfId="38047"/>
    <cellStyle name="Uwaga 2 20 54 3" xfId="38048"/>
    <cellStyle name="Uwaga 2 20 55" xfId="38049"/>
    <cellStyle name="Uwaga 2 20 55 2" xfId="38050"/>
    <cellStyle name="Uwaga 2 20 55 3" xfId="38051"/>
    <cellStyle name="Uwaga 2 20 56" xfId="38052"/>
    <cellStyle name="Uwaga 2 20 56 2" xfId="38053"/>
    <cellStyle name="Uwaga 2 20 56 3" xfId="38054"/>
    <cellStyle name="Uwaga 2 20 57" xfId="38055"/>
    <cellStyle name="Uwaga 2 20 58" xfId="38056"/>
    <cellStyle name="Uwaga 2 20 6" xfId="38057"/>
    <cellStyle name="Uwaga 2 20 6 2" xfId="38058"/>
    <cellStyle name="Uwaga 2 20 6 3" xfId="38059"/>
    <cellStyle name="Uwaga 2 20 6 4" xfId="38060"/>
    <cellStyle name="Uwaga 2 20 7" xfId="38061"/>
    <cellStyle name="Uwaga 2 20 7 2" xfId="38062"/>
    <cellStyle name="Uwaga 2 20 7 3" xfId="38063"/>
    <cellStyle name="Uwaga 2 20 7 4" xfId="38064"/>
    <cellStyle name="Uwaga 2 20 8" xfId="38065"/>
    <cellStyle name="Uwaga 2 20 8 2" xfId="38066"/>
    <cellStyle name="Uwaga 2 20 8 3" xfId="38067"/>
    <cellStyle name="Uwaga 2 20 8 4" xfId="38068"/>
    <cellStyle name="Uwaga 2 20 9" xfId="38069"/>
    <cellStyle name="Uwaga 2 20 9 2" xfId="38070"/>
    <cellStyle name="Uwaga 2 20 9 3" xfId="38071"/>
    <cellStyle name="Uwaga 2 20 9 4" xfId="38072"/>
    <cellStyle name="Uwaga 2 21" xfId="38073"/>
    <cellStyle name="Uwaga 2 21 10" xfId="38074"/>
    <cellStyle name="Uwaga 2 21 10 2" xfId="38075"/>
    <cellStyle name="Uwaga 2 21 10 3" xfId="38076"/>
    <cellStyle name="Uwaga 2 21 10 4" xfId="38077"/>
    <cellStyle name="Uwaga 2 21 11" xfId="38078"/>
    <cellStyle name="Uwaga 2 21 11 2" xfId="38079"/>
    <cellStyle name="Uwaga 2 21 11 3" xfId="38080"/>
    <cellStyle name="Uwaga 2 21 11 4" xfId="38081"/>
    <cellStyle name="Uwaga 2 21 12" xfId="38082"/>
    <cellStyle name="Uwaga 2 21 12 2" xfId="38083"/>
    <cellStyle name="Uwaga 2 21 12 3" xfId="38084"/>
    <cellStyle name="Uwaga 2 21 12 4" xfId="38085"/>
    <cellStyle name="Uwaga 2 21 13" xfId="38086"/>
    <cellStyle name="Uwaga 2 21 13 2" xfId="38087"/>
    <cellStyle name="Uwaga 2 21 13 3" xfId="38088"/>
    <cellStyle name="Uwaga 2 21 13 4" xfId="38089"/>
    <cellStyle name="Uwaga 2 21 14" xfId="38090"/>
    <cellStyle name="Uwaga 2 21 14 2" xfId="38091"/>
    <cellStyle name="Uwaga 2 21 14 3" xfId="38092"/>
    <cellStyle name="Uwaga 2 21 14 4" xfId="38093"/>
    <cellStyle name="Uwaga 2 21 15" xfId="38094"/>
    <cellStyle name="Uwaga 2 21 15 2" xfId="38095"/>
    <cellStyle name="Uwaga 2 21 15 3" xfId="38096"/>
    <cellStyle name="Uwaga 2 21 15 4" xfId="38097"/>
    <cellStyle name="Uwaga 2 21 16" xfId="38098"/>
    <cellStyle name="Uwaga 2 21 16 2" xfId="38099"/>
    <cellStyle name="Uwaga 2 21 16 3" xfId="38100"/>
    <cellStyle name="Uwaga 2 21 16 4" xfId="38101"/>
    <cellStyle name="Uwaga 2 21 17" xfId="38102"/>
    <cellStyle name="Uwaga 2 21 17 2" xfId="38103"/>
    <cellStyle name="Uwaga 2 21 17 3" xfId="38104"/>
    <cellStyle name="Uwaga 2 21 17 4" xfId="38105"/>
    <cellStyle name="Uwaga 2 21 18" xfId="38106"/>
    <cellStyle name="Uwaga 2 21 18 2" xfId="38107"/>
    <cellStyle name="Uwaga 2 21 18 3" xfId="38108"/>
    <cellStyle name="Uwaga 2 21 18 4" xfId="38109"/>
    <cellStyle name="Uwaga 2 21 19" xfId="38110"/>
    <cellStyle name="Uwaga 2 21 19 2" xfId="38111"/>
    <cellStyle name="Uwaga 2 21 19 3" xfId="38112"/>
    <cellStyle name="Uwaga 2 21 19 4" xfId="38113"/>
    <cellStyle name="Uwaga 2 21 2" xfId="38114"/>
    <cellStyle name="Uwaga 2 21 2 2" xfId="38115"/>
    <cellStyle name="Uwaga 2 21 2 3" xfId="38116"/>
    <cellStyle name="Uwaga 2 21 2 4" xfId="38117"/>
    <cellStyle name="Uwaga 2 21 20" xfId="38118"/>
    <cellStyle name="Uwaga 2 21 20 2" xfId="38119"/>
    <cellStyle name="Uwaga 2 21 20 3" xfId="38120"/>
    <cellStyle name="Uwaga 2 21 20 4" xfId="38121"/>
    <cellStyle name="Uwaga 2 21 21" xfId="38122"/>
    <cellStyle name="Uwaga 2 21 21 2" xfId="38123"/>
    <cellStyle name="Uwaga 2 21 21 3" xfId="38124"/>
    <cellStyle name="Uwaga 2 21 22" xfId="38125"/>
    <cellStyle name="Uwaga 2 21 22 2" xfId="38126"/>
    <cellStyle name="Uwaga 2 21 22 3" xfId="38127"/>
    <cellStyle name="Uwaga 2 21 23" xfId="38128"/>
    <cellStyle name="Uwaga 2 21 23 2" xfId="38129"/>
    <cellStyle name="Uwaga 2 21 23 3" xfId="38130"/>
    <cellStyle name="Uwaga 2 21 24" xfId="38131"/>
    <cellStyle name="Uwaga 2 21 24 2" xfId="38132"/>
    <cellStyle name="Uwaga 2 21 24 3" xfId="38133"/>
    <cellStyle name="Uwaga 2 21 25" xfId="38134"/>
    <cellStyle name="Uwaga 2 21 25 2" xfId="38135"/>
    <cellStyle name="Uwaga 2 21 25 3" xfId="38136"/>
    <cellStyle name="Uwaga 2 21 26" xfId="38137"/>
    <cellStyle name="Uwaga 2 21 26 2" xfId="38138"/>
    <cellStyle name="Uwaga 2 21 26 3" xfId="38139"/>
    <cellStyle name="Uwaga 2 21 27" xfId="38140"/>
    <cellStyle name="Uwaga 2 21 27 2" xfId="38141"/>
    <cellStyle name="Uwaga 2 21 27 3" xfId="38142"/>
    <cellStyle name="Uwaga 2 21 28" xfId="38143"/>
    <cellStyle name="Uwaga 2 21 28 2" xfId="38144"/>
    <cellStyle name="Uwaga 2 21 28 3" xfId="38145"/>
    <cellStyle name="Uwaga 2 21 29" xfId="38146"/>
    <cellStyle name="Uwaga 2 21 29 2" xfId="38147"/>
    <cellStyle name="Uwaga 2 21 29 3" xfId="38148"/>
    <cellStyle name="Uwaga 2 21 3" xfId="38149"/>
    <cellStyle name="Uwaga 2 21 3 2" xfId="38150"/>
    <cellStyle name="Uwaga 2 21 3 3" xfId="38151"/>
    <cellStyle name="Uwaga 2 21 3 4" xfId="38152"/>
    <cellStyle name="Uwaga 2 21 30" xfId="38153"/>
    <cellStyle name="Uwaga 2 21 30 2" xfId="38154"/>
    <cellStyle name="Uwaga 2 21 30 3" xfId="38155"/>
    <cellStyle name="Uwaga 2 21 31" xfId="38156"/>
    <cellStyle name="Uwaga 2 21 31 2" xfId="38157"/>
    <cellStyle name="Uwaga 2 21 31 3" xfId="38158"/>
    <cellStyle name="Uwaga 2 21 32" xfId="38159"/>
    <cellStyle name="Uwaga 2 21 32 2" xfId="38160"/>
    <cellStyle name="Uwaga 2 21 32 3" xfId="38161"/>
    <cellStyle name="Uwaga 2 21 33" xfId="38162"/>
    <cellStyle name="Uwaga 2 21 33 2" xfId="38163"/>
    <cellStyle name="Uwaga 2 21 33 3" xfId="38164"/>
    <cellStyle name="Uwaga 2 21 34" xfId="38165"/>
    <cellStyle name="Uwaga 2 21 34 2" xfId="38166"/>
    <cellStyle name="Uwaga 2 21 34 3" xfId="38167"/>
    <cellStyle name="Uwaga 2 21 35" xfId="38168"/>
    <cellStyle name="Uwaga 2 21 35 2" xfId="38169"/>
    <cellStyle name="Uwaga 2 21 35 3" xfId="38170"/>
    <cellStyle name="Uwaga 2 21 36" xfId="38171"/>
    <cellStyle name="Uwaga 2 21 36 2" xfId="38172"/>
    <cellStyle name="Uwaga 2 21 36 3" xfId="38173"/>
    <cellStyle name="Uwaga 2 21 37" xfId="38174"/>
    <cellStyle name="Uwaga 2 21 37 2" xfId="38175"/>
    <cellStyle name="Uwaga 2 21 37 3" xfId="38176"/>
    <cellStyle name="Uwaga 2 21 38" xfId="38177"/>
    <cellStyle name="Uwaga 2 21 38 2" xfId="38178"/>
    <cellStyle name="Uwaga 2 21 38 3" xfId="38179"/>
    <cellStyle name="Uwaga 2 21 39" xfId="38180"/>
    <cellStyle name="Uwaga 2 21 39 2" xfId="38181"/>
    <cellStyle name="Uwaga 2 21 39 3" xfId="38182"/>
    <cellStyle name="Uwaga 2 21 4" xfId="38183"/>
    <cellStyle name="Uwaga 2 21 4 2" xfId="38184"/>
    <cellStyle name="Uwaga 2 21 4 3" xfId="38185"/>
    <cellStyle name="Uwaga 2 21 4 4" xfId="38186"/>
    <cellStyle name="Uwaga 2 21 40" xfId="38187"/>
    <cellStyle name="Uwaga 2 21 40 2" xfId="38188"/>
    <cellStyle name="Uwaga 2 21 40 3" xfId="38189"/>
    <cellStyle name="Uwaga 2 21 41" xfId="38190"/>
    <cellStyle name="Uwaga 2 21 41 2" xfId="38191"/>
    <cellStyle name="Uwaga 2 21 41 3" xfId="38192"/>
    <cellStyle name="Uwaga 2 21 42" xfId="38193"/>
    <cellStyle name="Uwaga 2 21 42 2" xfId="38194"/>
    <cellStyle name="Uwaga 2 21 42 3" xfId="38195"/>
    <cellStyle name="Uwaga 2 21 43" xfId="38196"/>
    <cellStyle name="Uwaga 2 21 43 2" xfId="38197"/>
    <cellStyle name="Uwaga 2 21 43 3" xfId="38198"/>
    <cellStyle name="Uwaga 2 21 44" xfId="38199"/>
    <cellStyle name="Uwaga 2 21 44 2" xfId="38200"/>
    <cellStyle name="Uwaga 2 21 44 3" xfId="38201"/>
    <cellStyle name="Uwaga 2 21 45" xfId="38202"/>
    <cellStyle name="Uwaga 2 21 45 2" xfId="38203"/>
    <cellStyle name="Uwaga 2 21 45 3" xfId="38204"/>
    <cellStyle name="Uwaga 2 21 46" xfId="38205"/>
    <cellStyle name="Uwaga 2 21 46 2" xfId="38206"/>
    <cellStyle name="Uwaga 2 21 46 3" xfId="38207"/>
    <cellStyle name="Uwaga 2 21 47" xfId="38208"/>
    <cellStyle name="Uwaga 2 21 47 2" xfId="38209"/>
    <cellStyle name="Uwaga 2 21 47 3" xfId="38210"/>
    <cellStyle name="Uwaga 2 21 48" xfId="38211"/>
    <cellStyle name="Uwaga 2 21 48 2" xfId="38212"/>
    <cellStyle name="Uwaga 2 21 48 3" xfId="38213"/>
    <cellStyle name="Uwaga 2 21 49" xfId="38214"/>
    <cellStyle name="Uwaga 2 21 49 2" xfId="38215"/>
    <cellStyle name="Uwaga 2 21 49 3" xfId="38216"/>
    <cellStyle name="Uwaga 2 21 5" xfId="38217"/>
    <cellStyle name="Uwaga 2 21 5 2" xfId="38218"/>
    <cellStyle name="Uwaga 2 21 5 3" xfId="38219"/>
    <cellStyle name="Uwaga 2 21 5 4" xfId="38220"/>
    <cellStyle name="Uwaga 2 21 50" xfId="38221"/>
    <cellStyle name="Uwaga 2 21 50 2" xfId="38222"/>
    <cellStyle name="Uwaga 2 21 50 3" xfId="38223"/>
    <cellStyle name="Uwaga 2 21 51" xfId="38224"/>
    <cellStyle name="Uwaga 2 21 51 2" xfId="38225"/>
    <cellStyle name="Uwaga 2 21 51 3" xfId="38226"/>
    <cellStyle name="Uwaga 2 21 52" xfId="38227"/>
    <cellStyle name="Uwaga 2 21 52 2" xfId="38228"/>
    <cellStyle name="Uwaga 2 21 52 3" xfId="38229"/>
    <cellStyle name="Uwaga 2 21 53" xfId="38230"/>
    <cellStyle name="Uwaga 2 21 53 2" xfId="38231"/>
    <cellStyle name="Uwaga 2 21 53 3" xfId="38232"/>
    <cellStyle name="Uwaga 2 21 54" xfId="38233"/>
    <cellStyle name="Uwaga 2 21 54 2" xfId="38234"/>
    <cellStyle name="Uwaga 2 21 54 3" xfId="38235"/>
    <cellStyle name="Uwaga 2 21 55" xfId="38236"/>
    <cellStyle name="Uwaga 2 21 55 2" xfId="38237"/>
    <cellStyle name="Uwaga 2 21 55 3" xfId="38238"/>
    <cellStyle name="Uwaga 2 21 56" xfId="38239"/>
    <cellStyle name="Uwaga 2 21 56 2" xfId="38240"/>
    <cellStyle name="Uwaga 2 21 56 3" xfId="38241"/>
    <cellStyle name="Uwaga 2 21 57" xfId="38242"/>
    <cellStyle name="Uwaga 2 21 58" xfId="38243"/>
    <cellStyle name="Uwaga 2 21 6" xfId="38244"/>
    <cellStyle name="Uwaga 2 21 6 2" xfId="38245"/>
    <cellStyle name="Uwaga 2 21 6 3" xfId="38246"/>
    <cellStyle name="Uwaga 2 21 6 4" xfId="38247"/>
    <cellStyle name="Uwaga 2 21 7" xfId="38248"/>
    <cellStyle name="Uwaga 2 21 7 2" xfId="38249"/>
    <cellStyle name="Uwaga 2 21 7 3" xfId="38250"/>
    <cellStyle name="Uwaga 2 21 7 4" xfId="38251"/>
    <cellStyle name="Uwaga 2 21 8" xfId="38252"/>
    <cellStyle name="Uwaga 2 21 8 2" xfId="38253"/>
    <cellStyle name="Uwaga 2 21 8 3" xfId="38254"/>
    <cellStyle name="Uwaga 2 21 8 4" xfId="38255"/>
    <cellStyle name="Uwaga 2 21 9" xfId="38256"/>
    <cellStyle name="Uwaga 2 21 9 2" xfId="38257"/>
    <cellStyle name="Uwaga 2 21 9 3" xfId="38258"/>
    <cellStyle name="Uwaga 2 21 9 4" xfId="38259"/>
    <cellStyle name="Uwaga 2 22" xfId="38260"/>
    <cellStyle name="Uwaga 2 22 10" xfId="38261"/>
    <cellStyle name="Uwaga 2 22 10 2" xfId="38262"/>
    <cellStyle name="Uwaga 2 22 10 3" xfId="38263"/>
    <cellStyle name="Uwaga 2 22 10 4" xfId="38264"/>
    <cellStyle name="Uwaga 2 22 11" xfId="38265"/>
    <cellStyle name="Uwaga 2 22 11 2" xfId="38266"/>
    <cellStyle name="Uwaga 2 22 11 3" xfId="38267"/>
    <cellStyle name="Uwaga 2 22 11 4" xfId="38268"/>
    <cellStyle name="Uwaga 2 22 12" xfId="38269"/>
    <cellStyle name="Uwaga 2 22 12 2" xfId="38270"/>
    <cellStyle name="Uwaga 2 22 12 3" xfId="38271"/>
    <cellStyle name="Uwaga 2 22 12 4" xfId="38272"/>
    <cellStyle name="Uwaga 2 22 13" xfId="38273"/>
    <cellStyle name="Uwaga 2 22 13 2" xfId="38274"/>
    <cellStyle name="Uwaga 2 22 13 3" xfId="38275"/>
    <cellStyle name="Uwaga 2 22 13 4" xfId="38276"/>
    <cellStyle name="Uwaga 2 22 14" xfId="38277"/>
    <cellStyle name="Uwaga 2 22 14 2" xfId="38278"/>
    <cellStyle name="Uwaga 2 22 14 3" xfId="38279"/>
    <cellStyle name="Uwaga 2 22 14 4" xfId="38280"/>
    <cellStyle name="Uwaga 2 22 15" xfId="38281"/>
    <cellStyle name="Uwaga 2 22 15 2" xfId="38282"/>
    <cellStyle name="Uwaga 2 22 15 3" xfId="38283"/>
    <cellStyle name="Uwaga 2 22 15 4" xfId="38284"/>
    <cellStyle name="Uwaga 2 22 16" xfId="38285"/>
    <cellStyle name="Uwaga 2 22 16 2" xfId="38286"/>
    <cellStyle name="Uwaga 2 22 16 3" xfId="38287"/>
    <cellStyle name="Uwaga 2 22 16 4" xfId="38288"/>
    <cellStyle name="Uwaga 2 22 17" xfId="38289"/>
    <cellStyle name="Uwaga 2 22 17 2" xfId="38290"/>
    <cellStyle name="Uwaga 2 22 17 3" xfId="38291"/>
    <cellStyle name="Uwaga 2 22 17 4" xfId="38292"/>
    <cellStyle name="Uwaga 2 22 18" xfId="38293"/>
    <cellStyle name="Uwaga 2 22 18 2" xfId="38294"/>
    <cellStyle name="Uwaga 2 22 18 3" xfId="38295"/>
    <cellStyle name="Uwaga 2 22 18 4" xfId="38296"/>
    <cellStyle name="Uwaga 2 22 19" xfId="38297"/>
    <cellStyle name="Uwaga 2 22 19 2" xfId="38298"/>
    <cellStyle name="Uwaga 2 22 19 3" xfId="38299"/>
    <cellStyle name="Uwaga 2 22 19 4" xfId="38300"/>
    <cellStyle name="Uwaga 2 22 2" xfId="38301"/>
    <cellStyle name="Uwaga 2 22 2 2" xfId="38302"/>
    <cellStyle name="Uwaga 2 22 2 3" xfId="38303"/>
    <cellStyle name="Uwaga 2 22 2 4" xfId="38304"/>
    <cellStyle name="Uwaga 2 22 20" xfId="38305"/>
    <cellStyle name="Uwaga 2 22 20 2" xfId="38306"/>
    <cellStyle name="Uwaga 2 22 20 3" xfId="38307"/>
    <cellStyle name="Uwaga 2 22 20 4" xfId="38308"/>
    <cellStyle name="Uwaga 2 22 21" xfId="38309"/>
    <cellStyle name="Uwaga 2 22 21 2" xfId="38310"/>
    <cellStyle name="Uwaga 2 22 21 3" xfId="38311"/>
    <cellStyle name="Uwaga 2 22 22" xfId="38312"/>
    <cellStyle name="Uwaga 2 22 22 2" xfId="38313"/>
    <cellStyle name="Uwaga 2 22 22 3" xfId="38314"/>
    <cellStyle name="Uwaga 2 22 23" xfId="38315"/>
    <cellStyle name="Uwaga 2 22 23 2" xfId="38316"/>
    <cellStyle name="Uwaga 2 22 23 3" xfId="38317"/>
    <cellStyle name="Uwaga 2 22 24" xfId="38318"/>
    <cellStyle name="Uwaga 2 22 24 2" xfId="38319"/>
    <cellStyle name="Uwaga 2 22 24 3" xfId="38320"/>
    <cellStyle name="Uwaga 2 22 25" xfId="38321"/>
    <cellStyle name="Uwaga 2 22 25 2" xfId="38322"/>
    <cellStyle name="Uwaga 2 22 25 3" xfId="38323"/>
    <cellStyle name="Uwaga 2 22 26" xfId="38324"/>
    <cellStyle name="Uwaga 2 22 26 2" xfId="38325"/>
    <cellStyle name="Uwaga 2 22 26 3" xfId="38326"/>
    <cellStyle name="Uwaga 2 22 27" xfId="38327"/>
    <cellStyle name="Uwaga 2 22 27 2" xfId="38328"/>
    <cellStyle name="Uwaga 2 22 27 3" xfId="38329"/>
    <cellStyle name="Uwaga 2 22 28" xfId="38330"/>
    <cellStyle name="Uwaga 2 22 28 2" xfId="38331"/>
    <cellStyle name="Uwaga 2 22 28 3" xfId="38332"/>
    <cellStyle name="Uwaga 2 22 29" xfId="38333"/>
    <cellStyle name="Uwaga 2 22 29 2" xfId="38334"/>
    <cellStyle name="Uwaga 2 22 29 3" xfId="38335"/>
    <cellStyle name="Uwaga 2 22 3" xfId="38336"/>
    <cellStyle name="Uwaga 2 22 3 2" xfId="38337"/>
    <cellStyle name="Uwaga 2 22 3 3" xfId="38338"/>
    <cellStyle name="Uwaga 2 22 3 4" xfId="38339"/>
    <cellStyle name="Uwaga 2 22 30" xfId="38340"/>
    <cellStyle name="Uwaga 2 22 30 2" xfId="38341"/>
    <cellStyle name="Uwaga 2 22 30 3" xfId="38342"/>
    <cellStyle name="Uwaga 2 22 31" xfId="38343"/>
    <cellStyle name="Uwaga 2 22 31 2" xfId="38344"/>
    <cellStyle name="Uwaga 2 22 31 3" xfId="38345"/>
    <cellStyle name="Uwaga 2 22 32" xfId="38346"/>
    <cellStyle name="Uwaga 2 22 32 2" xfId="38347"/>
    <cellStyle name="Uwaga 2 22 32 3" xfId="38348"/>
    <cellStyle name="Uwaga 2 22 33" xfId="38349"/>
    <cellStyle name="Uwaga 2 22 33 2" xfId="38350"/>
    <cellStyle name="Uwaga 2 22 33 3" xfId="38351"/>
    <cellStyle name="Uwaga 2 22 34" xfId="38352"/>
    <cellStyle name="Uwaga 2 22 34 2" xfId="38353"/>
    <cellStyle name="Uwaga 2 22 34 3" xfId="38354"/>
    <cellStyle name="Uwaga 2 22 35" xfId="38355"/>
    <cellStyle name="Uwaga 2 22 35 2" xfId="38356"/>
    <cellStyle name="Uwaga 2 22 35 3" xfId="38357"/>
    <cellStyle name="Uwaga 2 22 36" xfId="38358"/>
    <cellStyle name="Uwaga 2 22 36 2" xfId="38359"/>
    <cellStyle name="Uwaga 2 22 36 3" xfId="38360"/>
    <cellStyle name="Uwaga 2 22 37" xfId="38361"/>
    <cellStyle name="Uwaga 2 22 37 2" xfId="38362"/>
    <cellStyle name="Uwaga 2 22 37 3" xfId="38363"/>
    <cellStyle name="Uwaga 2 22 38" xfId="38364"/>
    <cellStyle name="Uwaga 2 22 38 2" xfId="38365"/>
    <cellStyle name="Uwaga 2 22 38 3" xfId="38366"/>
    <cellStyle name="Uwaga 2 22 39" xfId="38367"/>
    <cellStyle name="Uwaga 2 22 39 2" xfId="38368"/>
    <cellStyle name="Uwaga 2 22 39 3" xfId="38369"/>
    <cellStyle name="Uwaga 2 22 4" xfId="38370"/>
    <cellStyle name="Uwaga 2 22 4 2" xfId="38371"/>
    <cellStyle name="Uwaga 2 22 4 3" xfId="38372"/>
    <cellStyle name="Uwaga 2 22 4 4" xfId="38373"/>
    <cellStyle name="Uwaga 2 22 40" xfId="38374"/>
    <cellStyle name="Uwaga 2 22 40 2" xfId="38375"/>
    <cellStyle name="Uwaga 2 22 40 3" xfId="38376"/>
    <cellStyle name="Uwaga 2 22 41" xfId="38377"/>
    <cellStyle name="Uwaga 2 22 41 2" xfId="38378"/>
    <cellStyle name="Uwaga 2 22 41 3" xfId="38379"/>
    <cellStyle name="Uwaga 2 22 42" xfId="38380"/>
    <cellStyle name="Uwaga 2 22 42 2" xfId="38381"/>
    <cellStyle name="Uwaga 2 22 42 3" xfId="38382"/>
    <cellStyle name="Uwaga 2 22 43" xfId="38383"/>
    <cellStyle name="Uwaga 2 22 43 2" xfId="38384"/>
    <cellStyle name="Uwaga 2 22 43 3" xfId="38385"/>
    <cellStyle name="Uwaga 2 22 44" xfId="38386"/>
    <cellStyle name="Uwaga 2 22 44 2" xfId="38387"/>
    <cellStyle name="Uwaga 2 22 44 3" xfId="38388"/>
    <cellStyle name="Uwaga 2 22 45" xfId="38389"/>
    <cellStyle name="Uwaga 2 22 45 2" xfId="38390"/>
    <cellStyle name="Uwaga 2 22 45 3" xfId="38391"/>
    <cellStyle name="Uwaga 2 22 46" xfId="38392"/>
    <cellStyle name="Uwaga 2 22 46 2" xfId="38393"/>
    <cellStyle name="Uwaga 2 22 46 3" xfId="38394"/>
    <cellStyle name="Uwaga 2 22 47" xfId="38395"/>
    <cellStyle name="Uwaga 2 22 47 2" xfId="38396"/>
    <cellStyle name="Uwaga 2 22 47 3" xfId="38397"/>
    <cellStyle name="Uwaga 2 22 48" xfId="38398"/>
    <cellStyle name="Uwaga 2 22 48 2" xfId="38399"/>
    <cellStyle name="Uwaga 2 22 48 3" xfId="38400"/>
    <cellStyle name="Uwaga 2 22 49" xfId="38401"/>
    <cellStyle name="Uwaga 2 22 49 2" xfId="38402"/>
    <cellStyle name="Uwaga 2 22 49 3" xfId="38403"/>
    <cellStyle name="Uwaga 2 22 5" xfId="38404"/>
    <cellStyle name="Uwaga 2 22 5 2" xfId="38405"/>
    <cellStyle name="Uwaga 2 22 5 3" xfId="38406"/>
    <cellStyle name="Uwaga 2 22 5 4" xfId="38407"/>
    <cellStyle name="Uwaga 2 22 50" xfId="38408"/>
    <cellStyle name="Uwaga 2 22 50 2" xfId="38409"/>
    <cellStyle name="Uwaga 2 22 50 3" xfId="38410"/>
    <cellStyle name="Uwaga 2 22 51" xfId="38411"/>
    <cellStyle name="Uwaga 2 22 51 2" xfId="38412"/>
    <cellStyle name="Uwaga 2 22 51 3" xfId="38413"/>
    <cellStyle name="Uwaga 2 22 52" xfId="38414"/>
    <cellStyle name="Uwaga 2 22 52 2" xfId="38415"/>
    <cellStyle name="Uwaga 2 22 52 3" xfId="38416"/>
    <cellStyle name="Uwaga 2 22 53" xfId="38417"/>
    <cellStyle name="Uwaga 2 22 53 2" xfId="38418"/>
    <cellStyle name="Uwaga 2 22 53 3" xfId="38419"/>
    <cellStyle name="Uwaga 2 22 54" xfId="38420"/>
    <cellStyle name="Uwaga 2 22 54 2" xfId="38421"/>
    <cellStyle name="Uwaga 2 22 54 3" xfId="38422"/>
    <cellStyle name="Uwaga 2 22 55" xfId="38423"/>
    <cellStyle name="Uwaga 2 22 55 2" xfId="38424"/>
    <cellStyle name="Uwaga 2 22 55 3" xfId="38425"/>
    <cellStyle name="Uwaga 2 22 56" xfId="38426"/>
    <cellStyle name="Uwaga 2 22 56 2" xfId="38427"/>
    <cellStyle name="Uwaga 2 22 56 3" xfId="38428"/>
    <cellStyle name="Uwaga 2 22 57" xfId="38429"/>
    <cellStyle name="Uwaga 2 22 58" xfId="38430"/>
    <cellStyle name="Uwaga 2 22 6" xfId="38431"/>
    <cellStyle name="Uwaga 2 22 6 2" xfId="38432"/>
    <cellStyle name="Uwaga 2 22 6 3" xfId="38433"/>
    <cellStyle name="Uwaga 2 22 6 4" xfId="38434"/>
    <cellStyle name="Uwaga 2 22 7" xfId="38435"/>
    <cellStyle name="Uwaga 2 22 7 2" xfId="38436"/>
    <cellStyle name="Uwaga 2 22 7 3" xfId="38437"/>
    <cellStyle name="Uwaga 2 22 7 4" xfId="38438"/>
    <cellStyle name="Uwaga 2 22 8" xfId="38439"/>
    <cellStyle name="Uwaga 2 22 8 2" xfId="38440"/>
    <cellStyle name="Uwaga 2 22 8 3" xfId="38441"/>
    <cellStyle name="Uwaga 2 22 8 4" xfId="38442"/>
    <cellStyle name="Uwaga 2 22 9" xfId="38443"/>
    <cellStyle name="Uwaga 2 22 9 2" xfId="38444"/>
    <cellStyle name="Uwaga 2 22 9 3" xfId="38445"/>
    <cellStyle name="Uwaga 2 22 9 4" xfId="38446"/>
    <cellStyle name="Uwaga 2 23" xfId="38447"/>
    <cellStyle name="Uwaga 2 23 10" xfId="38448"/>
    <cellStyle name="Uwaga 2 23 10 2" xfId="38449"/>
    <cellStyle name="Uwaga 2 23 10 3" xfId="38450"/>
    <cellStyle name="Uwaga 2 23 10 4" xfId="38451"/>
    <cellStyle name="Uwaga 2 23 11" xfId="38452"/>
    <cellStyle name="Uwaga 2 23 11 2" xfId="38453"/>
    <cellStyle name="Uwaga 2 23 11 3" xfId="38454"/>
    <cellStyle name="Uwaga 2 23 11 4" xfId="38455"/>
    <cellStyle name="Uwaga 2 23 12" xfId="38456"/>
    <cellStyle name="Uwaga 2 23 12 2" xfId="38457"/>
    <cellStyle name="Uwaga 2 23 12 3" xfId="38458"/>
    <cellStyle name="Uwaga 2 23 12 4" xfId="38459"/>
    <cellStyle name="Uwaga 2 23 13" xfId="38460"/>
    <cellStyle name="Uwaga 2 23 13 2" xfId="38461"/>
    <cellStyle name="Uwaga 2 23 13 3" xfId="38462"/>
    <cellStyle name="Uwaga 2 23 13 4" xfId="38463"/>
    <cellStyle name="Uwaga 2 23 14" xfId="38464"/>
    <cellStyle name="Uwaga 2 23 14 2" xfId="38465"/>
    <cellStyle name="Uwaga 2 23 14 3" xfId="38466"/>
    <cellStyle name="Uwaga 2 23 14 4" xfId="38467"/>
    <cellStyle name="Uwaga 2 23 15" xfId="38468"/>
    <cellStyle name="Uwaga 2 23 15 2" xfId="38469"/>
    <cellStyle name="Uwaga 2 23 15 3" xfId="38470"/>
    <cellStyle name="Uwaga 2 23 15 4" xfId="38471"/>
    <cellStyle name="Uwaga 2 23 16" xfId="38472"/>
    <cellStyle name="Uwaga 2 23 16 2" xfId="38473"/>
    <cellStyle name="Uwaga 2 23 16 3" xfId="38474"/>
    <cellStyle name="Uwaga 2 23 16 4" xfId="38475"/>
    <cellStyle name="Uwaga 2 23 17" xfId="38476"/>
    <cellStyle name="Uwaga 2 23 17 2" xfId="38477"/>
    <cellStyle name="Uwaga 2 23 17 3" xfId="38478"/>
    <cellStyle name="Uwaga 2 23 17 4" xfId="38479"/>
    <cellStyle name="Uwaga 2 23 18" xfId="38480"/>
    <cellStyle name="Uwaga 2 23 18 2" xfId="38481"/>
    <cellStyle name="Uwaga 2 23 18 3" xfId="38482"/>
    <cellStyle name="Uwaga 2 23 18 4" xfId="38483"/>
    <cellStyle name="Uwaga 2 23 19" xfId="38484"/>
    <cellStyle name="Uwaga 2 23 19 2" xfId="38485"/>
    <cellStyle name="Uwaga 2 23 19 3" xfId="38486"/>
    <cellStyle name="Uwaga 2 23 19 4" xfId="38487"/>
    <cellStyle name="Uwaga 2 23 2" xfId="38488"/>
    <cellStyle name="Uwaga 2 23 2 2" xfId="38489"/>
    <cellStyle name="Uwaga 2 23 2 3" xfId="38490"/>
    <cellStyle name="Uwaga 2 23 2 4" xfId="38491"/>
    <cellStyle name="Uwaga 2 23 20" xfId="38492"/>
    <cellStyle name="Uwaga 2 23 20 2" xfId="38493"/>
    <cellStyle name="Uwaga 2 23 20 3" xfId="38494"/>
    <cellStyle name="Uwaga 2 23 20 4" xfId="38495"/>
    <cellStyle name="Uwaga 2 23 21" xfId="38496"/>
    <cellStyle name="Uwaga 2 23 21 2" xfId="38497"/>
    <cellStyle name="Uwaga 2 23 21 3" xfId="38498"/>
    <cellStyle name="Uwaga 2 23 22" xfId="38499"/>
    <cellStyle name="Uwaga 2 23 22 2" xfId="38500"/>
    <cellStyle name="Uwaga 2 23 22 3" xfId="38501"/>
    <cellStyle name="Uwaga 2 23 23" xfId="38502"/>
    <cellStyle name="Uwaga 2 23 23 2" xfId="38503"/>
    <cellStyle name="Uwaga 2 23 23 3" xfId="38504"/>
    <cellStyle name="Uwaga 2 23 24" xfId="38505"/>
    <cellStyle name="Uwaga 2 23 24 2" xfId="38506"/>
    <cellStyle name="Uwaga 2 23 24 3" xfId="38507"/>
    <cellStyle name="Uwaga 2 23 25" xfId="38508"/>
    <cellStyle name="Uwaga 2 23 25 2" xfId="38509"/>
    <cellStyle name="Uwaga 2 23 25 3" xfId="38510"/>
    <cellStyle name="Uwaga 2 23 26" xfId="38511"/>
    <cellStyle name="Uwaga 2 23 26 2" xfId="38512"/>
    <cellStyle name="Uwaga 2 23 26 3" xfId="38513"/>
    <cellStyle name="Uwaga 2 23 27" xfId="38514"/>
    <cellStyle name="Uwaga 2 23 27 2" xfId="38515"/>
    <cellStyle name="Uwaga 2 23 27 3" xfId="38516"/>
    <cellStyle name="Uwaga 2 23 28" xfId="38517"/>
    <cellStyle name="Uwaga 2 23 28 2" xfId="38518"/>
    <cellStyle name="Uwaga 2 23 28 3" xfId="38519"/>
    <cellStyle name="Uwaga 2 23 29" xfId="38520"/>
    <cellStyle name="Uwaga 2 23 29 2" xfId="38521"/>
    <cellStyle name="Uwaga 2 23 29 3" xfId="38522"/>
    <cellStyle name="Uwaga 2 23 3" xfId="38523"/>
    <cellStyle name="Uwaga 2 23 3 2" xfId="38524"/>
    <cellStyle name="Uwaga 2 23 3 3" xfId="38525"/>
    <cellStyle name="Uwaga 2 23 3 4" xfId="38526"/>
    <cellStyle name="Uwaga 2 23 30" xfId="38527"/>
    <cellStyle name="Uwaga 2 23 30 2" xfId="38528"/>
    <cellStyle name="Uwaga 2 23 30 3" xfId="38529"/>
    <cellStyle name="Uwaga 2 23 31" xfId="38530"/>
    <cellStyle name="Uwaga 2 23 31 2" xfId="38531"/>
    <cellStyle name="Uwaga 2 23 31 3" xfId="38532"/>
    <cellStyle name="Uwaga 2 23 32" xfId="38533"/>
    <cellStyle name="Uwaga 2 23 32 2" xfId="38534"/>
    <cellStyle name="Uwaga 2 23 32 3" xfId="38535"/>
    <cellStyle name="Uwaga 2 23 33" xfId="38536"/>
    <cellStyle name="Uwaga 2 23 33 2" xfId="38537"/>
    <cellStyle name="Uwaga 2 23 33 3" xfId="38538"/>
    <cellStyle name="Uwaga 2 23 34" xfId="38539"/>
    <cellStyle name="Uwaga 2 23 34 2" xfId="38540"/>
    <cellStyle name="Uwaga 2 23 34 3" xfId="38541"/>
    <cellStyle name="Uwaga 2 23 35" xfId="38542"/>
    <cellStyle name="Uwaga 2 23 35 2" xfId="38543"/>
    <cellStyle name="Uwaga 2 23 35 3" xfId="38544"/>
    <cellStyle name="Uwaga 2 23 36" xfId="38545"/>
    <cellStyle name="Uwaga 2 23 36 2" xfId="38546"/>
    <cellStyle name="Uwaga 2 23 36 3" xfId="38547"/>
    <cellStyle name="Uwaga 2 23 37" xfId="38548"/>
    <cellStyle name="Uwaga 2 23 37 2" xfId="38549"/>
    <cellStyle name="Uwaga 2 23 37 3" xfId="38550"/>
    <cellStyle name="Uwaga 2 23 38" xfId="38551"/>
    <cellStyle name="Uwaga 2 23 38 2" xfId="38552"/>
    <cellStyle name="Uwaga 2 23 38 3" xfId="38553"/>
    <cellStyle name="Uwaga 2 23 39" xfId="38554"/>
    <cellStyle name="Uwaga 2 23 39 2" xfId="38555"/>
    <cellStyle name="Uwaga 2 23 39 3" xfId="38556"/>
    <cellStyle name="Uwaga 2 23 4" xfId="38557"/>
    <cellStyle name="Uwaga 2 23 4 2" xfId="38558"/>
    <cellStyle name="Uwaga 2 23 4 3" xfId="38559"/>
    <cellStyle name="Uwaga 2 23 4 4" xfId="38560"/>
    <cellStyle name="Uwaga 2 23 40" xfId="38561"/>
    <cellStyle name="Uwaga 2 23 40 2" xfId="38562"/>
    <cellStyle name="Uwaga 2 23 40 3" xfId="38563"/>
    <cellStyle name="Uwaga 2 23 41" xfId="38564"/>
    <cellStyle name="Uwaga 2 23 41 2" xfId="38565"/>
    <cellStyle name="Uwaga 2 23 41 3" xfId="38566"/>
    <cellStyle name="Uwaga 2 23 42" xfId="38567"/>
    <cellStyle name="Uwaga 2 23 42 2" xfId="38568"/>
    <cellStyle name="Uwaga 2 23 42 3" xfId="38569"/>
    <cellStyle name="Uwaga 2 23 43" xfId="38570"/>
    <cellStyle name="Uwaga 2 23 43 2" xfId="38571"/>
    <cellStyle name="Uwaga 2 23 43 3" xfId="38572"/>
    <cellStyle name="Uwaga 2 23 44" xfId="38573"/>
    <cellStyle name="Uwaga 2 23 44 2" xfId="38574"/>
    <cellStyle name="Uwaga 2 23 44 3" xfId="38575"/>
    <cellStyle name="Uwaga 2 23 45" xfId="38576"/>
    <cellStyle name="Uwaga 2 23 45 2" xfId="38577"/>
    <cellStyle name="Uwaga 2 23 45 3" xfId="38578"/>
    <cellStyle name="Uwaga 2 23 46" xfId="38579"/>
    <cellStyle name="Uwaga 2 23 46 2" xfId="38580"/>
    <cellStyle name="Uwaga 2 23 46 3" xfId="38581"/>
    <cellStyle name="Uwaga 2 23 47" xfId="38582"/>
    <cellStyle name="Uwaga 2 23 47 2" xfId="38583"/>
    <cellStyle name="Uwaga 2 23 47 3" xfId="38584"/>
    <cellStyle name="Uwaga 2 23 48" xfId="38585"/>
    <cellStyle name="Uwaga 2 23 48 2" xfId="38586"/>
    <cellStyle name="Uwaga 2 23 48 3" xfId="38587"/>
    <cellStyle name="Uwaga 2 23 49" xfId="38588"/>
    <cellStyle name="Uwaga 2 23 49 2" xfId="38589"/>
    <cellStyle name="Uwaga 2 23 49 3" xfId="38590"/>
    <cellStyle name="Uwaga 2 23 5" xfId="38591"/>
    <cellStyle name="Uwaga 2 23 5 2" xfId="38592"/>
    <cellStyle name="Uwaga 2 23 5 3" xfId="38593"/>
    <cellStyle name="Uwaga 2 23 5 4" xfId="38594"/>
    <cellStyle name="Uwaga 2 23 50" xfId="38595"/>
    <cellStyle name="Uwaga 2 23 50 2" xfId="38596"/>
    <cellStyle name="Uwaga 2 23 50 3" xfId="38597"/>
    <cellStyle name="Uwaga 2 23 51" xfId="38598"/>
    <cellStyle name="Uwaga 2 23 51 2" xfId="38599"/>
    <cellStyle name="Uwaga 2 23 51 3" xfId="38600"/>
    <cellStyle name="Uwaga 2 23 52" xfId="38601"/>
    <cellStyle name="Uwaga 2 23 52 2" xfId="38602"/>
    <cellStyle name="Uwaga 2 23 52 3" xfId="38603"/>
    <cellStyle name="Uwaga 2 23 53" xfId="38604"/>
    <cellStyle name="Uwaga 2 23 53 2" xfId="38605"/>
    <cellStyle name="Uwaga 2 23 53 3" xfId="38606"/>
    <cellStyle name="Uwaga 2 23 54" xfId="38607"/>
    <cellStyle name="Uwaga 2 23 54 2" xfId="38608"/>
    <cellStyle name="Uwaga 2 23 54 3" xfId="38609"/>
    <cellStyle name="Uwaga 2 23 55" xfId="38610"/>
    <cellStyle name="Uwaga 2 23 55 2" xfId="38611"/>
    <cellStyle name="Uwaga 2 23 55 3" xfId="38612"/>
    <cellStyle name="Uwaga 2 23 56" xfId="38613"/>
    <cellStyle name="Uwaga 2 23 56 2" xfId="38614"/>
    <cellStyle name="Uwaga 2 23 56 3" xfId="38615"/>
    <cellStyle name="Uwaga 2 23 57" xfId="38616"/>
    <cellStyle name="Uwaga 2 23 58" xfId="38617"/>
    <cellStyle name="Uwaga 2 23 6" xfId="38618"/>
    <cellStyle name="Uwaga 2 23 6 2" xfId="38619"/>
    <cellStyle name="Uwaga 2 23 6 3" xfId="38620"/>
    <cellStyle name="Uwaga 2 23 6 4" xfId="38621"/>
    <cellStyle name="Uwaga 2 23 7" xfId="38622"/>
    <cellStyle name="Uwaga 2 23 7 2" xfId="38623"/>
    <cellStyle name="Uwaga 2 23 7 3" xfId="38624"/>
    <cellStyle name="Uwaga 2 23 7 4" xfId="38625"/>
    <cellStyle name="Uwaga 2 23 8" xfId="38626"/>
    <cellStyle name="Uwaga 2 23 8 2" xfId="38627"/>
    <cellStyle name="Uwaga 2 23 8 3" xfId="38628"/>
    <cellStyle name="Uwaga 2 23 8 4" xfId="38629"/>
    <cellStyle name="Uwaga 2 23 9" xfId="38630"/>
    <cellStyle name="Uwaga 2 23 9 2" xfId="38631"/>
    <cellStyle name="Uwaga 2 23 9 3" xfId="38632"/>
    <cellStyle name="Uwaga 2 23 9 4" xfId="38633"/>
    <cellStyle name="Uwaga 2 24" xfId="38634"/>
    <cellStyle name="Uwaga 2 24 10" xfId="38635"/>
    <cellStyle name="Uwaga 2 24 10 2" xfId="38636"/>
    <cellStyle name="Uwaga 2 24 10 3" xfId="38637"/>
    <cellStyle name="Uwaga 2 24 10 4" xfId="38638"/>
    <cellStyle name="Uwaga 2 24 11" xfId="38639"/>
    <cellStyle name="Uwaga 2 24 11 2" xfId="38640"/>
    <cellStyle name="Uwaga 2 24 11 3" xfId="38641"/>
    <cellStyle name="Uwaga 2 24 11 4" xfId="38642"/>
    <cellStyle name="Uwaga 2 24 12" xfId="38643"/>
    <cellStyle name="Uwaga 2 24 12 2" xfId="38644"/>
    <cellStyle name="Uwaga 2 24 12 3" xfId="38645"/>
    <cellStyle name="Uwaga 2 24 12 4" xfId="38646"/>
    <cellStyle name="Uwaga 2 24 13" xfId="38647"/>
    <cellStyle name="Uwaga 2 24 13 2" xfId="38648"/>
    <cellStyle name="Uwaga 2 24 13 3" xfId="38649"/>
    <cellStyle name="Uwaga 2 24 13 4" xfId="38650"/>
    <cellStyle name="Uwaga 2 24 14" xfId="38651"/>
    <cellStyle name="Uwaga 2 24 14 2" xfId="38652"/>
    <cellStyle name="Uwaga 2 24 14 3" xfId="38653"/>
    <cellStyle name="Uwaga 2 24 14 4" xfId="38654"/>
    <cellStyle name="Uwaga 2 24 15" xfId="38655"/>
    <cellStyle name="Uwaga 2 24 15 2" xfId="38656"/>
    <cellStyle name="Uwaga 2 24 15 3" xfId="38657"/>
    <cellStyle name="Uwaga 2 24 15 4" xfId="38658"/>
    <cellStyle name="Uwaga 2 24 16" xfId="38659"/>
    <cellStyle name="Uwaga 2 24 16 2" xfId="38660"/>
    <cellStyle name="Uwaga 2 24 16 3" xfId="38661"/>
    <cellStyle name="Uwaga 2 24 16 4" xfId="38662"/>
    <cellStyle name="Uwaga 2 24 17" xfId="38663"/>
    <cellStyle name="Uwaga 2 24 17 2" xfId="38664"/>
    <cellStyle name="Uwaga 2 24 17 3" xfId="38665"/>
    <cellStyle name="Uwaga 2 24 17 4" xfId="38666"/>
    <cellStyle name="Uwaga 2 24 18" xfId="38667"/>
    <cellStyle name="Uwaga 2 24 18 2" xfId="38668"/>
    <cellStyle name="Uwaga 2 24 18 3" xfId="38669"/>
    <cellStyle name="Uwaga 2 24 18 4" xfId="38670"/>
    <cellStyle name="Uwaga 2 24 19" xfId="38671"/>
    <cellStyle name="Uwaga 2 24 19 2" xfId="38672"/>
    <cellStyle name="Uwaga 2 24 19 3" xfId="38673"/>
    <cellStyle name="Uwaga 2 24 19 4" xfId="38674"/>
    <cellStyle name="Uwaga 2 24 2" xfId="38675"/>
    <cellStyle name="Uwaga 2 24 2 2" xfId="38676"/>
    <cellStyle name="Uwaga 2 24 2 3" xfId="38677"/>
    <cellStyle name="Uwaga 2 24 2 4" xfId="38678"/>
    <cellStyle name="Uwaga 2 24 20" xfId="38679"/>
    <cellStyle name="Uwaga 2 24 20 2" xfId="38680"/>
    <cellStyle name="Uwaga 2 24 20 3" xfId="38681"/>
    <cellStyle name="Uwaga 2 24 20 4" xfId="38682"/>
    <cellStyle name="Uwaga 2 24 21" xfId="38683"/>
    <cellStyle name="Uwaga 2 24 21 2" xfId="38684"/>
    <cellStyle name="Uwaga 2 24 21 3" xfId="38685"/>
    <cellStyle name="Uwaga 2 24 22" xfId="38686"/>
    <cellStyle name="Uwaga 2 24 22 2" xfId="38687"/>
    <cellStyle name="Uwaga 2 24 22 3" xfId="38688"/>
    <cellStyle name="Uwaga 2 24 23" xfId="38689"/>
    <cellStyle name="Uwaga 2 24 23 2" xfId="38690"/>
    <cellStyle name="Uwaga 2 24 23 3" xfId="38691"/>
    <cellStyle name="Uwaga 2 24 24" xfId="38692"/>
    <cellStyle name="Uwaga 2 24 24 2" xfId="38693"/>
    <cellStyle name="Uwaga 2 24 24 3" xfId="38694"/>
    <cellStyle name="Uwaga 2 24 25" xfId="38695"/>
    <cellStyle name="Uwaga 2 24 25 2" xfId="38696"/>
    <cellStyle name="Uwaga 2 24 25 3" xfId="38697"/>
    <cellStyle name="Uwaga 2 24 26" xfId="38698"/>
    <cellStyle name="Uwaga 2 24 26 2" xfId="38699"/>
    <cellStyle name="Uwaga 2 24 26 3" xfId="38700"/>
    <cellStyle name="Uwaga 2 24 27" xfId="38701"/>
    <cellStyle name="Uwaga 2 24 27 2" xfId="38702"/>
    <cellStyle name="Uwaga 2 24 27 3" xfId="38703"/>
    <cellStyle name="Uwaga 2 24 28" xfId="38704"/>
    <cellStyle name="Uwaga 2 24 28 2" xfId="38705"/>
    <cellStyle name="Uwaga 2 24 28 3" xfId="38706"/>
    <cellStyle name="Uwaga 2 24 29" xfId="38707"/>
    <cellStyle name="Uwaga 2 24 29 2" xfId="38708"/>
    <cellStyle name="Uwaga 2 24 29 3" xfId="38709"/>
    <cellStyle name="Uwaga 2 24 3" xfId="38710"/>
    <cellStyle name="Uwaga 2 24 3 2" xfId="38711"/>
    <cellStyle name="Uwaga 2 24 3 3" xfId="38712"/>
    <cellStyle name="Uwaga 2 24 3 4" xfId="38713"/>
    <cellStyle name="Uwaga 2 24 30" xfId="38714"/>
    <cellStyle name="Uwaga 2 24 30 2" xfId="38715"/>
    <cellStyle name="Uwaga 2 24 30 3" xfId="38716"/>
    <cellStyle name="Uwaga 2 24 31" xfId="38717"/>
    <cellStyle name="Uwaga 2 24 31 2" xfId="38718"/>
    <cellStyle name="Uwaga 2 24 31 3" xfId="38719"/>
    <cellStyle name="Uwaga 2 24 32" xfId="38720"/>
    <cellStyle name="Uwaga 2 24 32 2" xfId="38721"/>
    <cellStyle name="Uwaga 2 24 32 3" xfId="38722"/>
    <cellStyle name="Uwaga 2 24 33" xfId="38723"/>
    <cellStyle name="Uwaga 2 24 33 2" xfId="38724"/>
    <cellStyle name="Uwaga 2 24 33 3" xfId="38725"/>
    <cellStyle name="Uwaga 2 24 34" xfId="38726"/>
    <cellStyle name="Uwaga 2 24 34 2" xfId="38727"/>
    <cellStyle name="Uwaga 2 24 34 3" xfId="38728"/>
    <cellStyle name="Uwaga 2 24 35" xfId="38729"/>
    <cellStyle name="Uwaga 2 24 35 2" xfId="38730"/>
    <cellStyle name="Uwaga 2 24 35 3" xfId="38731"/>
    <cellStyle name="Uwaga 2 24 36" xfId="38732"/>
    <cellStyle name="Uwaga 2 24 36 2" xfId="38733"/>
    <cellStyle name="Uwaga 2 24 36 3" xfId="38734"/>
    <cellStyle name="Uwaga 2 24 37" xfId="38735"/>
    <cellStyle name="Uwaga 2 24 37 2" xfId="38736"/>
    <cellStyle name="Uwaga 2 24 37 3" xfId="38737"/>
    <cellStyle name="Uwaga 2 24 38" xfId="38738"/>
    <cellStyle name="Uwaga 2 24 38 2" xfId="38739"/>
    <cellStyle name="Uwaga 2 24 38 3" xfId="38740"/>
    <cellStyle name="Uwaga 2 24 39" xfId="38741"/>
    <cellStyle name="Uwaga 2 24 39 2" xfId="38742"/>
    <cellStyle name="Uwaga 2 24 39 3" xfId="38743"/>
    <cellStyle name="Uwaga 2 24 4" xfId="38744"/>
    <cellStyle name="Uwaga 2 24 4 2" xfId="38745"/>
    <cellStyle name="Uwaga 2 24 4 3" xfId="38746"/>
    <cellStyle name="Uwaga 2 24 4 4" xfId="38747"/>
    <cellStyle name="Uwaga 2 24 40" xfId="38748"/>
    <cellStyle name="Uwaga 2 24 40 2" xfId="38749"/>
    <cellStyle name="Uwaga 2 24 40 3" xfId="38750"/>
    <cellStyle name="Uwaga 2 24 41" xfId="38751"/>
    <cellStyle name="Uwaga 2 24 41 2" xfId="38752"/>
    <cellStyle name="Uwaga 2 24 41 3" xfId="38753"/>
    <cellStyle name="Uwaga 2 24 42" xfId="38754"/>
    <cellStyle name="Uwaga 2 24 42 2" xfId="38755"/>
    <cellStyle name="Uwaga 2 24 42 3" xfId="38756"/>
    <cellStyle name="Uwaga 2 24 43" xfId="38757"/>
    <cellStyle name="Uwaga 2 24 43 2" xfId="38758"/>
    <cellStyle name="Uwaga 2 24 43 3" xfId="38759"/>
    <cellStyle name="Uwaga 2 24 44" xfId="38760"/>
    <cellStyle name="Uwaga 2 24 44 2" xfId="38761"/>
    <cellStyle name="Uwaga 2 24 44 3" xfId="38762"/>
    <cellStyle name="Uwaga 2 24 45" xfId="38763"/>
    <cellStyle name="Uwaga 2 24 45 2" xfId="38764"/>
    <cellStyle name="Uwaga 2 24 45 3" xfId="38765"/>
    <cellStyle name="Uwaga 2 24 46" xfId="38766"/>
    <cellStyle name="Uwaga 2 24 46 2" xfId="38767"/>
    <cellStyle name="Uwaga 2 24 46 3" xfId="38768"/>
    <cellStyle name="Uwaga 2 24 47" xfId="38769"/>
    <cellStyle name="Uwaga 2 24 47 2" xfId="38770"/>
    <cellStyle name="Uwaga 2 24 47 3" xfId="38771"/>
    <cellStyle name="Uwaga 2 24 48" xfId="38772"/>
    <cellStyle name="Uwaga 2 24 48 2" xfId="38773"/>
    <cellStyle name="Uwaga 2 24 48 3" xfId="38774"/>
    <cellStyle name="Uwaga 2 24 49" xfId="38775"/>
    <cellStyle name="Uwaga 2 24 49 2" xfId="38776"/>
    <cellStyle name="Uwaga 2 24 49 3" xfId="38777"/>
    <cellStyle name="Uwaga 2 24 5" xfId="38778"/>
    <cellStyle name="Uwaga 2 24 5 2" xfId="38779"/>
    <cellStyle name="Uwaga 2 24 5 3" xfId="38780"/>
    <cellStyle name="Uwaga 2 24 5 4" xfId="38781"/>
    <cellStyle name="Uwaga 2 24 50" xfId="38782"/>
    <cellStyle name="Uwaga 2 24 50 2" xfId="38783"/>
    <cellStyle name="Uwaga 2 24 50 3" xfId="38784"/>
    <cellStyle name="Uwaga 2 24 51" xfId="38785"/>
    <cellStyle name="Uwaga 2 24 51 2" xfId="38786"/>
    <cellStyle name="Uwaga 2 24 51 3" xfId="38787"/>
    <cellStyle name="Uwaga 2 24 52" xfId="38788"/>
    <cellStyle name="Uwaga 2 24 52 2" xfId="38789"/>
    <cellStyle name="Uwaga 2 24 52 3" xfId="38790"/>
    <cellStyle name="Uwaga 2 24 53" xfId="38791"/>
    <cellStyle name="Uwaga 2 24 53 2" xfId="38792"/>
    <cellStyle name="Uwaga 2 24 53 3" xfId="38793"/>
    <cellStyle name="Uwaga 2 24 54" xfId="38794"/>
    <cellStyle name="Uwaga 2 24 54 2" xfId="38795"/>
    <cellStyle name="Uwaga 2 24 54 3" xfId="38796"/>
    <cellStyle name="Uwaga 2 24 55" xfId="38797"/>
    <cellStyle name="Uwaga 2 24 55 2" xfId="38798"/>
    <cellStyle name="Uwaga 2 24 55 3" xfId="38799"/>
    <cellStyle name="Uwaga 2 24 56" xfId="38800"/>
    <cellStyle name="Uwaga 2 24 56 2" xfId="38801"/>
    <cellStyle name="Uwaga 2 24 56 3" xfId="38802"/>
    <cellStyle name="Uwaga 2 24 57" xfId="38803"/>
    <cellStyle name="Uwaga 2 24 58" xfId="38804"/>
    <cellStyle name="Uwaga 2 24 6" xfId="38805"/>
    <cellStyle name="Uwaga 2 24 6 2" xfId="38806"/>
    <cellStyle name="Uwaga 2 24 6 3" xfId="38807"/>
    <cellStyle name="Uwaga 2 24 6 4" xfId="38808"/>
    <cellStyle name="Uwaga 2 24 7" xfId="38809"/>
    <cellStyle name="Uwaga 2 24 7 2" xfId="38810"/>
    <cellStyle name="Uwaga 2 24 7 3" xfId="38811"/>
    <cellStyle name="Uwaga 2 24 7 4" xfId="38812"/>
    <cellStyle name="Uwaga 2 24 8" xfId="38813"/>
    <cellStyle name="Uwaga 2 24 8 2" xfId="38814"/>
    <cellStyle name="Uwaga 2 24 8 3" xfId="38815"/>
    <cellStyle name="Uwaga 2 24 8 4" xfId="38816"/>
    <cellStyle name="Uwaga 2 24 9" xfId="38817"/>
    <cellStyle name="Uwaga 2 24 9 2" xfId="38818"/>
    <cellStyle name="Uwaga 2 24 9 3" xfId="38819"/>
    <cellStyle name="Uwaga 2 24 9 4" xfId="38820"/>
    <cellStyle name="Uwaga 2 25" xfId="38821"/>
    <cellStyle name="Uwaga 2 25 10" xfId="38822"/>
    <cellStyle name="Uwaga 2 25 10 2" xfId="38823"/>
    <cellStyle name="Uwaga 2 25 10 3" xfId="38824"/>
    <cellStyle name="Uwaga 2 25 10 4" xfId="38825"/>
    <cellStyle name="Uwaga 2 25 11" xfId="38826"/>
    <cellStyle name="Uwaga 2 25 11 2" xfId="38827"/>
    <cellStyle name="Uwaga 2 25 11 3" xfId="38828"/>
    <cellStyle name="Uwaga 2 25 11 4" xfId="38829"/>
    <cellStyle name="Uwaga 2 25 12" xfId="38830"/>
    <cellStyle name="Uwaga 2 25 12 2" xfId="38831"/>
    <cellStyle name="Uwaga 2 25 12 3" xfId="38832"/>
    <cellStyle name="Uwaga 2 25 12 4" xfId="38833"/>
    <cellStyle name="Uwaga 2 25 13" xfId="38834"/>
    <cellStyle name="Uwaga 2 25 13 2" xfId="38835"/>
    <cellStyle name="Uwaga 2 25 13 3" xfId="38836"/>
    <cellStyle name="Uwaga 2 25 13 4" xfId="38837"/>
    <cellStyle name="Uwaga 2 25 14" xfId="38838"/>
    <cellStyle name="Uwaga 2 25 14 2" xfId="38839"/>
    <cellStyle name="Uwaga 2 25 14 3" xfId="38840"/>
    <cellStyle name="Uwaga 2 25 14 4" xfId="38841"/>
    <cellStyle name="Uwaga 2 25 15" xfId="38842"/>
    <cellStyle name="Uwaga 2 25 15 2" xfId="38843"/>
    <cellStyle name="Uwaga 2 25 15 3" xfId="38844"/>
    <cellStyle name="Uwaga 2 25 15 4" xfId="38845"/>
    <cellStyle name="Uwaga 2 25 16" xfId="38846"/>
    <cellStyle name="Uwaga 2 25 16 2" xfId="38847"/>
    <cellStyle name="Uwaga 2 25 16 3" xfId="38848"/>
    <cellStyle name="Uwaga 2 25 16 4" xfId="38849"/>
    <cellStyle name="Uwaga 2 25 17" xfId="38850"/>
    <cellStyle name="Uwaga 2 25 17 2" xfId="38851"/>
    <cellStyle name="Uwaga 2 25 17 3" xfId="38852"/>
    <cellStyle name="Uwaga 2 25 17 4" xfId="38853"/>
    <cellStyle name="Uwaga 2 25 18" xfId="38854"/>
    <cellStyle name="Uwaga 2 25 18 2" xfId="38855"/>
    <cellStyle name="Uwaga 2 25 18 3" xfId="38856"/>
    <cellStyle name="Uwaga 2 25 18 4" xfId="38857"/>
    <cellStyle name="Uwaga 2 25 19" xfId="38858"/>
    <cellStyle name="Uwaga 2 25 19 2" xfId="38859"/>
    <cellStyle name="Uwaga 2 25 19 3" xfId="38860"/>
    <cellStyle name="Uwaga 2 25 19 4" xfId="38861"/>
    <cellStyle name="Uwaga 2 25 2" xfId="38862"/>
    <cellStyle name="Uwaga 2 25 2 2" xfId="38863"/>
    <cellStyle name="Uwaga 2 25 2 3" xfId="38864"/>
    <cellStyle name="Uwaga 2 25 2 4" xfId="38865"/>
    <cellStyle name="Uwaga 2 25 20" xfId="38866"/>
    <cellStyle name="Uwaga 2 25 20 2" xfId="38867"/>
    <cellStyle name="Uwaga 2 25 20 3" xfId="38868"/>
    <cellStyle name="Uwaga 2 25 20 4" xfId="38869"/>
    <cellStyle name="Uwaga 2 25 21" xfId="38870"/>
    <cellStyle name="Uwaga 2 25 21 2" xfId="38871"/>
    <cellStyle name="Uwaga 2 25 21 3" xfId="38872"/>
    <cellStyle name="Uwaga 2 25 22" xfId="38873"/>
    <cellStyle name="Uwaga 2 25 22 2" xfId="38874"/>
    <cellStyle name="Uwaga 2 25 22 3" xfId="38875"/>
    <cellStyle name="Uwaga 2 25 23" xfId="38876"/>
    <cellStyle name="Uwaga 2 25 23 2" xfId="38877"/>
    <cellStyle name="Uwaga 2 25 23 3" xfId="38878"/>
    <cellStyle name="Uwaga 2 25 24" xfId="38879"/>
    <cellStyle name="Uwaga 2 25 24 2" xfId="38880"/>
    <cellStyle name="Uwaga 2 25 24 3" xfId="38881"/>
    <cellStyle name="Uwaga 2 25 25" xfId="38882"/>
    <cellStyle name="Uwaga 2 25 25 2" xfId="38883"/>
    <cellStyle name="Uwaga 2 25 25 3" xfId="38884"/>
    <cellStyle name="Uwaga 2 25 26" xfId="38885"/>
    <cellStyle name="Uwaga 2 25 26 2" xfId="38886"/>
    <cellStyle name="Uwaga 2 25 26 3" xfId="38887"/>
    <cellStyle name="Uwaga 2 25 27" xfId="38888"/>
    <cellStyle name="Uwaga 2 25 27 2" xfId="38889"/>
    <cellStyle name="Uwaga 2 25 27 3" xfId="38890"/>
    <cellStyle name="Uwaga 2 25 28" xfId="38891"/>
    <cellStyle name="Uwaga 2 25 28 2" xfId="38892"/>
    <cellStyle name="Uwaga 2 25 28 3" xfId="38893"/>
    <cellStyle name="Uwaga 2 25 29" xfId="38894"/>
    <cellStyle name="Uwaga 2 25 29 2" xfId="38895"/>
    <cellStyle name="Uwaga 2 25 29 3" xfId="38896"/>
    <cellStyle name="Uwaga 2 25 3" xfId="38897"/>
    <cellStyle name="Uwaga 2 25 3 2" xfId="38898"/>
    <cellStyle name="Uwaga 2 25 3 3" xfId="38899"/>
    <cellStyle name="Uwaga 2 25 3 4" xfId="38900"/>
    <cellStyle name="Uwaga 2 25 30" xfId="38901"/>
    <cellStyle name="Uwaga 2 25 30 2" xfId="38902"/>
    <cellStyle name="Uwaga 2 25 30 3" xfId="38903"/>
    <cellStyle name="Uwaga 2 25 31" xfId="38904"/>
    <cellStyle name="Uwaga 2 25 31 2" xfId="38905"/>
    <cellStyle name="Uwaga 2 25 31 3" xfId="38906"/>
    <cellStyle name="Uwaga 2 25 32" xfId="38907"/>
    <cellStyle name="Uwaga 2 25 32 2" xfId="38908"/>
    <cellStyle name="Uwaga 2 25 32 3" xfId="38909"/>
    <cellStyle name="Uwaga 2 25 33" xfId="38910"/>
    <cellStyle name="Uwaga 2 25 33 2" xfId="38911"/>
    <cellStyle name="Uwaga 2 25 33 3" xfId="38912"/>
    <cellStyle name="Uwaga 2 25 34" xfId="38913"/>
    <cellStyle name="Uwaga 2 25 34 2" xfId="38914"/>
    <cellStyle name="Uwaga 2 25 34 3" xfId="38915"/>
    <cellStyle name="Uwaga 2 25 35" xfId="38916"/>
    <cellStyle name="Uwaga 2 25 35 2" xfId="38917"/>
    <cellStyle name="Uwaga 2 25 35 3" xfId="38918"/>
    <cellStyle name="Uwaga 2 25 36" xfId="38919"/>
    <cellStyle name="Uwaga 2 25 36 2" xfId="38920"/>
    <cellStyle name="Uwaga 2 25 36 3" xfId="38921"/>
    <cellStyle name="Uwaga 2 25 37" xfId="38922"/>
    <cellStyle name="Uwaga 2 25 37 2" xfId="38923"/>
    <cellStyle name="Uwaga 2 25 37 3" xfId="38924"/>
    <cellStyle name="Uwaga 2 25 38" xfId="38925"/>
    <cellStyle name="Uwaga 2 25 38 2" xfId="38926"/>
    <cellStyle name="Uwaga 2 25 38 3" xfId="38927"/>
    <cellStyle name="Uwaga 2 25 39" xfId="38928"/>
    <cellStyle name="Uwaga 2 25 39 2" xfId="38929"/>
    <cellStyle name="Uwaga 2 25 39 3" xfId="38930"/>
    <cellStyle name="Uwaga 2 25 4" xfId="38931"/>
    <cellStyle name="Uwaga 2 25 4 2" xfId="38932"/>
    <cellStyle name="Uwaga 2 25 4 3" xfId="38933"/>
    <cellStyle name="Uwaga 2 25 4 4" xfId="38934"/>
    <cellStyle name="Uwaga 2 25 40" xfId="38935"/>
    <cellStyle name="Uwaga 2 25 40 2" xfId="38936"/>
    <cellStyle name="Uwaga 2 25 40 3" xfId="38937"/>
    <cellStyle name="Uwaga 2 25 41" xfId="38938"/>
    <cellStyle name="Uwaga 2 25 41 2" xfId="38939"/>
    <cellStyle name="Uwaga 2 25 41 3" xfId="38940"/>
    <cellStyle name="Uwaga 2 25 42" xfId="38941"/>
    <cellStyle name="Uwaga 2 25 42 2" xfId="38942"/>
    <cellStyle name="Uwaga 2 25 42 3" xfId="38943"/>
    <cellStyle name="Uwaga 2 25 43" xfId="38944"/>
    <cellStyle name="Uwaga 2 25 43 2" xfId="38945"/>
    <cellStyle name="Uwaga 2 25 43 3" xfId="38946"/>
    <cellStyle name="Uwaga 2 25 44" xfId="38947"/>
    <cellStyle name="Uwaga 2 25 44 2" xfId="38948"/>
    <cellStyle name="Uwaga 2 25 44 3" xfId="38949"/>
    <cellStyle name="Uwaga 2 25 45" xfId="38950"/>
    <cellStyle name="Uwaga 2 25 45 2" xfId="38951"/>
    <cellStyle name="Uwaga 2 25 45 3" xfId="38952"/>
    <cellStyle name="Uwaga 2 25 46" xfId="38953"/>
    <cellStyle name="Uwaga 2 25 46 2" xfId="38954"/>
    <cellStyle name="Uwaga 2 25 46 3" xfId="38955"/>
    <cellStyle name="Uwaga 2 25 47" xfId="38956"/>
    <cellStyle name="Uwaga 2 25 47 2" xfId="38957"/>
    <cellStyle name="Uwaga 2 25 47 3" xfId="38958"/>
    <cellStyle name="Uwaga 2 25 48" xfId="38959"/>
    <cellStyle name="Uwaga 2 25 48 2" xfId="38960"/>
    <cellStyle name="Uwaga 2 25 48 3" xfId="38961"/>
    <cellStyle name="Uwaga 2 25 49" xfId="38962"/>
    <cellStyle name="Uwaga 2 25 49 2" xfId="38963"/>
    <cellStyle name="Uwaga 2 25 49 3" xfId="38964"/>
    <cellStyle name="Uwaga 2 25 5" xfId="38965"/>
    <cellStyle name="Uwaga 2 25 5 2" xfId="38966"/>
    <cellStyle name="Uwaga 2 25 5 3" xfId="38967"/>
    <cellStyle name="Uwaga 2 25 5 4" xfId="38968"/>
    <cellStyle name="Uwaga 2 25 50" xfId="38969"/>
    <cellStyle name="Uwaga 2 25 50 2" xfId="38970"/>
    <cellStyle name="Uwaga 2 25 50 3" xfId="38971"/>
    <cellStyle name="Uwaga 2 25 51" xfId="38972"/>
    <cellStyle name="Uwaga 2 25 51 2" xfId="38973"/>
    <cellStyle name="Uwaga 2 25 51 3" xfId="38974"/>
    <cellStyle name="Uwaga 2 25 52" xfId="38975"/>
    <cellStyle name="Uwaga 2 25 52 2" xfId="38976"/>
    <cellStyle name="Uwaga 2 25 52 3" xfId="38977"/>
    <cellStyle name="Uwaga 2 25 53" xfId="38978"/>
    <cellStyle name="Uwaga 2 25 53 2" xfId="38979"/>
    <cellStyle name="Uwaga 2 25 53 3" xfId="38980"/>
    <cellStyle name="Uwaga 2 25 54" xfId="38981"/>
    <cellStyle name="Uwaga 2 25 54 2" xfId="38982"/>
    <cellStyle name="Uwaga 2 25 54 3" xfId="38983"/>
    <cellStyle name="Uwaga 2 25 55" xfId="38984"/>
    <cellStyle name="Uwaga 2 25 55 2" xfId="38985"/>
    <cellStyle name="Uwaga 2 25 55 3" xfId="38986"/>
    <cellStyle name="Uwaga 2 25 56" xfId="38987"/>
    <cellStyle name="Uwaga 2 25 56 2" xfId="38988"/>
    <cellStyle name="Uwaga 2 25 56 3" xfId="38989"/>
    <cellStyle name="Uwaga 2 25 57" xfId="38990"/>
    <cellStyle name="Uwaga 2 25 58" xfId="38991"/>
    <cellStyle name="Uwaga 2 25 6" xfId="38992"/>
    <cellStyle name="Uwaga 2 25 6 2" xfId="38993"/>
    <cellStyle name="Uwaga 2 25 6 3" xfId="38994"/>
    <cellStyle name="Uwaga 2 25 6 4" xfId="38995"/>
    <cellStyle name="Uwaga 2 25 7" xfId="38996"/>
    <cellStyle name="Uwaga 2 25 7 2" xfId="38997"/>
    <cellStyle name="Uwaga 2 25 7 3" xfId="38998"/>
    <cellStyle name="Uwaga 2 25 7 4" xfId="38999"/>
    <cellStyle name="Uwaga 2 25 8" xfId="39000"/>
    <cellStyle name="Uwaga 2 25 8 2" xfId="39001"/>
    <cellStyle name="Uwaga 2 25 8 3" xfId="39002"/>
    <cellStyle name="Uwaga 2 25 8 4" xfId="39003"/>
    <cellStyle name="Uwaga 2 25 9" xfId="39004"/>
    <cellStyle name="Uwaga 2 25 9 2" xfId="39005"/>
    <cellStyle name="Uwaga 2 25 9 3" xfId="39006"/>
    <cellStyle name="Uwaga 2 25 9 4" xfId="39007"/>
    <cellStyle name="Uwaga 2 26" xfId="39008"/>
    <cellStyle name="Uwaga 2 26 10" xfId="39009"/>
    <cellStyle name="Uwaga 2 26 10 2" xfId="39010"/>
    <cellStyle name="Uwaga 2 26 10 3" xfId="39011"/>
    <cellStyle name="Uwaga 2 26 10 4" xfId="39012"/>
    <cellStyle name="Uwaga 2 26 11" xfId="39013"/>
    <cellStyle name="Uwaga 2 26 11 2" xfId="39014"/>
    <cellStyle name="Uwaga 2 26 11 3" xfId="39015"/>
    <cellStyle name="Uwaga 2 26 11 4" xfId="39016"/>
    <cellStyle name="Uwaga 2 26 12" xfId="39017"/>
    <cellStyle name="Uwaga 2 26 12 2" xfId="39018"/>
    <cellStyle name="Uwaga 2 26 12 3" xfId="39019"/>
    <cellStyle name="Uwaga 2 26 12 4" xfId="39020"/>
    <cellStyle name="Uwaga 2 26 13" xfId="39021"/>
    <cellStyle name="Uwaga 2 26 13 2" xfId="39022"/>
    <cellStyle name="Uwaga 2 26 13 3" xfId="39023"/>
    <cellStyle name="Uwaga 2 26 13 4" xfId="39024"/>
    <cellStyle name="Uwaga 2 26 14" xfId="39025"/>
    <cellStyle name="Uwaga 2 26 14 2" xfId="39026"/>
    <cellStyle name="Uwaga 2 26 14 3" xfId="39027"/>
    <cellStyle name="Uwaga 2 26 14 4" xfId="39028"/>
    <cellStyle name="Uwaga 2 26 15" xfId="39029"/>
    <cellStyle name="Uwaga 2 26 15 2" xfId="39030"/>
    <cellStyle name="Uwaga 2 26 15 3" xfId="39031"/>
    <cellStyle name="Uwaga 2 26 15 4" xfId="39032"/>
    <cellStyle name="Uwaga 2 26 16" xfId="39033"/>
    <cellStyle name="Uwaga 2 26 16 2" xfId="39034"/>
    <cellStyle name="Uwaga 2 26 16 3" xfId="39035"/>
    <cellStyle name="Uwaga 2 26 16 4" xfId="39036"/>
    <cellStyle name="Uwaga 2 26 17" xfId="39037"/>
    <cellStyle name="Uwaga 2 26 17 2" xfId="39038"/>
    <cellStyle name="Uwaga 2 26 17 3" xfId="39039"/>
    <cellStyle name="Uwaga 2 26 17 4" xfId="39040"/>
    <cellStyle name="Uwaga 2 26 18" xfId="39041"/>
    <cellStyle name="Uwaga 2 26 18 2" xfId="39042"/>
    <cellStyle name="Uwaga 2 26 18 3" xfId="39043"/>
    <cellStyle name="Uwaga 2 26 18 4" xfId="39044"/>
    <cellStyle name="Uwaga 2 26 19" xfId="39045"/>
    <cellStyle name="Uwaga 2 26 19 2" xfId="39046"/>
    <cellStyle name="Uwaga 2 26 19 3" xfId="39047"/>
    <cellStyle name="Uwaga 2 26 19 4" xfId="39048"/>
    <cellStyle name="Uwaga 2 26 2" xfId="39049"/>
    <cellStyle name="Uwaga 2 26 2 2" xfId="39050"/>
    <cellStyle name="Uwaga 2 26 2 3" xfId="39051"/>
    <cellStyle name="Uwaga 2 26 2 4" xfId="39052"/>
    <cellStyle name="Uwaga 2 26 20" xfId="39053"/>
    <cellStyle name="Uwaga 2 26 20 2" xfId="39054"/>
    <cellStyle name="Uwaga 2 26 20 3" xfId="39055"/>
    <cellStyle name="Uwaga 2 26 20 4" xfId="39056"/>
    <cellStyle name="Uwaga 2 26 21" xfId="39057"/>
    <cellStyle name="Uwaga 2 26 21 2" xfId="39058"/>
    <cellStyle name="Uwaga 2 26 21 3" xfId="39059"/>
    <cellStyle name="Uwaga 2 26 22" xfId="39060"/>
    <cellStyle name="Uwaga 2 26 22 2" xfId="39061"/>
    <cellStyle name="Uwaga 2 26 22 3" xfId="39062"/>
    <cellStyle name="Uwaga 2 26 23" xfId="39063"/>
    <cellStyle name="Uwaga 2 26 23 2" xfId="39064"/>
    <cellStyle name="Uwaga 2 26 23 3" xfId="39065"/>
    <cellStyle name="Uwaga 2 26 24" xfId="39066"/>
    <cellStyle name="Uwaga 2 26 24 2" xfId="39067"/>
    <cellStyle name="Uwaga 2 26 24 3" xfId="39068"/>
    <cellStyle name="Uwaga 2 26 25" xfId="39069"/>
    <cellStyle name="Uwaga 2 26 25 2" xfId="39070"/>
    <cellStyle name="Uwaga 2 26 25 3" xfId="39071"/>
    <cellStyle name="Uwaga 2 26 26" xfId="39072"/>
    <cellStyle name="Uwaga 2 26 26 2" xfId="39073"/>
    <cellStyle name="Uwaga 2 26 26 3" xfId="39074"/>
    <cellStyle name="Uwaga 2 26 27" xfId="39075"/>
    <cellStyle name="Uwaga 2 26 27 2" xfId="39076"/>
    <cellStyle name="Uwaga 2 26 27 3" xfId="39077"/>
    <cellStyle name="Uwaga 2 26 28" xfId="39078"/>
    <cellStyle name="Uwaga 2 26 28 2" xfId="39079"/>
    <cellStyle name="Uwaga 2 26 28 3" xfId="39080"/>
    <cellStyle name="Uwaga 2 26 29" xfId="39081"/>
    <cellStyle name="Uwaga 2 26 29 2" xfId="39082"/>
    <cellStyle name="Uwaga 2 26 29 3" xfId="39083"/>
    <cellStyle name="Uwaga 2 26 3" xfId="39084"/>
    <cellStyle name="Uwaga 2 26 3 2" xfId="39085"/>
    <cellStyle name="Uwaga 2 26 3 3" xfId="39086"/>
    <cellStyle name="Uwaga 2 26 3 4" xfId="39087"/>
    <cellStyle name="Uwaga 2 26 30" xfId="39088"/>
    <cellStyle name="Uwaga 2 26 30 2" xfId="39089"/>
    <cellStyle name="Uwaga 2 26 30 3" xfId="39090"/>
    <cellStyle name="Uwaga 2 26 31" xfId="39091"/>
    <cellStyle name="Uwaga 2 26 31 2" xfId="39092"/>
    <cellStyle name="Uwaga 2 26 31 3" xfId="39093"/>
    <cellStyle name="Uwaga 2 26 32" xfId="39094"/>
    <cellStyle name="Uwaga 2 26 32 2" xfId="39095"/>
    <cellStyle name="Uwaga 2 26 32 3" xfId="39096"/>
    <cellStyle name="Uwaga 2 26 33" xfId="39097"/>
    <cellStyle name="Uwaga 2 26 33 2" xfId="39098"/>
    <cellStyle name="Uwaga 2 26 33 3" xfId="39099"/>
    <cellStyle name="Uwaga 2 26 34" xfId="39100"/>
    <cellStyle name="Uwaga 2 26 34 2" xfId="39101"/>
    <cellStyle name="Uwaga 2 26 34 3" xfId="39102"/>
    <cellStyle name="Uwaga 2 26 35" xfId="39103"/>
    <cellStyle name="Uwaga 2 26 35 2" xfId="39104"/>
    <cellStyle name="Uwaga 2 26 35 3" xfId="39105"/>
    <cellStyle name="Uwaga 2 26 36" xfId="39106"/>
    <cellStyle name="Uwaga 2 26 36 2" xfId="39107"/>
    <cellStyle name="Uwaga 2 26 36 3" xfId="39108"/>
    <cellStyle name="Uwaga 2 26 37" xfId="39109"/>
    <cellStyle name="Uwaga 2 26 37 2" xfId="39110"/>
    <cellStyle name="Uwaga 2 26 37 3" xfId="39111"/>
    <cellStyle name="Uwaga 2 26 38" xfId="39112"/>
    <cellStyle name="Uwaga 2 26 38 2" xfId="39113"/>
    <cellStyle name="Uwaga 2 26 38 3" xfId="39114"/>
    <cellStyle name="Uwaga 2 26 39" xfId="39115"/>
    <cellStyle name="Uwaga 2 26 39 2" xfId="39116"/>
    <cellStyle name="Uwaga 2 26 39 3" xfId="39117"/>
    <cellStyle name="Uwaga 2 26 4" xfId="39118"/>
    <cellStyle name="Uwaga 2 26 4 2" xfId="39119"/>
    <cellStyle name="Uwaga 2 26 4 3" xfId="39120"/>
    <cellStyle name="Uwaga 2 26 4 4" xfId="39121"/>
    <cellStyle name="Uwaga 2 26 40" xfId="39122"/>
    <cellStyle name="Uwaga 2 26 40 2" xfId="39123"/>
    <cellStyle name="Uwaga 2 26 40 3" xfId="39124"/>
    <cellStyle name="Uwaga 2 26 41" xfId="39125"/>
    <cellStyle name="Uwaga 2 26 41 2" xfId="39126"/>
    <cellStyle name="Uwaga 2 26 41 3" xfId="39127"/>
    <cellStyle name="Uwaga 2 26 42" xfId="39128"/>
    <cellStyle name="Uwaga 2 26 42 2" xfId="39129"/>
    <cellStyle name="Uwaga 2 26 42 3" xfId="39130"/>
    <cellStyle name="Uwaga 2 26 43" xfId="39131"/>
    <cellStyle name="Uwaga 2 26 43 2" xfId="39132"/>
    <cellStyle name="Uwaga 2 26 43 3" xfId="39133"/>
    <cellStyle name="Uwaga 2 26 44" xfId="39134"/>
    <cellStyle name="Uwaga 2 26 44 2" xfId="39135"/>
    <cellStyle name="Uwaga 2 26 44 3" xfId="39136"/>
    <cellStyle name="Uwaga 2 26 45" xfId="39137"/>
    <cellStyle name="Uwaga 2 26 45 2" xfId="39138"/>
    <cellStyle name="Uwaga 2 26 45 3" xfId="39139"/>
    <cellStyle name="Uwaga 2 26 46" xfId="39140"/>
    <cellStyle name="Uwaga 2 26 46 2" xfId="39141"/>
    <cellStyle name="Uwaga 2 26 46 3" xfId="39142"/>
    <cellStyle name="Uwaga 2 26 47" xfId="39143"/>
    <cellStyle name="Uwaga 2 26 47 2" xfId="39144"/>
    <cellStyle name="Uwaga 2 26 47 3" xfId="39145"/>
    <cellStyle name="Uwaga 2 26 48" xfId="39146"/>
    <cellStyle name="Uwaga 2 26 48 2" xfId="39147"/>
    <cellStyle name="Uwaga 2 26 48 3" xfId="39148"/>
    <cellStyle name="Uwaga 2 26 49" xfId="39149"/>
    <cellStyle name="Uwaga 2 26 49 2" xfId="39150"/>
    <cellStyle name="Uwaga 2 26 49 3" xfId="39151"/>
    <cellStyle name="Uwaga 2 26 5" xfId="39152"/>
    <cellStyle name="Uwaga 2 26 5 2" xfId="39153"/>
    <cellStyle name="Uwaga 2 26 5 3" xfId="39154"/>
    <cellStyle name="Uwaga 2 26 5 4" xfId="39155"/>
    <cellStyle name="Uwaga 2 26 50" xfId="39156"/>
    <cellStyle name="Uwaga 2 26 50 2" xfId="39157"/>
    <cellStyle name="Uwaga 2 26 50 3" xfId="39158"/>
    <cellStyle name="Uwaga 2 26 51" xfId="39159"/>
    <cellStyle name="Uwaga 2 26 51 2" xfId="39160"/>
    <cellStyle name="Uwaga 2 26 51 3" xfId="39161"/>
    <cellStyle name="Uwaga 2 26 52" xfId="39162"/>
    <cellStyle name="Uwaga 2 26 52 2" xfId="39163"/>
    <cellStyle name="Uwaga 2 26 52 3" xfId="39164"/>
    <cellStyle name="Uwaga 2 26 53" xfId="39165"/>
    <cellStyle name="Uwaga 2 26 53 2" xfId="39166"/>
    <cellStyle name="Uwaga 2 26 53 3" xfId="39167"/>
    <cellStyle name="Uwaga 2 26 54" xfId="39168"/>
    <cellStyle name="Uwaga 2 26 54 2" xfId="39169"/>
    <cellStyle name="Uwaga 2 26 54 3" xfId="39170"/>
    <cellStyle name="Uwaga 2 26 55" xfId="39171"/>
    <cellStyle name="Uwaga 2 26 55 2" xfId="39172"/>
    <cellStyle name="Uwaga 2 26 55 3" xfId="39173"/>
    <cellStyle name="Uwaga 2 26 56" xfId="39174"/>
    <cellStyle name="Uwaga 2 26 56 2" xfId="39175"/>
    <cellStyle name="Uwaga 2 26 56 3" xfId="39176"/>
    <cellStyle name="Uwaga 2 26 57" xfId="39177"/>
    <cellStyle name="Uwaga 2 26 58" xfId="39178"/>
    <cellStyle name="Uwaga 2 26 6" xfId="39179"/>
    <cellStyle name="Uwaga 2 26 6 2" xfId="39180"/>
    <cellStyle name="Uwaga 2 26 6 3" xfId="39181"/>
    <cellStyle name="Uwaga 2 26 6 4" xfId="39182"/>
    <cellStyle name="Uwaga 2 26 7" xfId="39183"/>
    <cellStyle name="Uwaga 2 26 7 2" xfId="39184"/>
    <cellStyle name="Uwaga 2 26 7 3" xfId="39185"/>
    <cellStyle name="Uwaga 2 26 7 4" xfId="39186"/>
    <cellStyle name="Uwaga 2 26 8" xfId="39187"/>
    <cellStyle name="Uwaga 2 26 8 2" xfId="39188"/>
    <cellStyle name="Uwaga 2 26 8 3" xfId="39189"/>
    <cellStyle name="Uwaga 2 26 8 4" xfId="39190"/>
    <cellStyle name="Uwaga 2 26 9" xfId="39191"/>
    <cellStyle name="Uwaga 2 26 9 2" xfId="39192"/>
    <cellStyle name="Uwaga 2 26 9 3" xfId="39193"/>
    <cellStyle name="Uwaga 2 26 9 4" xfId="39194"/>
    <cellStyle name="Uwaga 2 27" xfId="39195"/>
    <cellStyle name="Uwaga 2 27 10" xfId="39196"/>
    <cellStyle name="Uwaga 2 27 10 2" xfId="39197"/>
    <cellStyle name="Uwaga 2 27 10 3" xfId="39198"/>
    <cellStyle name="Uwaga 2 27 10 4" xfId="39199"/>
    <cellStyle name="Uwaga 2 27 11" xfId="39200"/>
    <cellStyle name="Uwaga 2 27 11 2" xfId="39201"/>
    <cellStyle name="Uwaga 2 27 11 3" xfId="39202"/>
    <cellStyle name="Uwaga 2 27 11 4" xfId="39203"/>
    <cellStyle name="Uwaga 2 27 12" xfId="39204"/>
    <cellStyle name="Uwaga 2 27 12 2" xfId="39205"/>
    <cellStyle name="Uwaga 2 27 12 3" xfId="39206"/>
    <cellStyle name="Uwaga 2 27 12 4" xfId="39207"/>
    <cellStyle name="Uwaga 2 27 13" xfId="39208"/>
    <cellStyle name="Uwaga 2 27 13 2" xfId="39209"/>
    <cellStyle name="Uwaga 2 27 13 3" xfId="39210"/>
    <cellStyle name="Uwaga 2 27 13 4" xfId="39211"/>
    <cellStyle name="Uwaga 2 27 14" xfId="39212"/>
    <cellStyle name="Uwaga 2 27 14 2" xfId="39213"/>
    <cellStyle name="Uwaga 2 27 14 3" xfId="39214"/>
    <cellStyle name="Uwaga 2 27 14 4" xfId="39215"/>
    <cellStyle name="Uwaga 2 27 15" xfId="39216"/>
    <cellStyle name="Uwaga 2 27 15 2" xfId="39217"/>
    <cellStyle name="Uwaga 2 27 15 3" xfId="39218"/>
    <cellStyle name="Uwaga 2 27 15 4" xfId="39219"/>
    <cellStyle name="Uwaga 2 27 16" xfId="39220"/>
    <cellStyle name="Uwaga 2 27 16 2" xfId="39221"/>
    <cellStyle name="Uwaga 2 27 16 3" xfId="39222"/>
    <cellStyle name="Uwaga 2 27 16 4" xfId="39223"/>
    <cellStyle name="Uwaga 2 27 17" xfId="39224"/>
    <cellStyle name="Uwaga 2 27 17 2" xfId="39225"/>
    <cellStyle name="Uwaga 2 27 17 3" xfId="39226"/>
    <cellStyle name="Uwaga 2 27 17 4" xfId="39227"/>
    <cellStyle name="Uwaga 2 27 18" xfId="39228"/>
    <cellStyle name="Uwaga 2 27 18 2" xfId="39229"/>
    <cellStyle name="Uwaga 2 27 18 3" xfId="39230"/>
    <cellStyle name="Uwaga 2 27 18 4" xfId="39231"/>
    <cellStyle name="Uwaga 2 27 19" xfId="39232"/>
    <cellStyle name="Uwaga 2 27 19 2" xfId="39233"/>
    <cellStyle name="Uwaga 2 27 19 3" xfId="39234"/>
    <cellStyle name="Uwaga 2 27 19 4" xfId="39235"/>
    <cellStyle name="Uwaga 2 27 2" xfId="39236"/>
    <cellStyle name="Uwaga 2 27 2 2" xfId="39237"/>
    <cellStyle name="Uwaga 2 27 2 3" xfId="39238"/>
    <cellStyle name="Uwaga 2 27 2 4" xfId="39239"/>
    <cellStyle name="Uwaga 2 27 20" xfId="39240"/>
    <cellStyle name="Uwaga 2 27 20 2" xfId="39241"/>
    <cellStyle name="Uwaga 2 27 20 3" xfId="39242"/>
    <cellStyle name="Uwaga 2 27 20 4" xfId="39243"/>
    <cellStyle name="Uwaga 2 27 21" xfId="39244"/>
    <cellStyle name="Uwaga 2 27 21 2" xfId="39245"/>
    <cellStyle name="Uwaga 2 27 21 3" xfId="39246"/>
    <cellStyle name="Uwaga 2 27 22" xfId="39247"/>
    <cellStyle name="Uwaga 2 27 22 2" xfId="39248"/>
    <cellStyle name="Uwaga 2 27 22 3" xfId="39249"/>
    <cellStyle name="Uwaga 2 27 23" xfId="39250"/>
    <cellStyle name="Uwaga 2 27 23 2" xfId="39251"/>
    <cellStyle name="Uwaga 2 27 23 3" xfId="39252"/>
    <cellStyle name="Uwaga 2 27 24" xfId="39253"/>
    <cellStyle name="Uwaga 2 27 24 2" xfId="39254"/>
    <cellStyle name="Uwaga 2 27 24 3" xfId="39255"/>
    <cellStyle name="Uwaga 2 27 25" xfId="39256"/>
    <cellStyle name="Uwaga 2 27 25 2" xfId="39257"/>
    <cellStyle name="Uwaga 2 27 25 3" xfId="39258"/>
    <cellStyle name="Uwaga 2 27 26" xfId="39259"/>
    <cellStyle name="Uwaga 2 27 26 2" xfId="39260"/>
    <cellStyle name="Uwaga 2 27 26 3" xfId="39261"/>
    <cellStyle name="Uwaga 2 27 27" xfId="39262"/>
    <cellStyle name="Uwaga 2 27 27 2" xfId="39263"/>
    <cellStyle name="Uwaga 2 27 27 3" xfId="39264"/>
    <cellStyle name="Uwaga 2 27 28" xfId="39265"/>
    <cellStyle name="Uwaga 2 27 28 2" xfId="39266"/>
    <cellStyle name="Uwaga 2 27 28 3" xfId="39267"/>
    <cellStyle name="Uwaga 2 27 29" xfId="39268"/>
    <cellStyle name="Uwaga 2 27 29 2" xfId="39269"/>
    <cellStyle name="Uwaga 2 27 29 3" xfId="39270"/>
    <cellStyle name="Uwaga 2 27 3" xfId="39271"/>
    <cellStyle name="Uwaga 2 27 3 2" xfId="39272"/>
    <cellStyle name="Uwaga 2 27 3 3" xfId="39273"/>
    <cellStyle name="Uwaga 2 27 3 4" xfId="39274"/>
    <cellStyle name="Uwaga 2 27 30" xfId="39275"/>
    <cellStyle name="Uwaga 2 27 30 2" xfId="39276"/>
    <cellStyle name="Uwaga 2 27 30 3" xfId="39277"/>
    <cellStyle name="Uwaga 2 27 31" xfId="39278"/>
    <cellStyle name="Uwaga 2 27 31 2" xfId="39279"/>
    <cellStyle name="Uwaga 2 27 31 3" xfId="39280"/>
    <cellStyle name="Uwaga 2 27 32" xfId="39281"/>
    <cellStyle name="Uwaga 2 27 32 2" xfId="39282"/>
    <cellStyle name="Uwaga 2 27 32 3" xfId="39283"/>
    <cellStyle name="Uwaga 2 27 33" xfId="39284"/>
    <cellStyle name="Uwaga 2 27 33 2" xfId="39285"/>
    <cellStyle name="Uwaga 2 27 33 3" xfId="39286"/>
    <cellStyle name="Uwaga 2 27 34" xfId="39287"/>
    <cellStyle name="Uwaga 2 27 34 2" xfId="39288"/>
    <cellStyle name="Uwaga 2 27 34 3" xfId="39289"/>
    <cellStyle name="Uwaga 2 27 35" xfId="39290"/>
    <cellStyle name="Uwaga 2 27 35 2" xfId="39291"/>
    <cellStyle name="Uwaga 2 27 35 3" xfId="39292"/>
    <cellStyle name="Uwaga 2 27 36" xfId="39293"/>
    <cellStyle name="Uwaga 2 27 36 2" xfId="39294"/>
    <cellStyle name="Uwaga 2 27 36 3" xfId="39295"/>
    <cellStyle name="Uwaga 2 27 37" xfId="39296"/>
    <cellStyle name="Uwaga 2 27 37 2" xfId="39297"/>
    <cellStyle name="Uwaga 2 27 37 3" xfId="39298"/>
    <cellStyle name="Uwaga 2 27 38" xfId="39299"/>
    <cellStyle name="Uwaga 2 27 38 2" xfId="39300"/>
    <cellStyle name="Uwaga 2 27 38 3" xfId="39301"/>
    <cellStyle name="Uwaga 2 27 39" xfId="39302"/>
    <cellStyle name="Uwaga 2 27 39 2" xfId="39303"/>
    <cellStyle name="Uwaga 2 27 39 3" xfId="39304"/>
    <cellStyle name="Uwaga 2 27 4" xfId="39305"/>
    <cellStyle name="Uwaga 2 27 4 2" xfId="39306"/>
    <cellStyle name="Uwaga 2 27 4 3" xfId="39307"/>
    <cellStyle name="Uwaga 2 27 4 4" xfId="39308"/>
    <cellStyle name="Uwaga 2 27 40" xfId="39309"/>
    <cellStyle name="Uwaga 2 27 40 2" xfId="39310"/>
    <cellStyle name="Uwaga 2 27 40 3" xfId="39311"/>
    <cellStyle name="Uwaga 2 27 41" xfId="39312"/>
    <cellStyle name="Uwaga 2 27 41 2" xfId="39313"/>
    <cellStyle name="Uwaga 2 27 41 3" xfId="39314"/>
    <cellStyle name="Uwaga 2 27 42" xfId="39315"/>
    <cellStyle name="Uwaga 2 27 42 2" xfId="39316"/>
    <cellStyle name="Uwaga 2 27 42 3" xfId="39317"/>
    <cellStyle name="Uwaga 2 27 43" xfId="39318"/>
    <cellStyle name="Uwaga 2 27 43 2" xfId="39319"/>
    <cellStyle name="Uwaga 2 27 43 3" xfId="39320"/>
    <cellStyle name="Uwaga 2 27 44" xfId="39321"/>
    <cellStyle name="Uwaga 2 27 44 2" xfId="39322"/>
    <cellStyle name="Uwaga 2 27 44 3" xfId="39323"/>
    <cellStyle name="Uwaga 2 27 45" xfId="39324"/>
    <cellStyle name="Uwaga 2 27 45 2" xfId="39325"/>
    <cellStyle name="Uwaga 2 27 45 3" xfId="39326"/>
    <cellStyle name="Uwaga 2 27 46" xfId="39327"/>
    <cellStyle name="Uwaga 2 27 46 2" xfId="39328"/>
    <cellStyle name="Uwaga 2 27 46 3" xfId="39329"/>
    <cellStyle name="Uwaga 2 27 47" xfId="39330"/>
    <cellStyle name="Uwaga 2 27 47 2" xfId="39331"/>
    <cellStyle name="Uwaga 2 27 47 3" xfId="39332"/>
    <cellStyle name="Uwaga 2 27 48" xfId="39333"/>
    <cellStyle name="Uwaga 2 27 48 2" xfId="39334"/>
    <cellStyle name="Uwaga 2 27 48 3" xfId="39335"/>
    <cellStyle name="Uwaga 2 27 49" xfId="39336"/>
    <cellStyle name="Uwaga 2 27 49 2" xfId="39337"/>
    <cellStyle name="Uwaga 2 27 49 3" xfId="39338"/>
    <cellStyle name="Uwaga 2 27 5" xfId="39339"/>
    <cellStyle name="Uwaga 2 27 5 2" xfId="39340"/>
    <cellStyle name="Uwaga 2 27 5 3" xfId="39341"/>
    <cellStyle name="Uwaga 2 27 5 4" xfId="39342"/>
    <cellStyle name="Uwaga 2 27 50" xfId="39343"/>
    <cellStyle name="Uwaga 2 27 50 2" xfId="39344"/>
    <cellStyle name="Uwaga 2 27 50 3" xfId="39345"/>
    <cellStyle name="Uwaga 2 27 51" xfId="39346"/>
    <cellStyle name="Uwaga 2 27 51 2" xfId="39347"/>
    <cellStyle name="Uwaga 2 27 51 3" xfId="39348"/>
    <cellStyle name="Uwaga 2 27 52" xfId="39349"/>
    <cellStyle name="Uwaga 2 27 52 2" xfId="39350"/>
    <cellStyle name="Uwaga 2 27 52 3" xfId="39351"/>
    <cellStyle name="Uwaga 2 27 53" xfId="39352"/>
    <cellStyle name="Uwaga 2 27 53 2" xfId="39353"/>
    <cellStyle name="Uwaga 2 27 53 3" xfId="39354"/>
    <cellStyle name="Uwaga 2 27 54" xfId="39355"/>
    <cellStyle name="Uwaga 2 27 54 2" xfId="39356"/>
    <cellStyle name="Uwaga 2 27 54 3" xfId="39357"/>
    <cellStyle name="Uwaga 2 27 55" xfId="39358"/>
    <cellStyle name="Uwaga 2 27 55 2" xfId="39359"/>
    <cellStyle name="Uwaga 2 27 55 3" xfId="39360"/>
    <cellStyle name="Uwaga 2 27 56" xfId="39361"/>
    <cellStyle name="Uwaga 2 27 56 2" xfId="39362"/>
    <cellStyle name="Uwaga 2 27 56 3" xfId="39363"/>
    <cellStyle name="Uwaga 2 27 57" xfId="39364"/>
    <cellStyle name="Uwaga 2 27 58" xfId="39365"/>
    <cellStyle name="Uwaga 2 27 6" xfId="39366"/>
    <cellStyle name="Uwaga 2 27 6 2" xfId="39367"/>
    <cellStyle name="Uwaga 2 27 6 3" xfId="39368"/>
    <cellStyle name="Uwaga 2 27 6 4" xfId="39369"/>
    <cellStyle name="Uwaga 2 27 7" xfId="39370"/>
    <cellStyle name="Uwaga 2 27 7 2" xfId="39371"/>
    <cellStyle name="Uwaga 2 27 7 3" xfId="39372"/>
    <cellStyle name="Uwaga 2 27 7 4" xfId="39373"/>
    <cellStyle name="Uwaga 2 27 8" xfId="39374"/>
    <cellStyle name="Uwaga 2 27 8 2" xfId="39375"/>
    <cellStyle name="Uwaga 2 27 8 3" xfId="39376"/>
    <cellStyle name="Uwaga 2 27 8 4" xfId="39377"/>
    <cellStyle name="Uwaga 2 27 9" xfId="39378"/>
    <cellStyle name="Uwaga 2 27 9 2" xfId="39379"/>
    <cellStyle name="Uwaga 2 27 9 3" xfId="39380"/>
    <cellStyle name="Uwaga 2 27 9 4" xfId="39381"/>
    <cellStyle name="Uwaga 2 28" xfId="39382"/>
    <cellStyle name="Uwaga 2 28 10" xfId="39383"/>
    <cellStyle name="Uwaga 2 28 10 2" xfId="39384"/>
    <cellStyle name="Uwaga 2 28 10 3" xfId="39385"/>
    <cellStyle name="Uwaga 2 28 10 4" xfId="39386"/>
    <cellStyle name="Uwaga 2 28 11" xfId="39387"/>
    <cellStyle name="Uwaga 2 28 11 2" xfId="39388"/>
    <cellStyle name="Uwaga 2 28 11 3" xfId="39389"/>
    <cellStyle name="Uwaga 2 28 11 4" xfId="39390"/>
    <cellStyle name="Uwaga 2 28 12" xfId="39391"/>
    <cellStyle name="Uwaga 2 28 12 2" xfId="39392"/>
    <cellStyle name="Uwaga 2 28 12 3" xfId="39393"/>
    <cellStyle name="Uwaga 2 28 12 4" xfId="39394"/>
    <cellStyle name="Uwaga 2 28 13" xfId="39395"/>
    <cellStyle name="Uwaga 2 28 13 2" xfId="39396"/>
    <cellStyle name="Uwaga 2 28 13 3" xfId="39397"/>
    <cellStyle name="Uwaga 2 28 13 4" xfId="39398"/>
    <cellStyle name="Uwaga 2 28 14" xfId="39399"/>
    <cellStyle name="Uwaga 2 28 14 2" xfId="39400"/>
    <cellStyle name="Uwaga 2 28 14 3" xfId="39401"/>
    <cellStyle name="Uwaga 2 28 14 4" xfId="39402"/>
    <cellStyle name="Uwaga 2 28 15" xfId="39403"/>
    <cellStyle name="Uwaga 2 28 15 2" xfId="39404"/>
    <cellStyle name="Uwaga 2 28 15 3" xfId="39405"/>
    <cellStyle name="Uwaga 2 28 15 4" xfId="39406"/>
    <cellStyle name="Uwaga 2 28 16" xfId="39407"/>
    <cellStyle name="Uwaga 2 28 16 2" xfId="39408"/>
    <cellStyle name="Uwaga 2 28 16 3" xfId="39409"/>
    <cellStyle name="Uwaga 2 28 16 4" xfId="39410"/>
    <cellStyle name="Uwaga 2 28 17" xfId="39411"/>
    <cellStyle name="Uwaga 2 28 17 2" xfId="39412"/>
    <cellStyle name="Uwaga 2 28 17 3" xfId="39413"/>
    <cellStyle name="Uwaga 2 28 17 4" xfId="39414"/>
    <cellStyle name="Uwaga 2 28 18" xfId="39415"/>
    <cellStyle name="Uwaga 2 28 18 2" xfId="39416"/>
    <cellStyle name="Uwaga 2 28 18 3" xfId="39417"/>
    <cellStyle name="Uwaga 2 28 18 4" xfId="39418"/>
    <cellStyle name="Uwaga 2 28 19" xfId="39419"/>
    <cellStyle name="Uwaga 2 28 19 2" xfId="39420"/>
    <cellStyle name="Uwaga 2 28 19 3" xfId="39421"/>
    <cellStyle name="Uwaga 2 28 19 4" xfId="39422"/>
    <cellStyle name="Uwaga 2 28 2" xfId="39423"/>
    <cellStyle name="Uwaga 2 28 2 2" xfId="39424"/>
    <cellStyle name="Uwaga 2 28 2 3" xfId="39425"/>
    <cellStyle name="Uwaga 2 28 2 4" xfId="39426"/>
    <cellStyle name="Uwaga 2 28 20" xfId="39427"/>
    <cellStyle name="Uwaga 2 28 20 2" xfId="39428"/>
    <cellStyle name="Uwaga 2 28 20 3" xfId="39429"/>
    <cellStyle name="Uwaga 2 28 20 4" xfId="39430"/>
    <cellStyle name="Uwaga 2 28 21" xfId="39431"/>
    <cellStyle name="Uwaga 2 28 21 2" xfId="39432"/>
    <cellStyle name="Uwaga 2 28 21 3" xfId="39433"/>
    <cellStyle name="Uwaga 2 28 22" xfId="39434"/>
    <cellStyle name="Uwaga 2 28 22 2" xfId="39435"/>
    <cellStyle name="Uwaga 2 28 22 3" xfId="39436"/>
    <cellStyle name="Uwaga 2 28 23" xfId="39437"/>
    <cellStyle name="Uwaga 2 28 23 2" xfId="39438"/>
    <cellStyle name="Uwaga 2 28 23 3" xfId="39439"/>
    <cellStyle name="Uwaga 2 28 24" xfId="39440"/>
    <cellStyle name="Uwaga 2 28 24 2" xfId="39441"/>
    <cellStyle name="Uwaga 2 28 24 3" xfId="39442"/>
    <cellStyle name="Uwaga 2 28 25" xfId="39443"/>
    <cellStyle name="Uwaga 2 28 25 2" xfId="39444"/>
    <cellStyle name="Uwaga 2 28 25 3" xfId="39445"/>
    <cellStyle name="Uwaga 2 28 26" xfId="39446"/>
    <cellStyle name="Uwaga 2 28 26 2" xfId="39447"/>
    <cellStyle name="Uwaga 2 28 26 3" xfId="39448"/>
    <cellStyle name="Uwaga 2 28 27" xfId="39449"/>
    <cellStyle name="Uwaga 2 28 27 2" xfId="39450"/>
    <cellStyle name="Uwaga 2 28 27 3" xfId="39451"/>
    <cellStyle name="Uwaga 2 28 28" xfId="39452"/>
    <cellStyle name="Uwaga 2 28 28 2" xfId="39453"/>
    <cellStyle name="Uwaga 2 28 28 3" xfId="39454"/>
    <cellStyle name="Uwaga 2 28 29" xfId="39455"/>
    <cellStyle name="Uwaga 2 28 29 2" xfId="39456"/>
    <cellStyle name="Uwaga 2 28 29 3" xfId="39457"/>
    <cellStyle name="Uwaga 2 28 3" xfId="39458"/>
    <cellStyle name="Uwaga 2 28 3 2" xfId="39459"/>
    <cellStyle name="Uwaga 2 28 3 3" xfId="39460"/>
    <cellStyle name="Uwaga 2 28 3 4" xfId="39461"/>
    <cellStyle name="Uwaga 2 28 30" xfId="39462"/>
    <cellStyle name="Uwaga 2 28 30 2" xfId="39463"/>
    <cellStyle name="Uwaga 2 28 30 3" xfId="39464"/>
    <cellStyle name="Uwaga 2 28 31" xfId="39465"/>
    <cellStyle name="Uwaga 2 28 31 2" xfId="39466"/>
    <cellStyle name="Uwaga 2 28 31 3" xfId="39467"/>
    <cellStyle name="Uwaga 2 28 32" xfId="39468"/>
    <cellStyle name="Uwaga 2 28 32 2" xfId="39469"/>
    <cellStyle name="Uwaga 2 28 32 3" xfId="39470"/>
    <cellStyle name="Uwaga 2 28 33" xfId="39471"/>
    <cellStyle name="Uwaga 2 28 33 2" xfId="39472"/>
    <cellStyle name="Uwaga 2 28 33 3" xfId="39473"/>
    <cellStyle name="Uwaga 2 28 34" xfId="39474"/>
    <cellStyle name="Uwaga 2 28 34 2" xfId="39475"/>
    <cellStyle name="Uwaga 2 28 34 3" xfId="39476"/>
    <cellStyle name="Uwaga 2 28 35" xfId="39477"/>
    <cellStyle name="Uwaga 2 28 35 2" xfId="39478"/>
    <cellStyle name="Uwaga 2 28 35 3" xfId="39479"/>
    <cellStyle name="Uwaga 2 28 36" xfId="39480"/>
    <cellStyle name="Uwaga 2 28 36 2" xfId="39481"/>
    <cellStyle name="Uwaga 2 28 36 3" xfId="39482"/>
    <cellStyle name="Uwaga 2 28 37" xfId="39483"/>
    <cellStyle name="Uwaga 2 28 37 2" xfId="39484"/>
    <cellStyle name="Uwaga 2 28 37 3" xfId="39485"/>
    <cellStyle name="Uwaga 2 28 38" xfId="39486"/>
    <cellStyle name="Uwaga 2 28 38 2" xfId="39487"/>
    <cellStyle name="Uwaga 2 28 38 3" xfId="39488"/>
    <cellStyle name="Uwaga 2 28 39" xfId="39489"/>
    <cellStyle name="Uwaga 2 28 39 2" xfId="39490"/>
    <cellStyle name="Uwaga 2 28 39 3" xfId="39491"/>
    <cellStyle name="Uwaga 2 28 4" xfId="39492"/>
    <cellStyle name="Uwaga 2 28 4 2" xfId="39493"/>
    <cellStyle name="Uwaga 2 28 4 3" xfId="39494"/>
    <cellStyle name="Uwaga 2 28 4 4" xfId="39495"/>
    <cellStyle name="Uwaga 2 28 40" xfId="39496"/>
    <cellStyle name="Uwaga 2 28 40 2" xfId="39497"/>
    <cellStyle name="Uwaga 2 28 40 3" xfId="39498"/>
    <cellStyle name="Uwaga 2 28 41" xfId="39499"/>
    <cellStyle name="Uwaga 2 28 41 2" xfId="39500"/>
    <cellStyle name="Uwaga 2 28 41 3" xfId="39501"/>
    <cellStyle name="Uwaga 2 28 42" xfId="39502"/>
    <cellStyle name="Uwaga 2 28 42 2" xfId="39503"/>
    <cellStyle name="Uwaga 2 28 42 3" xfId="39504"/>
    <cellStyle name="Uwaga 2 28 43" xfId="39505"/>
    <cellStyle name="Uwaga 2 28 43 2" xfId="39506"/>
    <cellStyle name="Uwaga 2 28 43 3" xfId="39507"/>
    <cellStyle name="Uwaga 2 28 44" xfId="39508"/>
    <cellStyle name="Uwaga 2 28 44 2" xfId="39509"/>
    <cellStyle name="Uwaga 2 28 44 3" xfId="39510"/>
    <cellStyle name="Uwaga 2 28 45" xfId="39511"/>
    <cellStyle name="Uwaga 2 28 45 2" xfId="39512"/>
    <cellStyle name="Uwaga 2 28 45 3" xfId="39513"/>
    <cellStyle name="Uwaga 2 28 46" xfId="39514"/>
    <cellStyle name="Uwaga 2 28 46 2" xfId="39515"/>
    <cellStyle name="Uwaga 2 28 46 3" xfId="39516"/>
    <cellStyle name="Uwaga 2 28 47" xfId="39517"/>
    <cellStyle name="Uwaga 2 28 47 2" xfId="39518"/>
    <cellStyle name="Uwaga 2 28 47 3" xfId="39519"/>
    <cellStyle name="Uwaga 2 28 48" xfId="39520"/>
    <cellStyle name="Uwaga 2 28 48 2" xfId="39521"/>
    <cellStyle name="Uwaga 2 28 48 3" xfId="39522"/>
    <cellStyle name="Uwaga 2 28 49" xfId="39523"/>
    <cellStyle name="Uwaga 2 28 49 2" xfId="39524"/>
    <cellStyle name="Uwaga 2 28 49 3" xfId="39525"/>
    <cellStyle name="Uwaga 2 28 5" xfId="39526"/>
    <cellStyle name="Uwaga 2 28 5 2" xfId="39527"/>
    <cellStyle name="Uwaga 2 28 5 3" xfId="39528"/>
    <cellStyle name="Uwaga 2 28 5 4" xfId="39529"/>
    <cellStyle name="Uwaga 2 28 50" xfId="39530"/>
    <cellStyle name="Uwaga 2 28 50 2" xfId="39531"/>
    <cellStyle name="Uwaga 2 28 50 3" xfId="39532"/>
    <cellStyle name="Uwaga 2 28 51" xfId="39533"/>
    <cellStyle name="Uwaga 2 28 51 2" xfId="39534"/>
    <cellStyle name="Uwaga 2 28 51 3" xfId="39535"/>
    <cellStyle name="Uwaga 2 28 52" xfId="39536"/>
    <cellStyle name="Uwaga 2 28 52 2" xfId="39537"/>
    <cellStyle name="Uwaga 2 28 52 3" xfId="39538"/>
    <cellStyle name="Uwaga 2 28 53" xfId="39539"/>
    <cellStyle name="Uwaga 2 28 53 2" xfId="39540"/>
    <cellStyle name="Uwaga 2 28 53 3" xfId="39541"/>
    <cellStyle name="Uwaga 2 28 54" xfId="39542"/>
    <cellStyle name="Uwaga 2 28 54 2" xfId="39543"/>
    <cellStyle name="Uwaga 2 28 54 3" xfId="39544"/>
    <cellStyle name="Uwaga 2 28 55" xfId="39545"/>
    <cellStyle name="Uwaga 2 28 55 2" xfId="39546"/>
    <cellStyle name="Uwaga 2 28 55 3" xfId="39547"/>
    <cellStyle name="Uwaga 2 28 56" xfId="39548"/>
    <cellStyle name="Uwaga 2 28 56 2" xfId="39549"/>
    <cellStyle name="Uwaga 2 28 56 3" xfId="39550"/>
    <cellStyle name="Uwaga 2 28 57" xfId="39551"/>
    <cellStyle name="Uwaga 2 28 58" xfId="39552"/>
    <cellStyle name="Uwaga 2 28 6" xfId="39553"/>
    <cellStyle name="Uwaga 2 28 6 2" xfId="39554"/>
    <cellStyle name="Uwaga 2 28 6 3" xfId="39555"/>
    <cellStyle name="Uwaga 2 28 6 4" xfId="39556"/>
    <cellStyle name="Uwaga 2 28 7" xfId="39557"/>
    <cellStyle name="Uwaga 2 28 7 2" xfId="39558"/>
    <cellStyle name="Uwaga 2 28 7 3" xfId="39559"/>
    <cellStyle name="Uwaga 2 28 7 4" xfId="39560"/>
    <cellStyle name="Uwaga 2 28 8" xfId="39561"/>
    <cellStyle name="Uwaga 2 28 8 2" xfId="39562"/>
    <cellStyle name="Uwaga 2 28 8 3" xfId="39563"/>
    <cellStyle name="Uwaga 2 28 8 4" xfId="39564"/>
    <cellStyle name="Uwaga 2 28 9" xfId="39565"/>
    <cellStyle name="Uwaga 2 28 9 2" xfId="39566"/>
    <cellStyle name="Uwaga 2 28 9 3" xfId="39567"/>
    <cellStyle name="Uwaga 2 28 9 4" xfId="39568"/>
    <cellStyle name="Uwaga 2 29" xfId="39569"/>
    <cellStyle name="Uwaga 2 29 2" xfId="39570"/>
    <cellStyle name="Uwaga 2 3" xfId="39571"/>
    <cellStyle name="Uwaga 2 3 10" xfId="39572"/>
    <cellStyle name="Uwaga 2 3 10 2" xfId="39573"/>
    <cellStyle name="Uwaga 2 3 10 3" xfId="39574"/>
    <cellStyle name="Uwaga 2 3 10 4" xfId="39575"/>
    <cellStyle name="Uwaga 2 3 11" xfId="39576"/>
    <cellStyle name="Uwaga 2 3 11 2" xfId="39577"/>
    <cellStyle name="Uwaga 2 3 11 3" xfId="39578"/>
    <cellStyle name="Uwaga 2 3 11 4" xfId="39579"/>
    <cellStyle name="Uwaga 2 3 12" xfId="39580"/>
    <cellStyle name="Uwaga 2 3 12 2" xfId="39581"/>
    <cellStyle name="Uwaga 2 3 12 3" xfId="39582"/>
    <cellStyle name="Uwaga 2 3 12 4" xfId="39583"/>
    <cellStyle name="Uwaga 2 3 13" xfId="39584"/>
    <cellStyle name="Uwaga 2 3 13 2" xfId="39585"/>
    <cellStyle name="Uwaga 2 3 13 3" xfId="39586"/>
    <cellStyle name="Uwaga 2 3 13 4" xfId="39587"/>
    <cellStyle name="Uwaga 2 3 14" xfId="39588"/>
    <cellStyle name="Uwaga 2 3 14 2" xfId="39589"/>
    <cellStyle name="Uwaga 2 3 14 3" xfId="39590"/>
    <cellStyle name="Uwaga 2 3 14 4" xfId="39591"/>
    <cellStyle name="Uwaga 2 3 15" xfId="39592"/>
    <cellStyle name="Uwaga 2 3 15 2" xfId="39593"/>
    <cellStyle name="Uwaga 2 3 15 3" xfId="39594"/>
    <cellStyle name="Uwaga 2 3 15 4" xfId="39595"/>
    <cellStyle name="Uwaga 2 3 16" xfId="39596"/>
    <cellStyle name="Uwaga 2 3 16 2" xfId="39597"/>
    <cellStyle name="Uwaga 2 3 16 3" xfId="39598"/>
    <cellStyle name="Uwaga 2 3 16 4" xfId="39599"/>
    <cellStyle name="Uwaga 2 3 17" xfId="39600"/>
    <cellStyle name="Uwaga 2 3 17 2" xfId="39601"/>
    <cellStyle name="Uwaga 2 3 17 3" xfId="39602"/>
    <cellStyle name="Uwaga 2 3 17 4" xfId="39603"/>
    <cellStyle name="Uwaga 2 3 18" xfId="39604"/>
    <cellStyle name="Uwaga 2 3 18 2" xfId="39605"/>
    <cellStyle name="Uwaga 2 3 18 3" xfId="39606"/>
    <cellStyle name="Uwaga 2 3 18 4" xfId="39607"/>
    <cellStyle name="Uwaga 2 3 19" xfId="39608"/>
    <cellStyle name="Uwaga 2 3 19 2" xfId="39609"/>
    <cellStyle name="Uwaga 2 3 19 3" xfId="39610"/>
    <cellStyle name="Uwaga 2 3 19 4" xfId="39611"/>
    <cellStyle name="Uwaga 2 3 2" xfId="39612"/>
    <cellStyle name="Uwaga 2 3 2 2" xfId="39613"/>
    <cellStyle name="Uwaga 2 3 2 3" xfId="39614"/>
    <cellStyle name="Uwaga 2 3 2 4" xfId="39615"/>
    <cellStyle name="Uwaga 2 3 20" xfId="39616"/>
    <cellStyle name="Uwaga 2 3 20 2" xfId="39617"/>
    <cellStyle name="Uwaga 2 3 20 3" xfId="39618"/>
    <cellStyle name="Uwaga 2 3 20 4" xfId="39619"/>
    <cellStyle name="Uwaga 2 3 21" xfId="39620"/>
    <cellStyle name="Uwaga 2 3 21 2" xfId="39621"/>
    <cellStyle name="Uwaga 2 3 21 3" xfId="39622"/>
    <cellStyle name="Uwaga 2 3 22" xfId="39623"/>
    <cellStyle name="Uwaga 2 3 22 2" xfId="39624"/>
    <cellStyle name="Uwaga 2 3 22 3" xfId="39625"/>
    <cellStyle name="Uwaga 2 3 23" xfId="39626"/>
    <cellStyle name="Uwaga 2 3 23 2" xfId="39627"/>
    <cellStyle name="Uwaga 2 3 23 3" xfId="39628"/>
    <cellStyle name="Uwaga 2 3 24" xfId="39629"/>
    <cellStyle name="Uwaga 2 3 24 2" xfId="39630"/>
    <cellStyle name="Uwaga 2 3 24 3" xfId="39631"/>
    <cellStyle name="Uwaga 2 3 25" xfId="39632"/>
    <cellStyle name="Uwaga 2 3 25 2" xfId="39633"/>
    <cellStyle name="Uwaga 2 3 25 3" xfId="39634"/>
    <cellStyle name="Uwaga 2 3 26" xfId="39635"/>
    <cellStyle name="Uwaga 2 3 26 2" xfId="39636"/>
    <cellStyle name="Uwaga 2 3 26 3" xfId="39637"/>
    <cellStyle name="Uwaga 2 3 27" xfId="39638"/>
    <cellStyle name="Uwaga 2 3 27 2" xfId="39639"/>
    <cellStyle name="Uwaga 2 3 27 3" xfId="39640"/>
    <cellStyle name="Uwaga 2 3 28" xfId="39641"/>
    <cellStyle name="Uwaga 2 3 28 2" xfId="39642"/>
    <cellStyle name="Uwaga 2 3 28 3" xfId="39643"/>
    <cellStyle name="Uwaga 2 3 29" xfId="39644"/>
    <cellStyle name="Uwaga 2 3 29 2" xfId="39645"/>
    <cellStyle name="Uwaga 2 3 29 3" xfId="39646"/>
    <cellStyle name="Uwaga 2 3 3" xfId="39647"/>
    <cellStyle name="Uwaga 2 3 3 2" xfId="39648"/>
    <cellStyle name="Uwaga 2 3 3 3" xfId="39649"/>
    <cellStyle name="Uwaga 2 3 3 4" xfId="39650"/>
    <cellStyle name="Uwaga 2 3 30" xfId="39651"/>
    <cellStyle name="Uwaga 2 3 30 2" xfId="39652"/>
    <cellStyle name="Uwaga 2 3 30 3" xfId="39653"/>
    <cellStyle name="Uwaga 2 3 31" xfId="39654"/>
    <cellStyle name="Uwaga 2 3 31 2" xfId="39655"/>
    <cellStyle name="Uwaga 2 3 31 3" xfId="39656"/>
    <cellStyle name="Uwaga 2 3 32" xfId="39657"/>
    <cellStyle name="Uwaga 2 3 32 2" xfId="39658"/>
    <cellStyle name="Uwaga 2 3 32 3" xfId="39659"/>
    <cellStyle name="Uwaga 2 3 33" xfId="39660"/>
    <cellStyle name="Uwaga 2 3 33 2" xfId="39661"/>
    <cellStyle name="Uwaga 2 3 33 3" xfId="39662"/>
    <cellStyle name="Uwaga 2 3 34" xfId="39663"/>
    <cellStyle name="Uwaga 2 3 34 2" xfId="39664"/>
    <cellStyle name="Uwaga 2 3 34 3" xfId="39665"/>
    <cellStyle name="Uwaga 2 3 35" xfId="39666"/>
    <cellStyle name="Uwaga 2 3 35 2" xfId="39667"/>
    <cellStyle name="Uwaga 2 3 35 3" xfId="39668"/>
    <cellStyle name="Uwaga 2 3 36" xfId="39669"/>
    <cellStyle name="Uwaga 2 3 36 2" xfId="39670"/>
    <cellStyle name="Uwaga 2 3 36 3" xfId="39671"/>
    <cellStyle name="Uwaga 2 3 37" xfId="39672"/>
    <cellStyle name="Uwaga 2 3 37 2" xfId="39673"/>
    <cellStyle name="Uwaga 2 3 37 3" xfId="39674"/>
    <cellStyle name="Uwaga 2 3 38" xfId="39675"/>
    <cellStyle name="Uwaga 2 3 38 2" xfId="39676"/>
    <cellStyle name="Uwaga 2 3 38 3" xfId="39677"/>
    <cellStyle name="Uwaga 2 3 39" xfId="39678"/>
    <cellStyle name="Uwaga 2 3 39 2" xfId="39679"/>
    <cellStyle name="Uwaga 2 3 39 3" xfId="39680"/>
    <cellStyle name="Uwaga 2 3 4" xfId="39681"/>
    <cellStyle name="Uwaga 2 3 4 2" xfId="39682"/>
    <cellStyle name="Uwaga 2 3 4 3" xfId="39683"/>
    <cellStyle name="Uwaga 2 3 4 4" xfId="39684"/>
    <cellStyle name="Uwaga 2 3 40" xfId="39685"/>
    <cellStyle name="Uwaga 2 3 40 2" xfId="39686"/>
    <cellStyle name="Uwaga 2 3 40 3" xfId="39687"/>
    <cellStyle name="Uwaga 2 3 41" xfId="39688"/>
    <cellStyle name="Uwaga 2 3 41 2" xfId="39689"/>
    <cellStyle name="Uwaga 2 3 41 3" xfId="39690"/>
    <cellStyle name="Uwaga 2 3 42" xfId="39691"/>
    <cellStyle name="Uwaga 2 3 42 2" xfId="39692"/>
    <cellStyle name="Uwaga 2 3 42 3" xfId="39693"/>
    <cellStyle name="Uwaga 2 3 43" xfId="39694"/>
    <cellStyle name="Uwaga 2 3 43 2" xfId="39695"/>
    <cellStyle name="Uwaga 2 3 43 3" xfId="39696"/>
    <cellStyle name="Uwaga 2 3 44" xfId="39697"/>
    <cellStyle name="Uwaga 2 3 44 2" xfId="39698"/>
    <cellStyle name="Uwaga 2 3 44 3" xfId="39699"/>
    <cellStyle name="Uwaga 2 3 45" xfId="39700"/>
    <cellStyle name="Uwaga 2 3 45 2" xfId="39701"/>
    <cellStyle name="Uwaga 2 3 45 3" xfId="39702"/>
    <cellStyle name="Uwaga 2 3 46" xfId="39703"/>
    <cellStyle name="Uwaga 2 3 46 2" xfId="39704"/>
    <cellStyle name="Uwaga 2 3 46 3" xfId="39705"/>
    <cellStyle name="Uwaga 2 3 47" xfId="39706"/>
    <cellStyle name="Uwaga 2 3 47 2" xfId="39707"/>
    <cellStyle name="Uwaga 2 3 47 3" xfId="39708"/>
    <cellStyle name="Uwaga 2 3 48" xfId="39709"/>
    <cellStyle name="Uwaga 2 3 48 2" xfId="39710"/>
    <cellStyle name="Uwaga 2 3 48 3" xfId="39711"/>
    <cellStyle name="Uwaga 2 3 49" xfId="39712"/>
    <cellStyle name="Uwaga 2 3 49 2" xfId="39713"/>
    <cellStyle name="Uwaga 2 3 49 3" xfId="39714"/>
    <cellStyle name="Uwaga 2 3 5" xfId="39715"/>
    <cellStyle name="Uwaga 2 3 5 2" xfId="39716"/>
    <cellStyle name="Uwaga 2 3 5 3" xfId="39717"/>
    <cellStyle name="Uwaga 2 3 5 4" xfId="39718"/>
    <cellStyle name="Uwaga 2 3 50" xfId="39719"/>
    <cellStyle name="Uwaga 2 3 50 2" xfId="39720"/>
    <cellStyle name="Uwaga 2 3 50 3" xfId="39721"/>
    <cellStyle name="Uwaga 2 3 51" xfId="39722"/>
    <cellStyle name="Uwaga 2 3 51 2" xfId="39723"/>
    <cellStyle name="Uwaga 2 3 51 3" xfId="39724"/>
    <cellStyle name="Uwaga 2 3 52" xfId="39725"/>
    <cellStyle name="Uwaga 2 3 52 2" xfId="39726"/>
    <cellStyle name="Uwaga 2 3 52 3" xfId="39727"/>
    <cellStyle name="Uwaga 2 3 53" xfId="39728"/>
    <cellStyle name="Uwaga 2 3 53 2" xfId="39729"/>
    <cellStyle name="Uwaga 2 3 53 3" xfId="39730"/>
    <cellStyle name="Uwaga 2 3 54" xfId="39731"/>
    <cellStyle name="Uwaga 2 3 54 2" xfId="39732"/>
    <cellStyle name="Uwaga 2 3 54 3" xfId="39733"/>
    <cellStyle name="Uwaga 2 3 55" xfId="39734"/>
    <cellStyle name="Uwaga 2 3 55 2" xfId="39735"/>
    <cellStyle name="Uwaga 2 3 55 3" xfId="39736"/>
    <cellStyle name="Uwaga 2 3 56" xfId="39737"/>
    <cellStyle name="Uwaga 2 3 56 2" xfId="39738"/>
    <cellStyle name="Uwaga 2 3 56 3" xfId="39739"/>
    <cellStyle name="Uwaga 2 3 57" xfId="39740"/>
    <cellStyle name="Uwaga 2 3 58" xfId="39741"/>
    <cellStyle name="Uwaga 2 3 59" xfId="39742"/>
    <cellStyle name="Uwaga 2 3 6" xfId="39743"/>
    <cellStyle name="Uwaga 2 3 6 2" xfId="39744"/>
    <cellStyle name="Uwaga 2 3 6 3" xfId="39745"/>
    <cellStyle name="Uwaga 2 3 6 4" xfId="39746"/>
    <cellStyle name="Uwaga 2 3 7" xfId="39747"/>
    <cellStyle name="Uwaga 2 3 7 2" xfId="39748"/>
    <cellStyle name="Uwaga 2 3 7 3" xfId="39749"/>
    <cellStyle name="Uwaga 2 3 7 4" xfId="39750"/>
    <cellStyle name="Uwaga 2 3 8" xfId="39751"/>
    <cellStyle name="Uwaga 2 3 8 2" xfId="39752"/>
    <cellStyle name="Uwaga 2 3 8 3" xfId="39753"/>
    <cellStyle name="Uwaga 2 3 8 4" xfId="39754"/>
    <cellStyle name="Uwaga 2 3 9" xfId="39755"/>
    <cellStyle name="Uwaga 2 3 9 2" xfId="39756"/>
    <cellStyle name="Uwaga 2 3 9 3" xfId="39757"/>
    <cellStyle name="Uwaga 2 3 9 4" xfId="39758"/>
    <cellStyle name="Uwaga 2 30" xfId="39759"/>
    <cellStyle name="Uwaga 2 30 2" xfId="39760"/>
    <cellStyle name="Uwaga 2 31" xfId="39761"/>
    <cellStyle name="Uwaga 2 31 2" xfId="39762"/>
    <cellStyle name="Uwaga 2 31 3" xfId="39763"/>
    <cellStyle name="Uwaga 2 31 4" xfId="39764"/>
    <cellStyle name="Uwaga 2 32" xfId="39765"/>
    <cellStyle name="Uwaga 2 32 2" xfId="39766"/>
    <cellStyle name="Uwaga 2 32 3" xfId="39767"/>
    <cellStyle name="Uwaga 2 32 4" xfId="39768"/>
    <cellStyle name="Uwaga 2 33" xfId="39769"/>
    <cellStyle name="Uwaga 2 33 2" xfId="39770"/>
    <cellStyle name="Uwaga 2 33 3" xfId="39771"/>
    <cellStyle name="Uwaga 2 33 4" xfId="39772"/>
    <cellStyle name="Uwaga 2 34" xfId="39773"/>
    <cellStyle name="Uwaga 2 34 2" xfId="39774"/>
    <cellStyle name="Uwaga 2 34 3" xfId="39775"/>
    <cellStyle name="Uwaga 2 34 4" xfId="39776"/>
    <cellStyle name="Uwaga 2 35" xfId="39777"/>
    <cellStyle name="Uwaga 2 35 2" xfId="39778"/>
    <cellStyle name="Uwaga 2 35 3" xfId="39779"/>
    <cellStyle name="Uwaga 2 35 4" xfId="39780"/>
    <cellStyle name="Uwaga 2 36" xfId="39781"/>
    <cellStyle name="Uwaga 2 36 2" xfId="39782"/>
    <cellStyle name="Uwaga 2 36 3" xfId="39783"/>
    <cellStyle name="Uwaga 2 36 4" xfId="39784"/>
    <cellStyle name="Uwaga 2 37" xfId="39785"/>
    <cellStyle name="Uwaga 2 37 2" xfId="39786"/>
    <cellStyle name="Uwaga 2 37 3" xfId="39787"/>
    <cellStyle name="Uwaga 2 37 4" xfId="39788"/>
    <cellStyle name="Uwaga 2 38" xfId="39789"/>
    <cellStyle name="Uwaga 2 38 2" xfId="39790"/>
    <cellStyle name="Uwaga 2 38 3" xfId="39791"/>
    <cellStyle name="Uwaga 2 38 4" xfId="39792"/>
    <cellStyle name="Uwaga 2 39" xfId="39793"/>
    <cellStyle name="Uwaga 2 39 2" xfId="39794"/>
    <cellStyle name="Uwaga 2 39 3" xfId="39795"/>
    <cellStyle name="Uwaga 2 39 4" xfId="39796"/>
    <cellStyle name="Uwaga 2 4" xfId="39797"/>
    <cellStyle name="Uwaga 2 4 10" xfId="39798"/>
    <cellStyle name="Uwaga 2 4 10 2" xfId="39799"/>
    <cellStyle name="Uwaga 2 4 10 3" xfId="39800"/>
    <cellStyle name="Uwaga 2 4 10 4" xfId="39801"/>
    <cellStyle name="Uwaga 2 4 11" xfId="39802"/>
    <cellStyle name="Uwaga 2 4 11 2" xfId="39803"/>
    <cellStyle name="Uwaga 2 4 11 3" xfId="39804"/>
    <cellStyle name="Uwaga 2 4 11 4" xfId="39805"/>
    <cellStyle name="Uwaga 2 4 12" xfId="39806"/>
    <cellStyle name="Uwaga 2 4 12 2" xfId="39807"/>
    <cellStyle name="Uwaga 2 4 12 3" xfId="39808"/>
    <cellStyle name="Uwaga 2 4 12 4" xfId="39809"/>
    <cellStyle name="Uwaga 2 4 13" xfId="39810"/>
    <cellStyle name="Uwaga 2 4 13 2" xfId="39811"/>
    <cellStyle name="Uwaga 2 4 13 3" xfId="39812"/>
    <cellStyle name="Uwaga 2 4 13 4" xfId="39813"/>
    <cellStyle name="Uwaga 2 4 14" xfId="39814"/>
    <cellStyle name="Uwaga 2 4 14 2" xfId="39815"/>
    <cellStyle name="Uwaga 2 4 14 3" xfId="39816"/>
    <cellStyle name="Uwaga 2 4 14 4" xfId="39817"/>
    <cellStyle name="Uwaga 2 4 15" xfId="39818"/>
    <cellStyle name="Uwaga 2 4 15 2" xfId="39819"/>
    <cellStyle name="Uwaga 2 4 15 3" xfId="39820"/>
    <cellStyle name="Uwaga 2 4 15 4" xfId="39821"/>
    <cellStyle name="Uwaga 2 4 16" xfId="39822"/>
    <cellStyle name="Uwaga 2 4 16 2" xfId="39823"/>
    <cellStyle name="Uwaga 2 4 16 3" xfId="39824"/>
    <cellStyle name="Uwaga 2 4 16 4" xfId="39825"/>
    <cellStyle name="Uwaga 2 4 17" xfId="39826"/>
    <cellStyle name="Uwaga 2 4 17 2" xfId="39827"/>
    <cellStyle name="Uwaga 2 4 17 3" xfId="39828"/>
    <cellStyle name="Uwaga 2 4 17 4" xfId="39829"/>
    <cellStyle name="Uwaga 2 4 18" xfId="39830"/>
    <cellStyle name="Uwaga 2 4 18 2" xfId="39831"/>
    <cellStyle name="Uwaga 2 4 18 3" xfId="39832"/>
    <cellStyle name="Uwaga 2 4 18 4" xfId="39833"/>
    <cellStyle name="Uwaga 2 4 19" xfId="39834"/>
    <cellStyle name="Uwaga 2 4 19 2" xfId="39835"/>
    <cellStyle name="Uwaga 2 4 19 3" xfId="39836"/>
    <cellStyle name="Uwaga 2 4 19 4" xfId="39837"/>
    <cellStyle name="Uwaga 2 4 2" xfId="39838"/>
    <cellStyle name="Uwaga 2 4 2 2" xfId="39839"/>
    <cellStyle name="Uwaga 2 4 2 3" xfId="39840"/>
    <cellStyle name="Uwaga 2 4 2 4" xfId="39841"/>
    <cellStyle name="Uwaga 2 4 20" xfId="39842"/>
    <cellStyle name="Uwaga 2 4 20 2" xfId="39843"/>
    <cellStyle name="Uwaga 2 4 20 3" xfId="39844"/>
    <cellStyle name="Uwaga 2 4 20 4" xfId="39845"/>
    <cellStyle name="Uwaga 2 4 21" xfId="39846"/>
    <cellStyle name="Uwaga 2 4 21 2" xfId="39847"/>
    <cellStyle name="Uwaga 2 4 21 3" xfId="39848"/>
    <cellStyle name="Uwaga 2 4 22" xfId="39849"/>
    <cellStyle name="Uwaga 2 4 22 2" xfId="39850"/>
    <cellStyle name="Uwaga 2 4 22 3" xfId="39851"/>
    <cellStyle name="Uwaga 2 4 23" xfId="39852"/>
    <cellStyle name="Uwaga 2 4 23 2" xfId="39853"/>
    <cellStyle name="Uwaga 2 4 23 3" xfId="39854"/>
    <cellStyle name="Uwaga 2 4 24" xfId="39855"/>
    <cellStyle name="Uwaga 2 4 24 2" xfId="39856"/>
    <cellStyle name="Uwaga 2 4 24 3" xfId="39857"/>
    <cellStyle name="Uwaga 2 4 25" xfId="39858"/>
    <cellStyle name="Uwaga 2 4 25 2" xfId="39859"/>
    <cellStyle name="Uwaga 2 4 25 3" xfId="39860"/>
    <cellStyle name="Uwaga 2 4 26" xfId="39861"/>
    <cellStyle name="Uwaga 2 4 26 2" xfId="39862"/>
    <cellStyle name="Uwaga 2 4 26 3" xfId="39863"/>
    <cellStyle name="Uwaga 2 4 27" xfId="39864"/>
    <cellStyle name="Uwaga 2 4 27 2" xfId="39865"/>
    <cellStyle name="Uwaga 2 4 27 3" xfId="39866"/>
    <cellStyle name="Uwaga 2 4 28" xfId="39867"/>
    <cellStyle name="Uwaga 2 4 28 2" xfId="39868"/>
    <cellStyle name="Uwaga 2 4 28 3" xfId="39869"/>
    <cellStyle name="Uwaga 2 4 29" xfId="39870"/>
    <cellStyle name="Uwaga 2 4 29 2" xfId="39871"/>
    <cellStyle name="Uwaga 2 4 29 3" xfId="39872"/>
    <cellStyle name="Uwaga 2 4 3" xfId="39873"/>
    <cellStyle name="Uwaga 2 4 3 2" xfId="39874"/>
    <cellStyle name="Uwaga 2 4 3 3" xfId="39875"/>
    <cellStyle name="Uwaga 2 4 3 4" xfId="39876"/>
    <cellStyle name="Uwaga 2 4 30" xfId="39877"/>
    <cellStyle name="Uwaga 2 4 30 2" xfId="39878"/>
    <cellStyle name="Uwaga 2 4 30 3" xfId="39879"/>
    <cellStyle name="Uwaga 2 4 31" xfId="39880"/>
    <cellStyle name="Uwaga 2 4 31 2" xfId="39881"/>
    <cellStyle name="Uwaga 2 4 31 3" xfId="39882"/>
    <cellStyle name="Uwaga 2 4 32" xfId="39883"/>
    <cellStyle name="Uwaga 2 4 32 2" xfId="39884"/>
    <cellStyle name="Uwaga 2 4 32 3" xfId="39885"/>
    <cellStyle name="Uwaga 2 4 33" xfId="39886"/>
    <cellStyle name="Uwaga 2 4 33 2" xfId="39887"/>
    <cellStyle name="Uwaga 2 4 33 3" xfId="39888"/>
    <cellStyle name="Uwaga 2 4 34" xfId="39889"/>
    <cellStyle name="Uwaga 2 4 34 2" xfId="39890"/>
    <cellStyle name="Uwaga 2 4 34 3" xfId="39891"/>
    <cellStyle name="Uwaga 2 4 35" xfId="39892"/>
    <cellStyle name="Uwaga 2 4 35 2" xfId="39893"/>
    <cellStyle name="Uwaga 2 4 35 3" xfId="39894"/>
    <cellStyle name="Uwaga 2 4 36" xfId="39895"/>
    <cellStyle name="Uwaga 2 4 36 2" xfId="39896"/>
    <cellStyle name="Uwaga 2 4 36 3" xfId="39897"/>
    <cellStyle name="Uwaga 2 4 37" xfId="39898"/>
    <cellStyle name="Uwaga 2 4 37 2" xfId="39899"/>
    <cellStyle name="Uwaga 2 4 37 3" xfId="39900"/>
    <cellStyle name="Uwaga 2 4 38" xfId="39901"/>
    <cellStyle name="Uwaga 2 4 38 2" xfId="39902"/>
    <cellStyle name="Uwaga 2 4 38 3" xfId="39903"/>
    <cellStyle name="Uwaga 2 4 39" xfId="39904"/>
    <cellStyle name="Uwaga 2 4 39 2" xfId="39905"/>
    <cellStyle name="Uwaga 2 4 39 3" xfId="39906"/>
    <cellStyle name="Uwaga 2 4 4" xfId="39907"/>
    <cellStyle name="Uwaga 2 4 4 2" xfId="39908"/>
    <cellStyle name="Uwaga 2 4 4 3" xfId="39909"/>
    <cellStyle name="Uwaga 2 4 4 4" xfId="39910"/>
    <cellStyle name="Uwaga 2 4 40" xfId="39911"/>
    <cellStyle name="Uwaga 2 4 40 2" xfId="39912"/>
    <cellStyle name="Uwaga 2 4 40 3" xfId="39913"/>
    <cellStyle name="Uwaga 2 4 41" xfId="39914"/>
    <cellStyle name="Uwaga 2 4 41 2" xfId="39915"/>
    <cellStyle name="Uwaga 2 4 41 3" xfId="39916"/>
    <cellStyle name="Uwaga 2 4 42" xfId="39917"/>
    <cellStyle name="Uwaga 2 4 42 2" xfId="39918"/>
    <cellStyle name="Uwaga 2 4 42 3" xfId="39919"/>
    <cellStyle name="Uwaga 2 4 43" xfId="39920"/>
    <cellStyle name="Uwaga 2 4 43 2" xfId="39921"/>
    <cellStyle name="Uwaga 2 4 43 3" xfId="39922"/>
    <cellStyle name="Uwaga 2 4 44" xfId="39923"/>
    <cellStyle name="Uwaga 2 4 44 2" xfId="39924"/>
    <cellStyle name="Uwaga 2 4 44 3" xfId="39925"/>
    <cellStyle name="Uwaga 2 4 45" xfId="39926"/>
    <cellStyle name="Uwaga 2 4 45 2" xfId="39927"/>
    <cellStyle name="Uwaga 2 4 45 3" xfId="39928"/>
    <cellStyle name="Uwaga 2 4 46" xfId="39929"/>
    <cellStyle name="Uwaga 2 4 46 2" xfId="39930"/>
    <cellStyle name="Uwaga 2 4 46 3" xfId="39931"/>
    <cellStyle name="Uwaga 2 4 47" xfId="39932"/>
    <cellStyle name="Uwaga 2 4 47 2" xfId="39933"/>
    <cellStyle name="Uwaga 2 4 47 3" xfId="39934"/>
    <cellStyle name="Uwaga 2 4 48" xfId="39935"/>
    <cellStyle name="Uwaga 2 4 48 2" xfId="39936"/>
    <cellStyle name="Uwaga 2 4 48 3" xfId="39937"/>
    <cellStyle name="Uwaga 2 4 49" xfId="39938"/>
    <cellStyle name="Uwaga 2 4 49 2" xfId="39939"/>
    <cellStyle name="Uwaga 2 4 49 3" xfId="39940"/>
    <cellStyle name="Uwaga 2 4 5" xfId="39941"/>
    <cellStyle name="Uwaga 2 4 5 2" xfId="39942"/>
    <cellStyle name="Uwaga 2 4 5 3" xfId="39943"/>
    <cellStyle name="Uwaga 2 4 5 4" xfId="39944"/>
    <cellStyle name="Uwaga 2 4 50" xfId="39945"/>
    <cellStyle name="Uwaga 2 4 50 2" xfId="39946"/>
    <cellStyle name="Uwaga 2 4 50 3" xfId="39947"/>
    <cellStyle name="Uwaga 2 4 51" xfId="39948"/>
    <cellStyle name="Uwaga 2 4 51 2" xfId="39949"/>
    <cellStyle name="Uwaga 2 4 51 3" xfId="39950"/>
    <cellStyle name="Uwaga 2 4 52" xfId="39951"/>
    <cellStyle name="Uwaga 2 4 52 2" xfId="39952"/>
    <cellStyle name="Uwaga 2 4 52 3" xfId="39953"/>
    <cellStyle name="Uwaga 2 4 53" xfId="39954"/>
    <cellStyle name="Uwaga 2 4 53 2" xfId="39955"/>
    <cellStyle name="Uwaga 2 4 53 3" xfId="39956"/>
    <cellStyle name="Uwaga 2 4 54" xfId="39957"/>
    <cellStyle name="Uwaga 2 4 54 2" xfId="39958"/>
    <cellStyle name="Uwaga 2 4 54 3" xfId="39959"/>
    <cellStyle name="Uwaga 2 4 55" xfId="39960"/>
    <cellStyle name="Uwaga 2 4 55 2" xfId="39961"/>
    <cellStyle name="Uwaga 2 4 55 3" xfId="39962"/>
    <cellStyle name="Uwaga 2 4 56" xfId="39963"/>
    <cellStyle name="Uwaga 2 4 56 2" xfId="39964"/>
    <cellStyle name="Uwaga 2 4 56 3" xfId="39965"/>
    <cellStyle name="Uwaga 2 4 57" xfId="39966"/>
    <cellStyle name="Uwaga 2 4 58" xfId="39967"/>
    <cellStyle name="Uwaga 2 4 59" xfId="39968"/>
    <cellStyle name="Uwaga 2 4 6" xfId="39969"/>
    <cellStyle name="Uwaga 2 4 6 2" xfId="39970"/>
    <cellStyle name="Uwaga 2 4 6 3" xfId="39971"/>
    <cellStyle name="Uwaga 2 4 6 4" xfId="39972"/>
    <cellStyle name="Uwaga 2 4 7" xfId="39973"/>
    <cellStyle name="Uwaga 2 4 7 2" xfId="39974"/>
    <cellStyle name="Uwaga 2 4 7 3" xfId="39975"/>
    <cellStyle name="Uwaga 2 4 7 4" xfId="39976"/>
    <cellStyle name="Uwaga 2 4 8" xfId="39977"/>
    <cellStyle name="Uwaga 2 4 8 2" xfId="39978"/>
    <cellStyle name="Uwaga 2 4 8 3" xfId="39979"/>
    <cellStyle name="Uwaga 2 4 8 4" xfId="39980"/>
    <cellStyle name="Uwaga 2 4 9" xfId="39981"/>
    <cellStyle name="Uwaga 2 4 9 2" xfId="39982"/>
    <cellStyle name="Uwaga 2 4 9 3" xfId="39983"/>
    <cellStyle name="Uwaga 2 4 9 4" xfId="39984"/>
    <cellStyle name="Uwaga 2 40" xfId="39985"/>
    <cellStyle name="Uwaga 2 40 2" xfId="39986"/>
    <cellStyle name="Uwaga 2 40 3" xfId="39987"/>
    <cellStyle name="Uwaga 2 40 4" xfId="39988"/>
    <cellStyle name="Uwaga 2 41" xfId="39989"/>
    <cellStyle name="Uwaga 2 41 2" xfId="39990"/>
    <cellStyle name="Uwaga 2 41 3" xfId="39991"/>
    <cellStyle name="Uwaga 2 41 4" xfId="39992"/>
    <cellStyle name="Uwaga 2 42" xfId="39993"/>
    <cellStyle name="Uwaga 2 42 2" xfId="39994"/>
    <cellStyle name="Uwaga 2 42 3" xfId="39995"/>
    <cellStyle name="Uwaga 2 42 4" xfId="39996"/>
    <cellStyle name="Uwaga 2 43" xfId="39997"/>
    <cellStyle name="Uwaga 2 43 2" xfId="39998"/>
    <cellStyle name="Uwaga 2 43 3" xfId="39999"/>
    <cellStyle name="Uwaga 2 43 4" xfId="40000"/>
    <cellStyle name="Uwaga 2 44" xfId="40001"/>
    <cellStyle name="Uwaga 2 44 2" xfId="40002"/>
    <cellStyle name="Uwaga 2 44 3" xfId="40003"/>
    <cellStyle name="Uwaga 2 44 4" xfId="40004"/>
    <cellStyle name="Uwaga 2 45" xfId="40005"/>
    <cellStyle name="Uwaga 2 45 2" xfId="40006"/>
    <cellStyle name="Uwaga 2 45 3" xfId="40007"/>
    <cellStyle name="Uwaga 2 45 4" xfId="40008"/>
    <cellStyle name="Uwaga 2 46" xfId="40009"/>
    <cellStyle name="Uwaga 2 46 2" xfId="40010"/>
    <cellStyle name="Uwaga 2 46 3" xfId="40011"/>
    <cellStyle name="Uwaga 2 46 4" xfId="40012"/>
    <cellStyle name="Uwaga 2 47" xfId="40013"/>
    <cellStyle name="Uwaga 2 47 2" xfId="40014"/>
    <cellStyle name="Uwaga 2 47 3" xfId="40015"/>
    <cellStyle name="Uwaga 2 47 4" xfId="40016"/>
    <cellStyle name="Uwaga 2 48" xfId="40017"/>
    <cellStyle name="Uwaga 2 48 2" xfId="40018"/>
    <cellStyle name="Uwaga 2 48 3" xfId="40019"/>
    <cellStyle name="Uwaga 2 48 4" xfId="40020"/>
    <cellStyle name="Uwaga 2 49" xfId="40021"/>
    <cellStyle name="Uwaga 2 49 2" xfId="40022"/>
    <cellStyle name="Uwaga 2 49 3" xfId="40023"/>
    <cellStyle name="Uwaga 2 49 4" xfId="40024"/>
    <cellStyle name="Uwaga 2 5" xfId="40025"/>
    <cellStyle name="Uwaga 2 5 10" xfId="40026"/>
    <cellStyle name="Uwaga 2 5 10 2" xfId="40027"/>
    <cellStyle name="Uwaga 2 5 10 3" xfId="40028"/>
    <cellStyle name="Uwaga 2 5 10 4" xfId="40029"/>
    <cellStyle name="Uwaga 2 5 11" xfId="40030"/>
    <cellStyle name="Uwaga 2 5 11 2" xfId="40031"/>
    <cellStyle name="Uwaga 2 5 11 3" xfId="40032"/>
    <cellStyle name="Uwaga 2 5 11 4" xfId="40033"/>
    <cellStyle name="Uwaga 2 5 12" xfId="40034"/>
    <cellStyle name="Uwaga 2 5 12 2" xfId="40035"/>
    <cellStyle name="Uwaga 2 5 12 3" xfId="40036"/>
    <cellStyle name="Uwaga 2 5 12 4" xfId="40037"/>
    <cellStyle name="Uwaga 2 5 13" xfId="40038"/>
    <cellStyle name="Uwaga 2 5 13 2" xfId="40039"/>
    <cellStyle name="Uwaga 2 5 13 3" xfId="40040"/>
    <cellStyle name="Uwaga 2 5 13 4" xfId="40041"/>
    <cellStyle name="Uwaga 2 5 14" xfId="40042"/>
    <cellStyle name="Uwaga 2 5 14 2" xfId="40043"/>
    <cellStyle name="Uwaga 2 5 14 3" xfId="40044"/>
    <cellStyle name="Uwaga 2 5 14 4" xfId="40045"/>
    <cellStyle name="Uwaga 2 5 15" xfId="40046"/>
    <cellStyle name="Uwaga 2 5 15 2" xfId="40047"/>
    <cellStyle name="Uwaga 2 5 15 3" xfId="40048"/>
    <cellStyle name="Uwaga 2 5 15 4" xfId="40049"/>
    <cellStyle name="Uwaga 2 5 16" xfId="40050"/>
    <cellStyle name="Uwaga 2 5 16 2" xfId="40051"/>
    <cellStyle name="Uwaga 2 5 16 3" xfId="40052"/>
    <cellStyle name="Uwaga 2 5 16 4" xfId="40053"/>
    <cellStyle name="Uwaga 2 5 17" xfId="40054"/>
    <cellStyle name="Uwaga 2 5 17 2" xfId="40055"/>
    <cellStyle name="Uwaga 2 5 17 3" xfId="40056"/>
    <cellStyle name="Uwaga 2 5 17 4" xfId="40057"/>
    <cellStyle name="Uwaga 2 5 18" xfId="40058"/>
    <cellStyle name="Uwaga 2 5 18 2" xfId="40059"/>
    <cellStyle name="Uwaga 2 5 18 3" xfId="40060"/>
    <cellStyle name="Uwaga 2 5 18 4" xfId="40061"/>
    <cellStyle name="Uwaga 2 5 19" xfId="40062"/>
    <cellStyle name="Uwaga 2 5 19 2" xfId="40063"/>
    <cellStyle name="Uwaga 2 5 19 3" xfId="40064"/>
    <cellStyle name="Uwaga 2 5 19 4" xfId="40065"/>
    <cellStyle name="Uwaga 2 5 2" xfId="40066"/>
    <cellStyle name="Uwaga 2 5 2 2" xfId="40067"/>
    <cellStyle name="Uwaga 2 5 2 3" xfId="40068"/>
    <cellStyle name="Uwaga 2 5 2 4" xfId="40069"/>
    <cellStyle name="Uwaga 2 5 20" xfId="40070"/>
    <cellStyle name="Uwaga 2 5 20 2" xfId="40071"/>
    <cellStyle name="Uwaga 2 5 20 3" xfId="40072"/>
    <cellStyle name="Uwaga 2 5 20 4" xfId="40073"/>
    <cellStyle name="Uwaga 2 5 21" xfId="40074"/>
    <cellStyle name="Uwaga 2 5 21 2" xfId="40075"/>
    <cellStyle name="Uwaga 2 5 21 3" xfId="40076"/>
    <cellStyle name="Uwaga 2 5 22" xfId="40077"/>
    <cellStyle name="Uwaga 2 5 22 2" xfId="40078"/>
    <cellStyle name="Uwaga 2 5 22 3" xfId="40079"/>
    <cellStyle name="Uwaga 2 5 23" xfId="40080"/>
    <cellStyle name="Uwaga 2 5 23 2" xfId="40081"/>
    <cellStyle name="Uwaga 2 5 23 3" xfId="40082"/>
    <cellStyle name="Uwaga 2 5 24" xfId="40083"/>
    <cellStyle name="Uwaga 2 5 24 2" xfId="40084"/>
    <cellStyle name="Uwaga 2 5 24 3" xfId="40085"/>
    <cellStyle name="Uwaga 2 5 25" xfId="40086"/>
    <cellStyle name="Uwaga 2 5 25 2" xfId="40087"/>
    <cellStyle name="Uwaga 2 5 25 3" xfId="40088"/>
    <cellStyle name="Uwaga 2 5 26" xfId="40089"/>
    <cellStyle name="Uwaga 2 5 26 2" xfId="40090"/>
    <cellStyle name="Uwaga 2 5 26 3" xfId="40091"/>
    <cellStyle name="Uwaga 2 5 27" xfId="40092"/>
    <cellStyle name="Uwaga 2 5 27 2" xfId="40093"/>
    <cellStyle name="Uwaga 2 5 27 3" xfId="40094"/>
    <cellStyle name="Uwaga 2 5 28" xfId="40095"/>
    <cellStyle name="Uwaga 2 5 28 2" xfId="40096"/>
    <cellStyle name="Uwaga 2 5 28 3" xfId="40097"/>
    <cellStyle name="Uwaga 2 5 29" xfId="40098"/>
    <cellStyle name="Uwaga 2 5 29 2" xfId="40099"/>
    <cellStyle name="Uwaga 2 5 29 3" xfId="40100"/>
    <cellStyle name="Uwaga 2 5 3" xfId="40101"/>
    <cellStyle name="Uwaga 2 5 3 2" xfId="40102"/>
    <cellStyle name="Uwaga 2 5 3 3" xfId="40103"/>
    <cellStyle name="Uwaga 2 5 3 4" xfId="40104"/>
    <cellStyle name="Uwaga 2 5 30" xfId="40105"/>
    <cellStyle name="Uwaga 2 5 30 2" xfId="40106"/>
    <cellStyle name="Uwaga 2 5 30 3" xfId="40107"/>
    <cellStyle name="Uwaga 2 5 31" xfId="40108"/>
    <cellStyle name="Uwaga 2 5 31 2" xfId="40109"/>
    <cellStyle name="Uwaga 2 5 31 3" xfId="40110"/>
    <cellStyle name="Uwaga 2 5 32" xfId="40111"/>
    <cellStyle name="Uwaga 2 5 32 2" xfId="40112"/>
    <cellStyle name="Uwaga 2 5 32 3" xfId="40113"/>
    <cellStyle name="Uwaga 2 5 33" xfId="40114"/>
    <cellStyle name="Uwaga 2 5 33 2" xfId="40115"/>
    <cellStyle name="Uwaga 2 5 33 3" xfId="40116"/>
    <cellStyle name="Uwaga 2 5 34" xfId="40117"/>
    <cellStyle name="Uwaga 2 5 34 2" xfId="40118"/>
    <cellStyle name="Uwaga 2 5 34 3" xfId="40119"/>
    <cellStyle name="Uwaga 2 5 35" xfId="40120"/>
    <cellStyle name="Uwaga 2 5 35 2" xfId="40121"/>
    <cellStyle name="Uwaga 2 5 35 3" xfId="40122"/>
    <cellStyle name="Uwaga 2 5 36" xfId="40123"/>
    <cellStyle name="Uwaga 2 5 36 2" xfId="40124"/>
    <cellStyle name="Uwaga 2 5 36 3" xfId="40125"/>
    <cellStyle name="Uwaga 2 5 37" xfId="40126"/>
    <cellStyle name="Uwaga 2 5 37 2" xfId="40127"/>
    <cellStyle name="Uwaga 2 5 37 3" xfId="40128"/>
    <cellStyle name="Uwaga 2 5 38" xfId="40129"/>
    <cellStyle name="Uwaga 2 5 38 2" xfId="40130"/>
    <cellStyle name="Uwaga 2 5 38 3" xfId="40131"/>
    <cellStyle name="Uwaga 2 5 39" xfId="40132"/>
    <cellStyle name="Uwaga 2 5 39 2" xfId="40133"/>
    <cellStyle name="Uwaga 2 5 39 3" xfId="40134"/>
    <cellStyle name="Uwaga 2 5 4" xfId="40135"/>
    <cellStyle name="Uwaga 2 5 4 2" xfId="40136"/>
    <cellStyle name="Uwaga 2 5 4 3" xfId="40137"/>
    <cellStyle name="Uwaga 2 5 4 4" xfId="40138"/>
    <cellStyle name="Uwaga 2 5 40" xfId="40139"/>
    <cellStyle name="Uwaga 2 5 40 2" xfId="40140"/>
    <cellStyle name="Uwaga 2 5 40 3" xfId="40141"/>
    <cellStyle name="Uwaga 2 5 41" xfId="40142"/>
    <cellStyle name="Uwaga 2 5 41 2" xfId="40143"/>
    <cellStyle name="Uwaga 2 5 41 3" xfId="40144"/>
    <cellStyle name="Uwaga 2 5 42" xfId="40145"/>
    <cellStyle name="Uwaga 2 5 42 2" xfId="40146"/>
    <cellStyle name="Uwaga 2 5 42 3" xfId="40147"/>
    <cellStyle name="Uwaga 2 5 43" xfId="40148"/>
    <cellStyle name="Uwaga 2 5 43 2" xfId="40149"/>
    <cellStyle name="Uwaga 2 5 43 3" xfId="40150"/>
    <cellStyle name="Uwaga 2 5 44" xfId="40151"/>
    <cellStyle name="Uwaga 2 5 44 2" xfId="40152"/>
    <cellStyle name="Uwaga 2 5 44 3" xfId="40153"/>
    <cellStyle name="Uwaga 2 5 45" xfId="40154"/>
    <cellStyle name="Uwaga 2 5 45 2" xfId="40155"/>
    <cellStyle name="Uwaga 2 5 45 3" xfId="40156"/>
    <cellStyle name="Uwaga 2 5 46" xfId="40157"/>
    <cellStyle name="Uwaga 2 5 46 2" xfId="40158"/>
    <cellStyle name="Uwaga 2 5 46 3" xfId="40159"/>
    <cellStyle name="Uwaga 2 5 47" xfId="40160"/>
    <cellStyle name="Uwaga 2 5 47 2" xfId="40161"/>
    <cellStyle name="Uwaga 2 5 47 3" xfId="40162"/>
    <cellStyle name="Uwaga 2 5 48" xfId="40163"/>
    <cellStyle name="Uwaga 2 5 48 2" xfId="40164"/>
    <cellStyle name="Uwaga 2 5 48 3" xfId="40165"/>
    <cellStyle name="Uwaga 2 5 49" xfId="40166"/>
    <cellStyle name="Uwaga 2 5 49 2" xfId="40167"/>
    <cellStyle name="Uwaga 2 5 49 3" xfId="40168"/>
    <cellStyle name="Uwaga 2 5 5" xfId="40169"/>
    <cellStyle name="Uwaga 2 5 5 2" xfId="40170"/>
    <cellStyle name="Uwaga 2 5 5 3" xfId="40171"/>
    <cellStyle name="Uwaga 2 5 5 4" xfId="40172"/>
    <cellStyle name="Uwaga 2 5 50" xfId="40173"/>
    <cellStyle name="Uwaga 2 5 50 2" xfId="40174"/>
    <cellStyle name="Uwaga 2 5 50 3" xfId="40175"/>
    <cellStyle name="Uwaga 2 5 51" xfId="40176"/>
    <cellStyle name="Uwaga 2 5 51 2" xfId="40177"/>
    <cellStyle name="Uwaga 2 5 51 3" xfId="40178"/>
    <cellStyle name="Uwaga 2 5 52" xfId="40179"/>
    <cellStyle name="Uwaga 2 5 52 2" xfId="40180"/>
    <cellStyle name="Uwaga 2 5 52 3" xfId="40181"/>
    <cellStyle name="Uwaga 2 5 53" xfId="40182"/>
    <cellStyle name="Uwaga 2 5 53 2" xfId="40183"/>
    <cellStyle name="Uwaga 2 5 53 3" xfId="40184"/>
    <cellStyle name="Uwaga 2 5 54" xfId="40185"/>
    <cellStyle name="Uwaga 2 5 54 2" xfId="40186"/>
    <cellStyle name="Uwaga 2 5 54 3" xfId="40187"/>
    <cellStyle name="Uwaga 2 5 55" xfId="40188"/>
    <cellStyle name="Uwaga 2 5 55 2" xfId="40189"/>
    <cellStyle name="Uwaga 2 5 55 3" xfId="40190"/>
    <cellStyle name="Uwaga 2 5 56" xfId="40191"/>
    <cellStyle name="Uwaga 2 5 56 2" xfId="40192"/>
    <cellStyle name="Uwaga 2 5 56 3" xfId="40193"/>
    <cellStyle name="Uwaga 2 5 57" xfId="40194"/>
    <cellStyle name="Uwaga 2 5 58" xfId="40195"/>
    <cellStyle name="Uwaga 2 5 6" xfId="40196"/>
    <cellStyle name="Uwaga 2 5 6 2" xfId="40197"/>
    <cellStyle name="Uwaga 2 5 6 3" xfId="40198"/>
    <cellStyle name="Uwaga 2 5 6 4" xfId="40199"/>
    <cellStyle name="Uwaga 2 5 7" xfId="40200"/>
    <cellStyle name="Uwaga 2 5 7 2" xfId="40201"/>
    <cellStyle name="Uwaga 2 5 7 3" xfId="40202"/>
    <cellStyle name="Uwaga 2 5 7 4" xfId="40203"/>
    <cellStyle name="Uwaga 2 5 8" xfId="40204"/>
    <cellStyle name="Uwaga 2 5 8 2" xfId="40205"/>
    <cellStyle name="Uwaga 2 5 8 3" xfId="40206"/>
    <cellStyle name="Uwaga 2 5 8 4" xfId="40207"/>
    <cellStyle name="Uwaga 2 5 9" xfId="40208"/>
    <cellStyle name="Uwaga 2 5 9 2" xfId="40209"/>
    <cellStyle name="Uwaga 2 5 9 3" xfId="40210"/>
    <cellStyle name="Uwaga 2 5 9 4" xfId="40211"/>
    <cellStyle name="Uwaga 2 50" xfId="40212"/>
    <cellStyle name="Uwaga 2 50 2" xfId="40213"/>
    <cellStyle name="Uwaga 2 50 3" xfId="40214"/>
    <cellStyle name="Uwaga 2 50 4" xfId="40215"/>
    <cellStyle name="Uwaga 2 51" xfId="40216"/>
    <cellStyle name="Uwaga 2 51 2" xfId="40217"/>
    <cellStyle name="Uwaga 2 51 3" xfId="40218"/>
    <cellStyle name="Uwaga 2 51 4" xfId="40219"/>
    <cellStyle name="Uwaga 2 52" xfId="40220"/>
    <cellStyle name="Uwaga 2 52 2" xfId="40221"/>
    <cellStyle name="Uwaga 2 52 3" xfId="40222"/>
    <cellStyle name="Uwaga 2 52 4" xfId="40223"/>
    <cellStyle name="Uwaga 2 53" xfId="40224"/>
    <cellStyle name="Uwaga 2 53 2" xfId="40225"/>
    <cellStyle name="Uwaga 2 53 3" xfId="40226"/>
    <cellStyle name="Uwaga 2 53 4" xfId="40227"/>
    <cellStyle name="Uwaga 2 54" xfId="40228"/>
    <cellStyle name="Uwaga 2 54 2" xfId="40229"/>
    <cellStyle name="Uwaga 2 54 3" xfId="40230"/>
    <cellStyle name="Uwaga 2 54 4" xfId="40231"/>
    <cellStyle name="Uwaga 2 55" xfId="40232"/>
    <cellStyle name="Uwaga 2 55 2" xfId="40233"/>
    <cellStyle name="Uwaga 2 55 3" xfId="40234"/>
    <cellStyle name="Uwaga 2 55 4" xfId="40235"/>
    <cellStyle name="Uwaga 2 56" xfId="40236"/>
    <cellStyle name="Uwaga 2 56 2" xfId="40237"/>
    <cellStyle name="Uwaga 2 56 3" xfId="40238"/>
    <cellStyle name="Uwaga 2 56 4" xfId="40239"/>
    <cellStyle name="Uwaga 2 57" xfId="40240"/>
    <cellStyle name="Uwaga 2 57 2" xfId="40241"/>
    <cellStyle name="Uwaga 2 57 3" xfId="40242"/>
    <cellStyle name="Uwaga 2 57 4" xfId="40243"/>
    <cellStyle name="Uwaga 2 58" xfId="40244"/>
    <cellStyle name="Uwaga 2 58 2" xfId="40245"/>
    <cellStyle name="Uwaga 2 58 3" xfId="40246"/>
    <cellStyle name="Uwaga 2 58 4" xfId="40247"/>
    <cellStyle name="Uwaga 2 59" xfId="40248"/>
    <cellStyle name="Uwaga 2 59 2" xfId="40249"/>
    <cellStyle name="Uwaga 2 59 3" xfId="40250"/>
    <cellStyle name="Uwaga 2 59 4" xfId="40251"/>
    <cellStyle name="Uwaga 2 6" xfId="40252"/>
    <cellStyle name="Uwaga 2 6 10" xfId="40253"/>
    <cellStyle name="Uwaga 2 6 10 2" xfId="40254"/>
    <cellStyle name="Uwaga 2 6 10 3" xfId="40255"/>
    <cellStyle name="Uwaga 2 6 10 4" xfId="40256"/>
    <cellStyle name="Uwaga 2 6 11" xfId="40257"/>
    <cellStyle name="Uwaga 2 6 11 2" xfId="40258"/>
    <cellStyle name="Uwaga 2 6 11 3" xfId="40259"/>
    <cellStyle name="Uwaga 2 6 11 4" xfId="40260"/>
    <cellStyle name="Uwaga 2 6 12" xfId="40261"/>
    <cellStyle name="Uwaga 2 6 12 2" xfId="40262"/>
    <cellStyle name="Uwaga 2 6 12 3" xfId="40263"/>
    <cellStyle name="Uwaga 2 6 12 4" xfId="40264"/>
    <cellStyle name="Uwaga 2 6 13" xfId="40265"/>
    <cellStyle name="Uwaga 2 6 13 2" xfId="40266"/>
    <cellStyle name="Uwaga 2 6 13 3" xfId="40267"/>
    <cellStyle name="Uwaga 2 6 13 4" xfId="40268"/>
    <cellStyle name="Uwaga 2 6 14" xfId="40269"/>
    <cellStyle name="Uwaga 2 6 14 2" xfId="40270"/>
    <cellStyle name="Uwaga 2 6 14 3" xfId="40271"/>
    <cellStyle name="Uwaga 2 6 14 4" xfId="40272"/>
    <cellStyle name="Uwaga 2 6 15" xfId="40273"/>
    <cellStyle name="Uwaga 2 6 15 2" xfId="40274"/>
    <cellStyle name="Uwaga 2 6 15 3" xfId="40275"/>
    <cellStyle name="Uwaga 2 6 15 4" xfId="40276"/>
    <cellStyle name="Uwaga 2 6 16" xfId="40277"/>
    <cellStyle name="Uwaga 2 6 16 2" xfId="40278"/>
    <cellStyle name="Uwaga 2 6 16 3" xfId="40279"/>
    <cellStyle name="Uwaga 2 6 16 4" xfId="40280"/>
    <cellStyle name="Uwaga 2 6 17" xfId="40281"/>
    <cellStyle name="Uwaga 2 6 17 2" xfId="40282"/>
    <cellStyle name="Uwaga 2 6 17 3" xfId="40283"/>
    <cellStyle name="Uwaga 2 6 17 4" xfId="40284"/>
    <cellStyle name="Uwaga 2 6 18" xfId="40285"/>
    <cellStyle name="Uwaga 2 6 18 2" xfId="40286"/>
    <cellStyle name="Uwaga 2 6 18 3" xfId="40287"/>
    <cellStyle name="Uwaga 2 6 18 4" xfId="40288"/>
    <cellStyle name="Uwaga 2 6 19" xfId="40289"/>
    <cellStyle name="Uwaga 2 6 19 2" xfId="40290"/>
    <cellStyle name="Uwaga 2 6 19 3" xfId="40291"/>
    <cellStyle name="Uwaga 2 6 19 4" xfId="40292"/>
    <cellStyle name="Uwaga 2 6 2" xfId="40293"/>
    <cellStyle name="Uwaga 2 6 2 2" xfId="40294"/>
    <cellStyle name="Uwaga 2 6 2 3" xfId="40295"/>
    <cellStyle name="Uwaga 2 6 2 4" xfId="40296"/>
    <cellStyle name="Uwaga 2 6 20" xfId="40297"/>
    <cellStyle name="Uwaga 2 6 20 2" xfId="40298"/>
    <cellStyle name="Uwaga 2 6 20 3" xfId="40299"/>
    <cellStyle name="Uwaga 2 6 20 4" xfId="40300"/>
    <cellStyle name="Uwaga 2 6 21" xfId="40301"/>
    <cellStyle name="Uwaga 2 6 21 2" xfId="40302"/>
    <cellStyle name="Uwaga 2 6 21 3" xfId="40303"/>
    <cellStyle name="Uwaga 2 6 22" xfId="40304"/>
    <cellStyle name="Uwaga 2 6 22 2" xfId="40305"/>
    <cellStyle name="Uwaga 2 6 22 3" xfId="40306"/>
    <cellStyle name="Uwaga 2 6 23" xfId="40307"/>
    <cellStyle name="Uwaga 2 6 23 2" xfId="40308"/>
    <cellStyle name="Uwaga 2 6 23 3" xfId="40309"/>
    <cellStyle name="Uwaga 2 6 24" xfId="40310"/>
    <cellStyle name="Uwaga 2 6 24 2" xfId="40311"/>
    <cellStyle name="Uwaga 2 6 24 3" xfId="40312"/>
    <cellStyle name="Uwaga 2 6 25" xfId="40313"/>
    <cellStyle name="Uwaga 2 6 25 2" xfId="40314"/>
    <cellStyle name="Uwaga 2 6 25 3" xfId="40315"/>
    <cellStyle name="Uwaga 2 6 26" xfId="40316"/>
    <cellStyle name="Uwaga 2 6 26 2" xfId="40317"/>
    <cellStyle name="Uwaga 2 6 26 3" xfId="40318"/>
    <cellStyle name="Uwaga 2 6 27" xfId="40319"/>
    <cellStyle name="Uwaga 2 6 27 2" xfId="40320"/>
    <cellStyle name="Uwaga 2 6 27 3" xfId="40321"/>
    <cellStyle name="Uwaga 2 6 28" xfId="40322"/>
    <cellStyle name="Uwaga 2 6 28 2" xfId="40323"/>
    <cellStyle name="Uwaga 2 6 28 3" xfId="40324"/>
    <cellStyle name="Uwaga 2 6 29" xfId="40325"/>
    <cellStyle name="Uwaga 2 6 29 2" xfId="40326"/>
    <cellStyle name="Uwaga 2 6 29 3" xfId="40327"/>
    <cellStyle name="Uwaga 2 6 3" xfId="40328"/>
    <cellStyle name="Uwaga 2 6 3 2" xfId="40329"/>
    <cellStyle name="Uwaga 2 6 3 3" xfId="40330"/>
    <cellStyle name="Uwaga 2 6 3 4" xfId="40331"/>
    <cellStyle name="Uwaga 2 6 30" xfId="40332"/>
    <cellStyle name="Uwaga 2 6 30 2" xfId="40333"/>
    <cellStyle name="Uwaga 2 6 30 3" xfId="40334"/>
    <cellStyle name="Uwaga 2 6 31" xfId="40335"/>
    <cellStyle name="Uwaga 2 6 31 2" xfId="40336"/>
    <cellStyle name="Uwaga 2 6 31 3" xfId="40337"/>
    <cellStyle name="Uwaga 2 6 32" xfId="40338"/>
    <cellStyle name="Uwaga 2 6 32 2" xfId="40339"/>
    <cellStyle name="Uwaga 2 6 32 3" xfId="40340"/>
    <cellStyle name="Uwaga 2 6 33" xfId="40341"/>
    <cellStyle name="Uwaga 2 6 33 2" xfId="40342"/>
    <cellStyle name="Uwaga 2 6 33 3" xfId="40343"/>
    <cellStyle name="Uwaga 2 6 34" xfId="40344"/>
    <cellStyle name="Uwaga 2 6 34 2" xfId="40345"/>
    <cellStyle name="Uwaga 2 6 34 3" xfId="40346"/>
    <cellStyle name="Uwaga 2 6 35" xfId="40347"/>
    <cellStyle name="Uwaga 2 6 35 2" xfId="40348"/>
    <cellStyle name="Uwaga 2 6 35 3" xfId="40349"/>
    <cellStyle name="Uwaga 2 6 36" xfId="40350"/>
    <cellStyle name="Uwaga 2 6 36 2" xfId="40351"/>
    <cellStyle name="Uwaga 2 6 36 3" xfId="40352"/>
    <cellStyle name="Uwaga 2 6 37" xfId="40353"/>
    <cellStyle name="Uwaga 2 6 37 2" xfId="40354"/>
    <cellStyle name="Uwaga 2 6 37 3" xfId="40355"/>
    <cellStyle name="Uwaga 2 6 38" xfId="40356"/>
    <cellStyle name="Uwaga 2 6 38 2" xfId="40357"/>
    <cellStyle name="Uwaga 2 6 38 3" xfId="40358"/>
    <cellStyle name="Uwaga 2 6 39" xfId="40359"/>
    <cellStyle name="Uwaga 2 6 39 2" xfId="40360"/>
    <cellStyle name="Uwaga 2 6 39 3" xfId="40361"/>
    <cellStyle name="Uwaga 2 6 4" xfId="40362"/>
    <cellStyle name="Uwaga 2 6 4 2" xfId="40363"/>
    <cellStyle name="Uwaga 2 6 4 3" xfId="40364"/>
    <cellStyle name="Uwaga 2 6 4 4" xfId="40365"/>
    <cellStyle name="Uwaga 2 6 40" xfId="40366"/>
    <cellStyle name="Uwaga 2 6 40 2" xfId="40367"/>
    <cellStyle name="Uwaga 2 6 40 3" xfId="40368"/>
    <cellStyle name="Uwaga 2 6 41" xfId="40369"/>
    <cellStyle name="Uwaga 2 6 41 2" xfId="40370"/>
    <cellStyle name="Uwaga 2 6 41 3" xfId="40371"/>
    <cellStyle name="Uwaga 2 6 42" xfId="40372"/>
    <cellStyle name="Uwaga 2 6 42 2" xfId="40373"/>
    <cellStyle name="Uwaga 2 6 42 3" xfId="40374"/>
    <cellStyle name="Uwaga 2 6 43" xfId="40375"/>
    <cellStyle name="Uwaga 2 6 43 2" xfId="40376"/>
    <cellStyle name="Uwaga 2 6 43 3" xfId="40377"/>
    <cellStyle name="Uwaga 2 6 44" xfId="40378"/>
    <cellStyle name="Uwaga 2 6 44 2" xfId="40379"/>
    <cellStyle name="Uwaga 2 6 44 3" xfId="40380"/>
    <cellStyle name="Uwaga 2 6 45" xfId="40381"/>
    <cellStyle name="Uwaga 2 6 45 2" xfId="40382"/>
    <cellStyle name="Uwaga 2 6 45 3" xfId="40383"/>
    <cellStyle name="Uwaga 2 6 46" xfId="40384"/>
    <cellStyle name="Uwaga 2 6 46 2" xfId="40385"/>
    <cellStyle name="Uwaga 2 6 46 3" xfId="40386"/>
    <cellStyle name="Uwaga 2 6 47" xfId="40387"/>
    <cellStyle name="Uwaga 2 6 47 2" xfId="40388"/>
    <cellStyle name="Uwaga 2 6 47 3" xfId="40389"/>
    <cellStyle name="Uwaga 2 6 48" xfId="40390"/>
    <cellStyle name="Uwaga 2 6 48 2" xfId="40391"/>
    <cellStyle name="Uwaga 2 6 48 3" xfId="40392"/>
    <cellStyle name="Uwaga 2 6 49" xfId="40393"/>
    <cellStyle name="Uwaga 2 6 49 2" xfId="40394"/>
    <cellStyle name="Uwaga 2 6 49 3" xfId="40395"/>
    <cellStyle name="Uwaga 2 6 5" xfId="40396"/>
    <cellStyle name="Uwaga 2 6 5 2" xfId="40397"/>
    <cellStyle name="Uwaga 2 6 5 3" xfId="40398"/>
    <cellStyle name="Uwaga 2 6 5 4" xfId="40399"/>
    <cellStyle name="Uwaga 2 6 50" xfId="40400"/>
    <cellStyle name="Uwaga 2 6 50 2" xfId="40401"/>
    <cellStyle name="Uwaga 2 6 50 3" xfId="40402"/>
    <cellStyle name="Uwaga 2 6 51" xfId="40403"/>
    <cellStyle name="Uwaga 2 6 51 2" xfId="40404"/>
    <cellStyle name="Uwaga 2 6 51 3" xfId="40405"/>
    <cellStyle name="Uwaga 2 6 52" xfId="40406"/>
    <cellStyle name="Uwaga 2 6 52 2" xfId="40407"/>
    <cellStyle name="Uwaga 2 6 52 3" xfId="40408"/>
    <cellStyle name="Uwaga 2 6 53" xfId="40409"/>
    <cellStyle name="Uwaga 2 6 53 2" xfId="40410"/>
    <cellStyle name="Uwaga 2 6 53 3" xfId="40411"/>
    <cellStyle name="Uwaga 2 6 54" xfId="40412"/>
    <cellStyle name="Uwaga 2 6 54 2" xfId="40413"/>
    <cellStyle name="Uwaga 2 6 54 3" xfId="40414"/>
    <cellStyle name="Uwaga 2 6 55" xfId="40415"/>
    <cellStyle name="Uwaga 2 6 55 2" xfId="40416"/>
    <cellStyle name="Uwaga 2 6 55 3" xfId="40417"/>
    <cellStyle name="Uwaga 2 6 56" xfId="40418"/>
    <cellStyle name="Uwaga 2 6 56 2" xfId="40419"/>
    <cellStyle name="Uwaga 2 6 56 3" xfId="40420"/>
    <cellStyle name="Uwaga 2 6 57" xfId="40421"/>
    <cellStyle name="Uwaga 2 6 58" xfId="40422"/>
    <cellStyle name="Uwaga 2 6 6" xfId="40423"/>
    <cellStyle name="Uwaga 2 6 6 2" xfId="40424"/>
    <cellStyle name="Uwaga 2 6 6 3" xfId="40425"/>
    <cellStyle name="Uwaga 2 6 6 4" xfId="40426"/>
    <cellStyle name="Uwaga 2 6 7" xfId="40427"/>
    <cellStyle name="Uwaga 2 6 7 2" xfId="40428"/>
    <cellStyle name="Uwaga 2 6 7 3" xfId="40429"/>
    <cellStyle name="Uwaga 2 6 7 4" xfId="40430"/>
    <cellStyle name="Uwaga 2 6 8" xfId="40431"/>
    <cellStyle name="Uwaga 2 6 8 2" xfId="40432"/>
    <cellStyle name="Uwaga 2 6 8 3" xfId="40433"/>
    <cellStyle name="Uwaga 2 6 8 4" xfId="40434"/>
    <cellStyle name="Uwaga 2 6 9" xfId="40435"/>
    <cellStyle name="Uwaga 2 6 9 2" xfId="40436"/>
    <cellStyle name="Uwaga 2 6 9 3" xfId="40437"/>
    <cellStyle name="Uwaga 2 6 9 4" xfId="40438"/>
    <cellStyle name="Uwaga 2 60" xfId="40439"/>
    <cellStyle name="Uwaga 2 60 2" xfId="40440"/>
    <cellStyle name="Uwaga 2 60 3" xfId="40441"/>
    <cellStyle name="Uwaga 2 60 4" xfId="40442"/>
    <cellStyle name="Uwaga 2 61" xfId="40443"/>
    <cellStyle name="Uwaga 2 61 2" xfId="40444"/>
    <cellStyle name="Uwaga 2 61 3" xfId="40445"/>
    <cellStyle name="Uwaga 2 61 4" xfId="40446"/>
    <cellStyle name="Uwaga 2 62" xfId="40447"/>
    <cellStyle name="Uwaga 2 62 2" xfId="40448"/>
    <cellStyle name="Uwaga 2 62 3" xfId="40449"/>
    <cellStyle name="Uwaga 2 62 4" xfId="40450"/>
    <cellStyle name="Uwaga 2 63" xfId="40451"/>
    <cellStyle name="Uwaga 2 63 2" xfId="40452"/>
    <cellStyle name="Uwaga 2 63 3" xfId="40453"/>
    <cellStyle name="Uwaga 2 63 4" xfId="40454"/>
    <cellStyle name="Uwaga 2 64" xfId="40455"/>
    <cellStyle name="Uwaga 2 64 2" xfId="40456"/>
    <cellStyle name="Uwaga 2 64 3" xfId="40457"/>
    <cellStyle name="Uwaga 2 64 4" xfId="40458"/>
    <cellStyle name="Uwaga 2 65" xfId="40459"/>
    <cellStyle name="Uwaga 2 65 2" xfId="40460"/>
    <cellStyle name="Uwaga 2 65 3" xfId="40461"/>
    <cellStyle name="Uwaga 2 65 4" xfId="40462"/>
    <cellStyle name="Uwaga 2 66" xfId="40463"/>
    <cellStyle name="Uwaga 2 66 2" xfId="40464"/>
    <cellStyle name="Uwaga 2 66 3" xfId="40465"/>
    <cellStyle name="Uwaga 2 66 4" xfId="40466"/>
    <cellStyle name="Uwaga 2 67" xfId="40467"/>
    <cellStyle name="Uwaga 2 67 2" xfId="40468"/>
    <cellStyle name="Uwaga 2 67 3" xfId="40469"/>
    <cellStyle name="Uwaga 2 67 4" xfId="40470"/>
    <cellStyle name="Uwaga 2 68" xfId="40471"/>
    <cellStyle name="Uwaga 2 68 2" xfId="40472"/>
    <cellStyle name="Uwaga 2 68 3" xfId="40473"/>
    <cellStyle name="Uwaga 2 68 4" xfId="40474"/>
    <cellStyle name="Uwaga 2 69" xfId="40475"/>
    <cellStyle name="Uwaga 2 69 2" xfId="40476"/>
    <cellStyle name="Uwaga 2 69 3" xfId="40477"/>
    <cellStyle name="Uwaga 2 69 4" xfId="40478"/>
    <cellStyle name="Uwaga 2 7" xfId="40479"/>
    <cellStyle name="Uwaga 2 7 10" xfId="40480"/>
    <cellStyle name="Uwaga 2 7 10 2" xfId="40481"/>
    <cellStyle name="Uwaga 2 7 10 3" xfId="40482"/>
    <cellStyle name="Uwaga 2 7 10 4" xfId="40483"/>
    <cellStyle name="Uwaga 2 7 11" xfId="40484"/>
    <cellStyle name="Uwaga 2 7 11 2" xfId="40485"/>
    <cellStyle name="Uwaga 2 7 11 3" xfId="40486"/>
    <cellStyle name="Uwaga 2 7 11 4" xfId="40487"/>
    <cellStyle name="Uwaga 2 7 12" xfId="40488"/>
    <cellStyle name="Uwaga 2 7 12 2" xfId="40489"/>
    <cellStyle name="Uwaga 2 7 12 3" xfId="40490"/>
    <cellStyle name="Uwaga 2 7 12 4" xfId="40491"/>
    <cellStyle name="Uwaga 2 7 13" xfId="40492"/>
    <cellStyle name="Uwaga 2 7 13 2" xfId="40493"/>
    <cellStyle name="Uwaga 2 7 13 3" xfId="40494"/>
    <cellStyle name="Uwaga 2 7 13 4" xfId="40495"/>
    <cellStyle name="Uwaga 2 7 14" xfId="40496"/>
    <cellStyle name="Uwaga 2 7 14 2" xfId="40497"/>
    <cellStyle name="Uwaga 2 7 14 3" xfId="40498"/>
    <cellStyle name="Uwaga 2 7 14 4" xfId="40499"/>
    <cellStyle name="Uwaga 2 7 15" xfId="40500"/>
    <cellStyle name="Uwaga 2 7 15 2" xfId="40501"/>
    <cellStyle name="Uwaga 2 7 15 3" xfId="40502"/>
    <cellStyle name="Uwaga 2 7 15 4" xfId="40503"/>
    <cellStyle name="Uwaga 2 7 16" xfId="40504"/>
    <cellStyle name="Uwaga 2 7 16 2" xfId="40505"/>
    <cellStyle name="Uwaga 2 7 16 3" xfId="40506"/>
    <cellStyle name="Uwaga 2 7 16 4" xfId="40507"/>
    <cellStyle name="Uwaga 2 7 17" xfId="40508"/>
    <cellStyle name="Uwaga 2 7 17 2" xfId="40509"/>
    <cellStyle name="Uwaga 2 7 17 3" xfId="40510"/>
    <cellStyle name="Uwaga 2 7 17 4" xfId="40511"/>
    <cellStyle name="Uwaga 2 7 18" xfId="40512"/>
    <cellStyle name="Uwaga 2 7 18 2" xfId="40513"/>
    <cellStyle name="Uwaga 2 7 18 3" xfId="40514"/>
    <cellStyle name="Uwaga 2 7 18 4" xfId="40515"/>
    <cellStyle name="Uwaga 2 7 19" xfId="40516"/>
    <cellStyle name="Uwaga 2 7 19 2" xfId="40517"/>
    <cellStyle name="Uwaga 2 7 19 3" xfId="40518"/>
    <cellStyle name="Uwaga 2 7 19 4" xfId="40519"/>
    <cellStyle name="Uwaga 2 7 2" xfId="40520"/>
    <cellStyle name="Uwaga 2 7 2 2" xfId="40521"/>
    <cellStyle name="Uwaga 2 7 2 3" xfId="40522"/>
    <cellStyle name="Uwaga 2 7 2 4" xfId="40523"/>
    <cellStyle name="Uwaga 2 7 20" xfId="40524"/>
    <cellStyle name="Uwaga 2 7 20 2" xfId="40525"/>
    <cellStyle name="Uwaga 2 7 20 3" xfId="40526"/>
    <cellStyle name="Uwaga 2 7 20 4" xfId="40527"/>
    <cellStyle name="Uwaga 2 7 21" xfId="40528"/>
    <cellStyle name="Uwaga 2 7 21 2" xfId="40529"/>
    <cellStyle name="Uwaga 2 7 21 3" xfId="40530"/>
    <cellStyle name="Uwaga 2 7 22" xfId="40531"/>
    <cellStyle name="Uwaga 2 7 22 2" xfId="40532"/>
    <cellStyle name="Uwaga 2 7 22 3" xfId="40533"/>
    <cellStyle name="Uwaga 2 7 23" xfId="40534"/>
    <cellStyle name="Uwaga 2 7 23 2" xfId="40535"/>
    <cellStyle name="Uwaga 2 7 23 3" xfId="40536"/>
    <cellStyle name="Uwaga 2 7 24" xfId="40537"/>
    <cellStyle name="Uwaga 2 7 24 2" xfId="40538"/>
    <cellStyle name="Uwaga 2 7 24 3" xfId="40539"/>
    <cellStyle name="Uwaga 2 7 25" xfId="40540"/>
    <cellStyle name="Uwaga 2 7 25 2" xfId="40541"/>
    <cellStyle name="Uwaga 2 7 25 3" xfId="40542"/>
    <cellStyle name="Uwaga 2 7 26" xfId="40543"/>
    <cellStyle name="Uwaga 2 7 26 2" xfId="40544"/>
    <cellStyle name="Uwaga 2 7 26 3" xfId="40545"/>
    <cellStyle name="Uwaga 2 7 27" xfId="40546"/>
    <cellStyle name="Uwaga 2 7 27 2" xfId="40547"/>
    <cellStyle name="Uwaga 2 7 27 3" xfId="40548"/>
    <cellStyle name="Uwaga 2 7 28" xfId="40549"/>
    <cellStyle name="Uwaga 2 7 28 2" xfId="40550"/>
    <cellStyle name="Uwaga 2 7 28 3" xfId="40551"/>
    <cellStyle name="Uwaga 2 7 29" xfId="40552"/>
    <cellStyle name="Uwaga 2 7 29 2" xfId="40553"/>
    <cellStyle name="Uwaga 2 7 29 3" xfId="40554"/>
    <cellStyle name="Uwaga 2 7 3" xfId="40555"/>
    <cellStyle name="Uwaga 2 7 3 2" xfId="40556"/>
    <cellStyle name="Uwaga 2 7 3 3" xfId="40557"/>
    <cellStyle name="Uwaga 2 7 3 4" xfId="40558"/>
    <cellStyle name="Uwaga 2 7 30" xfId="40559"/>
    <cellStyle name="Uwaga 2 7 30 2" xfId="40560"/>
    <cellStyle name="Uwaga 2 7 30 3" xfId="40561"/>
    <cellStyle name="Uwaga 2 7 31" xfId="40562"/>
    <cellStyle name="Uwaga 2 7 31 2" xfId="40563"/>
    <cellStyle name="Uwaga 2 7 31 3" xfId="40564"/>
    <cellStyle name="Uwaga 2 7 32" xfId="40565"/>
    <cellStyle name="Uwaga 2 7 32 2" xfId="40566"/>
    <cellStyle name="Uwaga 2 7 32 3" xfId="40567"/>
    <cellStyle name="Uwaga 2 7 33" xfId="40568"/>
    <cellStyle name="Uwaga 2 7 33 2" xfId="40569"/>
    <cellStyle name="Uwaga 2 7 33 3" xfId="40570"/>
    <cellStyle name="Uwaga 2 7 34" xfId="40571"/>
    <cellStyle name="Uwaga 2 7 34 2" xfId="40572"/>
    <cellStyle name="Uwaga 2 7 34 3" xfId="40573"/>
    <cellStyle name="Uwaga 2 7 35" xfId="40574"/>
    <cellStyle name="Uwaga 2 7 35 2" xfId="40575"/>
    <cellStyle name="Uwaga 2 7 35 3" xfId="40576"/>
    <cellStyle name="Uwaga 2 7 36" xfId="40577"/>
    <cellStyle name="Uwaga 2 7 36 2" xfId="40578"/>
    <cellStyle name="Uwaga 2 7 36 3" xfId="40579"/>
    <cellStyle name="Uwaga 2 7 37" xfId="40580"/>
    <cellStyle name="Uwaga 2 7 37 2" xfId="40581"/>
    <cellStyle name="Uwaga 2 7 37 3" xfId="40582"/>
    <cellStyle name="Uwaga 2 7 38" xfId="40583"/>
    <cellStyle name="Uwaga 2 7 38 2" xfId="40584"/>
    <cellStyle name="Uwaga 2 7 38 3" xfId="40585"/>
    <cellStyle name="Uwaga 2 7 39" xfId="40586"/>
    <cellStyle name="Uwaga 2 7 39 2" xfId="40587"/>
    <cellStyle name="Uwaga 2 7 39 3" xfId="40588"/>
    <cellStyle name="Uwaga 2 7 4" xfId="40589"/>
    <cellStyle name="Uwaga 2 7 4 2" xfId="40590"/>
    <cellStyle name="Uwaga 2 7 4 3" xfId="40591"/>
    <cellStyle name="Uwaga 2 7 4 4" xfId="40592"/>
    <cellStyle name="Uwaga 2 7 40" xfId="40593"/>
    <cellStyle name="Uwaga 2 7 40 2" xfId="40594"/>
    <cellStyle name="Uwaga 2 7 40 3" xfId="40595"/>
    <cellStyle name="Uwaga 2 7 41" xfId="40596"/>
    <cellStyle name="Uwaga 2 7 41 2" xfId="40597"/>
    <cellStyle name="Uwaga 2 7 41 3" xfId="40598"/>
    <cellStyle name="Uwaga 2 7 42" xfId="40599"/>
    <cellStyle name="Uwaga 2 7 42 2" xfId="40600"/>
    <cellStyle name="Uwaga 2 7 42 3" xfId="40601"/>
    <cellStyle name="Uwaga 2 7 43" xfId="40602"/>
    <cellStyle name="Uwaga 2 7 43 2" xfId="40603"/>
    <cellStyle name="Uwaga 2 7 43 3" xfId="40604"/>
    <cellStyle name="Uwaga 2 7 44" xfId="40605"/>
    <cellStyle name="Uwaga 2 7 44 2" xfId="40606"/>
    <cellStyle name="Uwaga 2 7 44 3" xfId="40607"/>
    <cellStyle name="Uwaga 2 7 45" xfId="40608"/>
    <cellStyle name="Uwaga 2 7 45 2" xfId="40609"/>
    <cellStyle name="Uwaga 2 7 45 3" xfId="40610"/>
    <cellStyle name="Uwaga 2 7 46" xfId="40611"/>
    <cellStyle name="Uwaga 2 7 46 2" xfId="40612"/>
    <cellStyle name="Uwaga 2 7 46 3" xfId="40613"/>
    <cellStyle name="Uwaga 2 7 47" xfId="40614"/>
    <cellStyle name="Uwaga 2 7 47 2" xfId="40615"/>
    <cellStyle name="Uwaga 2 7 47 3" xfId="40616"/>
    <cellStyle name="Uwaga 2 7 48" xfId="40617"/>
    <cellStyle name="Uwaga 2 7 48 2" xfId="40618"/>
    <cellStyle name="Uwaga 2 7 48 3" xfId="40619"/>
    <cellStyle name="Uwaga 2 7 49" xfId="40620"/>
    <cellStyle name="Uwaga 2 7 49 2" xfId="40621"/>
    <cellStyle name="Uwaga 2 7 49 3" xfId="40622"/>
    <cellStyle name="Uwaga 2 7 5" xfId="40623"/>
    <cellStyle name="Uwaga 2 7 5 2" xfId="40624"/>
    <cellStyle name="Uwaga 2 7 5 3" xfId="40625"/>
    <cellStyle name="Uwaga 2 7 5 4" xfId="40626"/>
    <cellStyle name="Uwaga 2 7 50" xfId="40627"/>
    <cellStyle name="Uwaga 2 7 50 2" xfId="40628"/>
    <cellStyle name="Uwaga 2 7 50 3" xfId="40629"/>
    <cellStyle name="Uwaga 2 7 51" xfId="40630"/>
    <cellStyle name="Uwaga 2 7 51 2" xfId="40631"/>
    <cellStyle name="Uwaga 2 7 51 3" xfId="40632"/>
    <cellStyle name="Uwaga 2 7 52" xfId="40633"/>
    <cellStyle name="Uwaga 2 7 52 2" xfId="40634"/>
    <cellStyle name="Uwaga 2 7 52 3" xfId="40635"/>
    <cellStyle name="Uwaga 2 7 53" xfId="40636"/>
    <cellStyle name="Uwaga 2 7 53 2" xfId="40637"/>
    <cellStyle name="Uwaga 2 7 53 3" xfId="40638"/>
    <cellStyle name="Uwaga 2 7 54" xfId="40639"/>
    <cellStyle name="Uwaga 2 7 54 2" xfId="40640"/>
    <cellStyle name="Uwaga 2 7 54 3" xfId="40641"/>
    <cellStyle name="Uwaga 2 7 55" xfId="40642"/>
    <cellStyle name="Uwaga 2 7 55 2" xfId="40643"/>
    <cellStyle name="Uwaga 2 7 55 3" xfId="40644"/>
    <cellStyle name="Uwaga 2 7 56" xfId="40645"/>
    <cellStyle name="Uwaga 2 7 56 2" xfId="40646"/>
    <cellStyle name="Uwaga 2 7 56 3" xfId="40647"/>
    <cellStyle name="Uwaga 2 7 57" xfId="40648"/>
    <cellStyle name="Uwaga 2 7 58" xfId="40649"/>
    <cellStyle name="Uwaga 2 7 6" xfId="40650"/>
    <cellStyle name="Uwaga 2 7 6 2" xfId="40651"/>
    <cellStyle name="Uwaga 2 7 6 3" xfId="40652"/>
    <cellStyle name="Uwaga 2 7 6 4" xfId="40653"/>
    <cellStyle name="Uwaga 2 7 7" xfId="40654"/>
    <cellStyle name="Uwaga 2 7 7 2" xfId="40655"/>
    <cellStyle name="Uwaga 2 7 7 3" xfId="40656"/>
    <cellStyle name="Uwaga 2 7 7 4" xfId="40657"/>
    <cellStyle name="Uwaga 2 7 8" xfId="40658"/>
    <cellStyle name="Uwaga 2 7 8 2" xfId="40659"/>
    <cellStyle name="Uwaga 2 7 8 3" xfId="40660"/>
    <cellStyle name="Uwaga 2 7 8 4" xfId="40661"/>
    <cellStyle name="Uwaga 2 7 9" xfId="40662"/>
    <cellStyle name="Uwaga 2 7 9 2" xfId="40663"/>
    <cellStyle name="Uwaga 2 7 9 3" xfId="40664"/>
    <cellStyle name="Uwaga 2 7 9 4" xfId="40665"/>
    <cellStyle name="Uwaga 2 70" xfId="40666"/>
    <cellStyle name="Uwaga 2 70 2" xfId="40667"/>
    <cellStyle name="Uwaga 2 70 3" xfId="40668"/>
    <cellStyle name="Uwaga 2 71" xfId="40669"/>
    <cellStyle name="Uwaga 2 71 2" xfId="40670"/>
    <cellStyle name="Uwaga 2 71 3" xfId="40671"/>
    <cellStyle name="Uwaga 2 72" xfId="40672"/>
    <cellStyle name="Uwaga 2 72 2" xfId="40673"/>
    <cellStyle name="Uwaga 2 72 3" xfId="40674"/>
    <cellStyle name="Uwaga 2 73" xfId="40675"/>
    <cellStyle name="Uwaga 2 73 2" xfId="40676"/>
    <cellStyle name="Uwaga 2 73 3" xfId="40677"/>
    <cellStyle name="Uwaga 2 74" xfId="40678"/>
    <cellStyle name="Uwaga 2 74 2" xfId="40679"/>
    <cellStyle name="Uwaga 2 74 3" xfId="40680"/>
    <cellStyle name="Uwaga 2 75" xfId="40681"/>
    <cellStyle name="Uwaga 2 75 2" xfId="40682"/>
    <cellStyle name="Uwaga 2 75 3" xfId="40683"/>
    <cellStyle name="Uwaga 2 76" xfId="40684"/>
    <cellStyle name="Uwaga 2 76 2" xfId="40685"/>
    <cellStyle name="Uwaga 2 76 3" xfId="40686"/>
    <cellStyle name="Uwaga 2 77" xfId="40687"/>
    <cellStyle name="Uwaga 2 77 2" xfId="40688"/>
    <cellStyle name="Uwaga 2 77 3" xfId="40689"/>
    <cellStyle name="Uwaga 2 78" xfId="40690"/>
    <cellStyle name="Uwaga 2 78 2" xfId="40691"/>
    <cellStyle name="Uwaga 2 78 3" xfId="40692"/>
    <cellStyle name="Uwaga 2 79" xfId="40693"/>
    <cellStyle name="Uwaga 2 79 2" xfId="40694"/>
    <cellStyle name="Uwaga 2 79 3" xfId="40695"/>
    <cellStyle name="Uwaga 2 8" xfId="40696"/>
    <cellStyle name="Uwaga 2 8 10" xfId="40697"/>
    <cellStyle name="Uwaga 2 8 10 2" xfId="40698"/>
    <cellStyle name="Uwaga 2 8 10 3" xfId="40699"/>
    <cellStyle name="Uwaga 2 8 10 4" xfId="40700"/>
    <cellStyle name="Uwaga 2 8 11" xfId="40701"/>
    <cellStyle name="Uwaga 2 8 11 2" xfId="40702"/>
    <cellStyle name="Uwaga 2 8 11 3" xfId="40703"/>
    <cellStyle name="Uwaga 2 8 11 4" xfId="40704"/>
    <cellStyle name="Uwaga 2 8 12" xfId="40705"/>
    <cellStyle name="Uwaga 2 8 12 2" xfId="40706"/>
    <cellStyle name="Uwaga 2 8 12 3" xfId="40707"/>
    <cellStyle name="Uwaga 2 8 12 4" xfId="40708"/>
    <cellStyle name="Uwaga 2 8 13" xfId="40709"/>
    <cellStyle name="Uwaga 2 8 13 2" xfId="40710"/>
    <cellStyle name="Uwaga 2 8 13 3" xfId="40711"/>
    <cellStyle name="Uwaga 2 8 13 4" xfId="40712"/>
    <cellStyle name="Uwaga 2 8 14" xfId="40713"/>
    <cellStyle name="Uwaga 2 8 14 2" xfId="40714"/>
    <cellStyle name="Uwaga 2 8 14 3" xfId="40715"/>
    <cellStyle name="Uwaga 2 8 14 4" xfId="40716"/>
    <cellStyle name="Uwaga 2 8 15" xfId="40717"/>
    <cellStyle name="Uwaga 2 8 15 2" xfId="40718"/>
    <cellStyle name="Uwaga 2 8 15 3" xfId="40719"/>
    <cellStyle name="Uwaga 2 8 15 4" xfId="40720"/>
    <cellStyle name="Uwaga 2 8 16" xfId="40721"/>
    <cellStyle name="Uwaga 2 8 16 2" xfId="40722"/>
    <cellStyle name="Uwaga 2 8 16 3" xfId="40723"/>
    <cellStyle name="Uwaga 2 8 16 4" xfId="40724"/>
    <cellStyle name="Uwaga 2 8 17" xfId="40725"/>
    <cellStyle name="Uwaga 2 8 17 2" xfId="40726"/>
    <cellStyle name="Uwaga 2 8 17 3" xfId="40727"/>
    <cellStyle name="Uwaga 2 8 17 4" xfId="40728"/>
    <cellStyle name="Uwaga 2 8 18" xfId="40729"/>
    <cellStyle name="Uwaga 2 8 18 2" xfId="40730"/>
    <cellStyle name="Uwaga 2 8 18 3" xfId="40731"/>
    <cellStyle name="Uwaga 2 8 18 4" xfId="40732"/>
    <cellStyle name="Uwaga 2 8 19" xfId="40733"/>
    <cellStyle name="Uwaga 2 8 19 2" xfId="40734"/>
    <cellStyle name="Uwaga 2 8 19 3" xfId="40735"/>
    <cellStyle name="Uwaga 2 8 19 4" xfId="40736"/>
    <cellStyle name="Uwaga 2 8 2" xfId="40737"/>
    <cellStyle name="Uwaga 2 8 2 2" xfId="40738"/>
    <cellStyle name="Uwaga 2 8 2 3" xfId="40739"/>
    <cellStyle name="Uwaga 2 8 2 4" xfId="40740"/>
    <cellStyle name="Uwaga 2 8 20" xfId="40741"/>
    <cellStyle name="Uwaga 2 8 20 2" xfId="40742"/>
    <cellStyle name="Uwaga 2 8 20 3" xfId="40743"/>
    <cellStyle name="Uwaga 2 8 20 4" xfId="40744"/>
    <cellStyle name="Uwaga 2 8 21" xfId="40745"/>
    <cellStyle name="Uwaga 2 8 21 2" xfId="40746"/>
    <cellStyle name="Uwaga 2 8 21 3" xfId="40747"/>
    <cellStyle name="Uwaga 2 8 22" xfId="40748"/>
    <cellStyle name="Uwaga 2 8 22 2" xfId="40749"/>
    <cellStyle name="Uwaga 2 8 22 3" xfId="40750"/>
    <cellStyle name="Uwaga 2 8 23" xfId="40751"/>
    <cellStyle name="Uwaga 2 8 23 2" xfId="40752"/>
    <cellStyle name="Uwaga 2 8 23 3" xfId="40753"/>
    <cellStyle name="Uwaga 2 8 24" xfId="40754"/>
    <cellStyle name="Uwaga 2 8 24 2" xfId="40755"/>
    <cellStyle name="Uwaga 2 8 24 3" xfId="40756"/>
    <cellStyle name="Uwaga 2 8 25" xfId="40757"/>
    <cellStyle name="Uwaga 2 8 25 2" xfId="40758"/>
    <cellStyle name="Uwaga 2 8 25 3" xfId="40759"/>
    <cellStyle name="Uwaga 2 8 26" xfId="40760"/>
    <cellStyle name="Uwaga 2 8 26 2" xfId="40761"/>
    <cellStyle name="Uwaga 2 8 26 3" xfId="40762"/>
    <cellStyle name="Uwaga 2 8 27" xfId="40763"/>
    <cellStyle name="Uwaga 2 8 27 2" xfId="40764"/>
    <cellStyle name="Uwaga 2 8 27 3" xfId="40765"/>
    <cellStyle name="Uwaga 2 8 28" xfId="40766"/>
    <cellStyle name="Uwaga 2 8 28 2" xfId="40767"/>
    <cellStyle name="Uwaga 2 8 28 3" xfId="40768"/>
    <cellStyle name="Uwaga 2 8 29" xfId="40769"/>
    <cellStyle name="Uwaga 2 8 29 2" xfId="40770"/>
    <cellStyle name="Uwaga 2 8 29 3" xfId="40771"/>
    <cellStyle name="Uwaga 2 8 3" xfId="40772"/>
    <cellStyle name="Uwaga 2 8 3 2" xfId="40773"/>
    <cellStyle name="Uwaga 2 8 3 3" xfId="40774"/>
    <cellStyle name="Uwaga 2 8 3 4" xfId="40775"/>
    <cellStyle name="Uwaga 2 8 30" xfId="40776"/>
    <cellStyle name="Uwaga 2 8 30 2" xfId="40777"/>
    <cellStyle name="Uwaga 2 8 30 3" xfId="40778"/>
    <cellStyle name="Uwaga 2 8 31" xfId="40779"/>
    <cellStyle name="Uwaga 2 8 31 2" xfId="40780"/>
    <cellStyle name="Uwaga 2 8 31 3" xfId="40781"/>
    <cellStyle name="Uwaga 2 8 32" xfId="40782"/>
    <cellStyle name="Uwaga 2 8 32 2" xfId="40783"/>
    <cellStyle name="Uwaga 2 8 32 3" xfId="40784"/>
    <cellStyle name="Uwaga 2 8 33" xfId="40785"/>
    <cellStyle name="Uwaga 2 8 33 2" xfId="40786"/>
    <cellStyle name="Uwaga 2 8 33 3" xfId="40787"/>
    <cellStyle name="Uwaga 2 8 34" xfId="40788"/>
    <cellStyle name="Uwaga 2 8 34 2" xfId="40789"/>
    <cellStyle name="Uwaga 2 8 34 3" xfId="40790"/>
    <cellStyle name="Uwaga 2 8 35" xfId="40791"/>
    <cellStyle name="Uwaga 2 8 35 2" xfId="40792"/>
    <cellStyle name="Uwaga 2 8 35 3" xfId="40793"/>
    <cellStyle name="Uwaga 2 8 36" xfId="40794"/>
    <cellStyle name="Uwaga 2 8 36 2" xfId="40795"/>
    <cellStyle name="Uwaga 2 8 36 3" xfId="40796"/>
    <cellStyle name="Uwaga 2 8 37" xfId="40797"/>
    <cellStyle name="Uwaga 2 8 37 2" xfId="40798"/>
    <cellStyle name="Uwaga 2 8 37 3" xfId="40799"/>
    <cellStyle name="Uwaga 2 8 38" xfId="40800"/>
    <cellStyle name="Uwaga 2 8 38 2" xfId="40801"/>
    <cellStyle name="Uwaga 2 8 38 3" xfId="40802"/>
    <cellStyle name="Uwaga 2 8 39" xfId="40803"/>
    <cellStyle name="Uwaga 2 8 39 2" xfId="40804"/>
    <cellStyle name="Uwaga 2 8 39 3" xfId="40805"/>
    <cellStyle name="Uwaga 2 8 4" xfId="40806"/>
    <cellStyle name="Uwaga 2 8 4 2" xfId="40807"/>
    <cellStyle name="Uwaga 2 8 4 3" xfId="40808"/>
    <cellStyle name="Uwaga 2 8 4 4" xfId="40809"/>
    <cellStyle name="Uwaga 2 8 40" xfId="40810"/>
    <cellStyle name="Uwaga 2 8 40 2" xfId="40811"/>
    <cellStyle name="Uwaga 2 8 40 3" xfId="40812"/>
    <cellStyle name="Uwaga 2 8 41" xfId="40813"/>
    <cellStyle name="Uwaga 2 8 41 2" xfId="40814"/>
    <cellStyle name="Uwaga 2 8 41 3" xfId="40815"/>
    <cellStyle name="Uwaga 2 8 42" xfId="40816"/>
    <cellStyle name="Uwaga 2 8 42 2" xfId="40817"/>
    <cellStyle name="Uwaga 2 8 42 3" xfId="40818"/>
    <cellStyle name="Uwaga 2 8 43" xfId="40819"/>
    <cellStyle name="Uwaga 2 8 43 2" xfId="40820"/>
    <cellStyle name="Uwaga 2 8 43 3" xfId="40821"/>
    <cellStyle name="Uwaga 2 8 44" xfId="40822"/>
    <cellStyle name="Uwaga 2 8 44 2" xfId="40823"/>
    <cellStyle name="Uwaga 2 8 44 3" xfId="40824"/>
    <cellStyle name="Uwaga 2 8 45" xfId="40825"/>
    <cellStyle name="Uwaga 2 8 45 2" xfId="40826"/>
    <cellStyle name="Uwaga 2 8 45 3" xfId="40827"/>
    <cellStyle name="Uwaga 2 8 46" xfId="40828"/>
    <cellStyle name="Uwaga 2 8 46 2" xfId="40829"/>
    <cellStyle name="Uwaga 2 8 46 3" xfId="40830"/>
    <cellStyle name="Uwaga 2 8 47" xfId="40831"/>
    <cellStyle name="Uwaga 2 8 47 2" xfId="40832"/>
    <cellStyle name="Uwaga 2 8 47 3" xfId="40833"/>
    <cellStyle name="Uwaga 2 8 48" xfId="40834"/>
    <cellStyle name="Uwaga 2 8 48 2" xfId="40835"/>
    <cellStyle name="Uwaga 2 8 48 3" xfId="40836"/>
    <cellStyle name="Uwaga 2 8 49" xfId="40837"/>
    <cellStyle name="Uwaga 2 8 49 2" xfId="40838"/>
    <cellStyle name="Uwaga 2 8 49 3" xfId="40839"/>
    <cellStyle name="Uwaga 2 8 5" xfId="40840"/>
    <cellStyle name="Uwaga 2 8 5 2" xfId="40841"/>
    <cellStyle name="Uwaga 2 8 5 3" xfId="40842"/>
    <cellStyle name="Uwaga 2 8 5 4" xfId="40843"/>
    <cellStyle name="Uwaga 2 8 50" xfId="40844"/>
    <cellStyle name="Uwaga 2 8 50 2" xfId="40845"/>
    <cellStyle name="Uwaga 2 8 50 3" xfId="40846"/>
    <cellStyle name="Uwaga 2 8 51" xfId="40847"/>
    <cellStyle name="Uwaga 2 8 51 2" xfId="40848"/>
    <cellStyle name="Uwaga 2 8 51 3" xfId="40849"/>
    <cellStyle name="Uwaga 2 8 52" xfId="40850"/>
    <cellStyle name="Uwaga 2 8 52 2" xfId="40851"/>
    <cellStyle name="Uwaga 2 8 52 3" xfId="40852"/>
    <cellStyle name="Uwaga 2 8 53" xfId="40853"/>
    <cellStyle name="Uwaga 2 8 53 2" xfId="40854"/>
    <cellStyle name="Uwaga 2 8 53 3" xfId="40855"/>
    <cellStyle name="Uwaga 2 8 54" xfId="40856"/>
    <cellStyle name="Uwaga 2 8 54 2" xfId="40857"/>
    <cellStyle name="Uwaga 2 8 54 3" xfId="40858"/>
    <cellStyle name="Uwaga 2 8 55" xfId="40859"/>
    <cellStyle name="Uwaga 2 8 55 2" xfId="40860"/>
    <cellStyle name="Uwaga 2 8 55 3" xfId="40861"/>
    <cellStyle name="Uwaga 2 8 56" xfId="40862"/>
    <cellStyle name="Uwaga 2 8 56 2" xfId="40863"/>
    <cellStyle name="Uwaga 2 8 56 3" xfId="40864"/>
    <cellStyle name="Uwaga 2 8 57" xfId="40865"/>
    <cellStyle name="Uwaga 2 8 58" xfId="40866"/>
    <cellStyle name="Uwaga 2 8 6" xfId="40867"/>
    <cellStyle name="Uwaga 2 8 6 2" xfId="40868"/>
    <cellStyle name="Uwaga 2 8 6 3" xfId="40869"/>
    <cellStyle name="Uwaga 2 8 6 4" xfId="40870"/>
    <cellStyle name="Uwaga 2 8 7" xfId="40871"/>
    <cellStyle name="Uwaga 2 8 7 2" xfId="40872"/>
    <cellStyle name="Uwaga 2 8 7 3" xfId="40873"/>
    <cellStyle name="Uwaga 2 8 7 4" xfId="40874"/>
    <cellStyle name="Uwaga 2 8 8" xfId="40875"/>
    <cellStyle name="Uwaga 2 8 8 2" xfId="40876"/>
    <cellStyle name="Uwaga 2 8 8 3" xfId="40877"/>
    <cellStyle name="Uwaga 2 8 8 4" xfId="40878"/>
    <cellStyle name="Uwaga 2 8 9" xfId="40879"/>
    <cellStyle name="Uwaga 2 8 9 2" xfId="40880"/>
    <cellStyle name="Uwaga 2 8 9 3" xfId="40881"/>
    <cellStyle name="Uwaga 2 8 9 4" xfId="40882"/>
    <cellStyle name="Uwaga 2 80" xfId="40883"/>
    <cellStyle name="Uwaga 2 80 2" xfId="40884"/>
    <cellStyle name="Uwaga 2 80 3" xfId="40885"/>
    <cellStyle name="Uwaga 2 81" xfId="40886"/>
    <cellStyle name="Uwaga 2 81 2" xfId="40887"/>
    <cellStyle name="Uwaga 2 81 3" xfId="40888"/>
    <cellStyle name="Uwaga 2 82" xfId="40889"/>
    <cellStyle name="Uwaga 2 82 2" xfId="40890"/>
    <cellStyle name="Uwaga 2 82 3" xfId="40891"/>
    <cellStyle name="Uwaga 2 83" xfId="40892"/>
    <cellStyle name="Uwaga 2 83 2" xfId="40893"/>
    <cellStyle name="Uwaga 2 83 3" xfId="40894"/>
    <cellStyle name="Uwaga 2 84" xfId="40895"/>
    <cellStyle name="Uwaga 2 84 2" xfId="40896"/>
    <cellStyle name="Uwaga 2 84 3" xfId="40897"/>
    <cellStyle name="Uwaga 2 85" xfId="40898"/>
    <cellStyle name="Uwaga 2 85 2" xfId="40899"/>
    <cellStyle name="Uwaga 2 85 3" xfId="40900"/>
    <cellStyle name="Uwaga 2 86" xfId="40901"/>
    <cellStyle name="Uwaga 2 86 2" xfId="40902"/>
    <cellStyle name="Uwaga 2 86 3" xfId="40903"/>
    <cellStyle name="Uwaga 2 87" xfId="40904"/>
    <cellStyle name="Uwaga 2 87 2" xfId="40905"/>
    <cellStyle name="Uwaga 2 87 3" xfId="40906"/>
    <cellStyle name="Uwaga 2 88" xfId="40907"/>
    <cellStyle name="Uwaga 2 88 2" xfId="40908"/>
    <cellStyle name="Uwaga 2 88 3" xfId="40909"/>
    <cellStyle name="Uwaga 2 89" xfId="40910"/>
    <cellStyle name="Uwaga 2 89 2" xfId="40911"/>
    <cellStyle name="Uwaga 2 89 3" xfId="40912"/>
    <cellStyle name="Uwaga 2 9" xfId="40913"/>
    <cellStyle name="Uwaga 2 9 10" xfId="40914"/>
    <cellStyle name="Uwaga 2 9 10 2" xfId="40915"/>
    <cellStyle name="Uwaga 2 9 10 3" xfId="40916"/>
    <cellStyle name="Uwaga 2 9 10 4" xfId="40917"/>
    <cellStyle name="Uwaga 2 9 11" xfId="40918"/>
    <cellStyle name="Uwaga 2 9 11 2" xfId="40919"/>
    <cellStyle name="Uwaga 2 9 11 3" xfId="40920"/>
    <cellStyle name="Uwaga 2 9 11 4" xfId="40921"/>
    <cellStyle name="Uwaga 2 9 12" xfId="40922"/>
    <cellStyle name="Uwaga 2 9 12 2" xfId="40923"/>
    <cellStyle name="Uwaga 2 9 12 3" xfId="40924"/>
    <cellStyle name="Uwaga 2 9 12 4" xfId="40925"/>
    <cellStyle name="Uwaga 2 9 13" xfId="40926"/>
    <cellStyle name="Uwaga 2 9 13 2" xfId="40927"/>
    <cellStyle name="Uwaga 2 9 13 3" xfId="40928"/>
    <cellStyle name="Uwaga 2 9 13 4" xfId="40929"/>
    <cellStyle name="Uwaga 2 9 14" xfId="40930"/>
    <cellStyle name="Uwaga 2 9 14 2" xfId="40931"/>
    <cellStyle name="Uwaga 2 9 14 3" xfId="40932"/>
    <cellStyle name="Uwaga 2 9 14 4" xfId="40933"/>
    <cellStyle name="Uwaga 2 9 15" xfId="40934"/>
    <cellStyle name="Uwaga 2 9 15 2" xfId="40935"/>
    <cellStyle name="Uwaga 2 9 15 3" xfId="40936"/>
    <cellStyle name="Uwaga 2 9 15 4" xfId="40937"/>
    <cellStyle name="Uwaga 2 9 16" xfId="40938"/>
    <cellStyle name="Uwaga 2 9 16 2" xfId="40939"/>
    <cellStyle name="Uwaga 2 9 16 3" xfId="40940"/>
    <cellStyle name="Uwaga 2 9 16 4" xfId="40941"/>
    <cellStyle name="Uwaga 2 9 17" xfId="40942"/>
    <cellStyle name="Uwaga 2 9 17 2" xfId="40943"/>
    <cellStyle name="Uwaga 2 9 17 3" xfId="40944"/>
    <cellStyle name="Uwaga 2 9 17 4" xfId="40945"/>
    <cellStyle name="Uwaga 2 9 18" xfId="40946"/>
    <cellStyle name="Uwaga 2 9 18 2" xfId="40947"/>
    <cellStyle name="Uwaga 2 9 18 3" xfId="40948"/>
    <cellStyle name="Uwaga 2 9 18 4" xfId="40949"/>
    <cellStyle name="Uwaga 2 9 19" xfId="40950"/>
    <cellStyle name="Uwaga 2 9 19 2" xfId="40951"/>
    <cellStyle name="Uwaga 2 9 19 3" xfId="40952"/>
    <cellStyle name="Uwaga 2 9 19 4" xfId="40953"/>
    <cellStyle name="Uwaga 2 9 2" xfId="40954"/>
    <cellStyle name="Uwaga 2 9 2 2" xfId="40955"/>
    <cellStyle name="Uwaga 2 9 2 3" xfId="40956"/>
    <cellStyle name="Uwaga 2 9 2 4" xfId="40957"/>
    <cellStyle name="Uwaga 2 9 20" xfId="40958"/>
    <cellStyle name="Uwaga 2 9 20 2" xfId="40959"/>
    <cellStyle name="Uwaga 2 9 20 3" xfId="40960"/>
    <cellStyle name="Uwaga 2 9 20 4" xfId="40961"/>
    <cellStyle name="Uwaga 2 9 21" xfId="40962"/>
    <cellStyle name="Uwaga 2 9 21 2" xfId="40963"/>
    <cellStyle name="Uwaga 2 9 21 3" xfId="40964"/>
    <cellStyle name="Uwaga 2 9 22" xfId="40965"/>
    <cellStyle name="Uwaga 2 9 22 2" xfId="40966"/>
    <cellStyle name="Uwaga 2 9 22 3" xfId="40967"/>
    <cellStyle name="Uwaga 2 9 23" xfId="40968"/>
    <cellStyle name="Uwaga 2 9 23 2" xfId="40969"/>
    <cellStyle name="Uwaga 2 9 23 3" xfId="40970"/>
    <cellStyle name="Uwaga 2 9 24" xfId="40971"/>
    <cellStyle name="Uwaga 2 9 24 2" xfId="40972"/>
    <cellStyle name="Uwaga 2 9 24 3" xfId="40973"/>
    <cellStyle name="Uwaga 2 9 25" xfId="40974"/>
    <cellStyle name="Uwaga 2 9 25 2" xfId="40975"/>
    <cellStyle name="Uwaga 2 9 25 3" xfId="40976"/>
    <cellStyle name="Uwaga 2 9 26" xfId="40977"/>
    <cellStyle name="Uwaga 2 9 26 2" xfId="40978"/>
    <cellStyle name="Uwaga 2 9 26 3" xfId="40979"/>
    <cellStyle name="Uwaga 2 9 27" xfId="40980"/>
    <cellStyle name="Uwaga 2 9 27 2" xfId="40981"/>
    <cellStyle name="Uwaga 2 9 27 3" xfId="40982"/>
    <cellStyle name="Uwaga 2 9 28" xfId="40983"/>
    <cellStyle name="Uwaga 2 9 28 2" xfId="40984"/>
    <cellStyle name="Uwaga 2 9 28 3" xfId="40985"/>
    <cellStyle name="Uwaga 2 9 29" xfId="40986"/>
    <cellStyle name="Uwaga 2 9 29 2" xfId="40987"/>
    <cellStyle name="Uwaga 2 9 29 3" xfId="40988"/>
    <cellStyle name="Uwaga 2 9 3" xfId="40989"/>
    <cellStyle name="Uwaga 2 9 3 2" xfId="40990"/>
    <cellStyle name="Uwaga 2 9 3 3" xfId="40991"/>
    <cellStyle name="Uwaga 2 9 3 4" xfId="40992"/>
    <cellStyle name="Uwaga 2 9 30" xfId="40993"/>
    <cellStyle name="Uwaga 2 9 30 2" xfId="40994"/>
    <cellStyle name="Uwaga 2 9 30 3" xfId="40995"/>
    <cellStyle name="Uwaga 2 9 31" xfId="40996"/>
    <cellStyle name="Uwaga 2 9 31 2" xfId="40997"/>
    <cellStyle name="Uwaga 2 9 31 3" xfId="40998"/>
    <cellStyle name="Uwaga 2 9 32" xfId="40999"/>
    <cellStyle name="Uwaga 2 9 32 2" xfId="41000"/>
    <cellStyle name="Uwaga 2 9 32 3" xfId="41001"/>
    <cellStyle name="Uwaga 2 9 33" xfId="41002"/>
    <cellStyle name="Uwaga 2 9 33 2" xfId="41003"/>
    <cellStyle name="Uwaga 2 9 33 3" xfId="41004"/>
    <cellStyle name="Uwaga 2 9 34" xfId="41005"/>
    <cellStyle name="Uwaga 2 9 34 2" xfId="41006"/>
    <cellStyle name="Uwaga 2 9 34 3" xfId="41007"/>
    <cellStyle name="Uwaga 2 9 35" xfId="41008"/>
    <cellStyle name="Uwaga 2 9 35 2" xfId="41009"/>
    <cellStyle name="Uwaga 2 9 35 3" xfId="41010"/>
    <cellStyle name="Uwaga 2 9 36" xfId="41011"/>
    <cellStyle name="Uwaga 2 9 36 2" xfId="41012"/>
    <cellStyle name="Uwaga 2 9 36 3" xfId="41013"/>
    <cellStyle name="Uwaga 2 9 37" xfId="41014"/>
    <cellStyle name="Uwaga 2 9 37 2" xfId="41015"/>
    <cellStyle name="Uwaga 2 9 37 3" xfId="41016"/>
    <cellStyle name="Uwaga 2 9 38" xfId="41017"/>
    <cellStyle name="Uwaga 2 9 38 2" xfId="41018"/>
    <cellStyle name="Uwaga 2 9 38 3" xfId="41019"/>
    <cellStyle name="Uwaga 2 9 39" xfId="41020"/>
    <cellStyle name="Uwaga 2 9 39 2" xfId="41021"/>
    <cellStyle name="Uwaga 2 9 39 3" xfId="41022"/>
    <cellStyle name="Uwaga 2 9 4" xfId="41023"/>
    <cellStyle name="Uwaga 2 9 4 2" xfId="41024"/>
    <cellStyle name="Uwaga 2 9 4 3" xfId="41025"/>
    <cellStyle name="Uwaga 2 9 4 4" xfId="41026"/>
    <cellStyle name="Uwaga 2 9 40" xfId="41027"/>
    <cellStyle name="Uwaga 2 9 40 2" xfId="41028"/>
    <cellStyle name="Uwaga 2 9 40 3" xfId="41029"/>
    <cellStyle name="Uwaga 2 9 41" xfId="41030"/>
    <cellStyle name="Uwaga 2 9 41 2" xfId="41031"/>
    <cellStyle name="Uwaga 2 9 41 3" xfId="41032"/>
    <cellStyle name="Uwaga 2 9 42" xfId="41033"/>
    <cellStyle name="Uwaga 2 9 42 2" xfId="41034"/>
    <cellStyle name="Uwaga 2 9 42 3" xfId="41035"/>
    <cellStyle name="Uwaga 2 9 43" xfId="41036"/>
    <cellStyle name="Uwaga 2 9 43 2" xfId="41037"/>
    <cellStyle name="Uwaga 2 9 43 3" xfId="41038"/>
    <cellStyle name="Uwaga 2 9 44" xfId="41039"/>
    <cellStyle name="Uwaga 2 9 44 2" xfId="41040"/>
    <cellStyle name="Uwaga 2 9 44 3" xfId="41041"/>
    <cellStyle name="Uwaga 2 9 45" xfId="41042"/>
    <cellStyle name="Uwaga 2 9 45 2" xfId="41043"/>
    <cellStyle name="Uwaga 2 9 45 3" xfId="41044"/>
    <cellStyle name="Uwaga 2 9 46" xfId="41045"/>
    <cellStyle name="Uwaga 2 9 46 2" xfId="41046"/>
    <cellStyle name="Uwaga 2 9 46 3" xfId="41047"/>
    <cellStyle name="Uwaga 2 9 47" xfId="41048"/>
    <cellStyle name="Uwaga 2 9 47 2" xfId="41049"/>
    <cellStyle name="Uwaga 2 9 47 3" xfId="41050"/>
    <cellStyle name="Uwaga 2 9 48" xfId="41051"/>
    <cellStyle name="Uwaga 2 9 48 2" xfId="41052"/>
    <cellStyle name="Uwaga 2 9 48 3" xfId="41053"/>
    <cellStyle name="Uwaga 2 9 49" xfId="41054"/>
    <cellStyle name="Uwaga 2 9 49 2" xfId="41055"/>
    <cellStyle name="Uwaga 2 9 49 3" xfId="41056"/>
    <cellStyle name="Uwaga 2 9 5" xfId="41057"/>
    <cellStyle name="Uwaga 2 9 5 2" xfId="41058"/>
    <cellStyle name="Uwaga 2 9 5 3" xfId="41059"/>
    <cellStyle name="Uwaga 2 9 5 4" xfId="41060"/>
    <cellStyle name="Uwaga 2 9 50" xfId="41061"/>
    <cellStyle name="Uwaga 2 9 50 2" xfId="41062"/>
    <cellStyle name="Uwaga 2 9 50 3" xfId="41063"/>
    <cellStyle name="Uwaga 2 9 51" xfId="41064"/>
    <cellStyle name="Uwaga 2 9 51 2" xfId="41065"/>
    <cellStyle name="Uwaga 2 9 51 3" xfId="41066"/>
    <cellStyle name="Uwaga 2 9 52" xfId="41067"/>
    <cellStyle name="Uwaga 2 9 52 2" xfId="41068"/>
    <cellStyle name="Uwaga 2 9 52 3" xfId="41069"/>
    <cellStyle name="Uwaga 2 9 53" xfId="41070"/>
    <cellStyle name="Uwaga 2 9 53 2" xfId="41071"/>
    <cellStyle name="Uwaga 2 9 53 3" xfId="41072"/>
    <cellStyle name="Uwaga 2 9 54" xfId="41073"/>
    <cellStyle name="Uwaga 2 9 54 2" xfId="41074"/>
    <cellStyle name="Uwaga 2 9 54 3" xfId="41075"/>
    <cellStyle name="Uwaga 2 9 55" xfId="41076"/>
    <cellStyle name="Uwaga 2 9 55 2" xfId="41077"/>
    <cellStyle name="Uwaga 2 9 55 3" xfId="41078"/>
    <cellStyle name="Uwaga 2 9 56" xfId="41079"/>
    <cellStyle name="Uwaga 2 9 56 2" xfId="41080"/>
    <cellStyle name="Uwaga 2 9 56 3" xfId="41081"/>
    <cellStyle name="Uwaga 2 9 57" xfId="41082"/>
    <cellStyle name="Uwaga 2 9 58" xfId="41083"/>
    <cellStyle name="Uwaga 2 9 6" xfId="41084"/>
    <cellStyle name="Uwaga 2 9 6 2" xfId="41085"/>
    <cellStyle name="Uwaga 2 9 6 3" xfId="41086"/>
    <cellStyle name="Uwaga 2 9 6 4" xfId="41087"/>
    <cellStyle name="Uwaga 2 9 7" xfId="41088"/>
    <cellStyle name="Uwaga 2 9 7 2" xfId="41089"/>
    <cellStyle name="Uwaga 2 9 7 3" xfId="41090"/>
    <cellStyle name="Uwaga 2 9 7 4" xfId="41091"/>
    <cellStyle name="Uwaga 2 9 8" xfId="41092"/>
    <cellStyle name="Uwaga 2 9 8 2" xfId="41093"/>
    <cellStyle name="Uwaga 2 9 8 3" xfId="41094"/>
    <cellStyle name="Uwaga 2 9 8 4" xfId="41095"/>
    <cellStyle name="Uwaga 2 9 9" xfId="41096"/>
    <cellStyle name="Uwaga 2 9 9 2" xfId="41097"/>
    <cellStyle name="Uwaga 2 9 9 3" xfId="41098"/>
    <cellStyle name="Uwaga 2 9 9 4" xfId="41099"/>
    <cellStyle name="Uwaga 2 90" xfId="41100"/>
    <cellStyle name="Uwaga 2 91" xfId="41101"/>
    <cellStyle name="Uwaga 20" xfId="41102"/>
    <cellStyle name="Uwaga 21" xfId="41103"/>
    <cellStyle name="Uwaga 22" xfId="41104"/>
    <cellStyle name="Uwaga 23" xfId="41105"/>
    <cellStyle name="Uwaga 24" xfId="41106"/>
    <cellStyle name="Uwaga 25" xfId="41107"/>
    <cellStyle name="Uwaga 26" xfId="41108"/>
    <cellStyle name="Uwaga 27" xfId="41109"/>
    <cellStyle name="Uwaga 28" xfId="41110"/>
    <cellStyle name="Uwaga 29" xfId="41111"/>
    <cellStyle name="Uwaga 3" xfId="41112"/>
    <cellStyle name="Uwaga 3 10" xfId="41113"/>
    <cellStyle name="Uwaga 3 10 2" xfId="41114"/>
    <cellStyle name="Uwaga 3 11" xfId="41115"/>
    <cellStyle name="Uwaga 3 11 2" xfId="41116"/>
    <cellStyle name="Uwaga 3 12" xfId="41117"/>
    <cellStyle name="Uwaga 3 12 2" xfId="41118"/>
    <cellStyle name="Uwaga 3 13" xfId="41119"/>
    <cellStyle name="Uwaga 3 13 2" xfId="41120"/>
    <cellStyle name="Uwaga 3 14" xfId="41121"/>
    <cellStyle name="Uwaga 3 14 2" xfId="41122"/>
    <cellStyle name="Uwaga 3 15" xfId="41123"/>
    <cellStyle name="Uwaga 3 15 2" xfId="41124"/>
    <cellStyle name="Uwaga 3 16" xfId="41125"/>
    <cellStyle name="Uwaga 3 16 2" xfId="41126"/>
    <cellStyle name="Uwaga 3 17" xfId="41127"/>
    <cellStyle name="Uwaga 3 17 2" xfId="41128"/>
    <cellStyle name="Uwaga 3 18" xfId="41129"/>
    <cellStyle name="Uwaga 3 18 2" xfId="41130"/>
    <cellStyle name="Uwaga 3 19" xfId="41131"/>
    <cellStyle name="Uwaga 3 19 2" xfId="41132"/>
    <cellStyle name="Uwaga 3 2" xfId="41133"/>
    <cellStyle name="Uwaga 3 2 10" xfId="41134"/>
    <cellStyle name="Uwaga 3 2 10 2" xfId="41135"/>
    <cellStyle name="Uwaga 3 2 11" xfId="41136"/>
    <cellStyle name="Uwaga 3 2 11 2" xfId="41137"/>
    <cellStyle name="Uwaga 3 2 12" xfId="41138"/>
    <cellStyle name="Uwaga 3 2 12 2" xfId="41139"/>
    <cellStyle name="Uwaga 3 2 13" xfId="41140"/>
    <cellStyle name="Uwaga 3 2 13 2" xfId="41141"/>
    <cellStyle name="Uwaga 3 2 14" xfId="41142"/>
    <cellStyle name="Uwaga 3 2 14 2" xfId="41143"/>
    <cellStyle name="Uwaga 3 2 15" xfId="41144"/>
    <cellStyle name="Uwaga 3 2 15 2" xfId="41145"/>
    <cellStyle name="Uwaga 3 2 16" xfId="41146"/>
    <cellStyle name="Uwaga 3 2 16 2" xfId="41147"/>
    <cellStyle name="Uwaga 3 2 17" xfId="41148"/>
    <cellStyle name="Uwaga 3 2 17 2" xfId="41149"/>
    <cellStyle name="Uwaga 3 2 18" xfId="41150"/>
    <cellStyle name="Uwaga 3 2 18 2" xfId="41151"/>
    <cellStyle name="Uwaga 3 2 19" xfId="41152"/>
    <cellStyle name="Uwaga 3 2 19 2" xfId="41153"/>
    <cellStyle name="Uwaga 3 2 2" xfId="41154"/>
    <cellStyle name="Uwaga 3 2 2 10" xfId="41155"/>
    <cellStyle name="Uwaga 3 2 2 11" xfId="41156"/>
    <cellStyle name="Uwaga 3 2 2 12" xfId="41157"/>
    <cellStyle name="Uwaga 3 2 2 13" xfId="41158"/>
    <cellStyle name="Uwaga 3 2 2 14" xfId="41159"/>
    <cellStyle name="Uwaga 3 2 2 15" xfId="41160"/>
    <cellStyle name="Uwaga 3 2 2 16" xfId="41161"/>
    <cellStyle name="Uwaga 3 2 2 17" xfId="41162"/>
    <cellStyle name="Uwaga 3 2 2 18" xfId="41163"/>
    <cellStyle name="Uwaga 3 2 2 19" xfId="41164"/>
    <cellStyle name="Uwaga 3 2 2 2" xfId="41165"/>
    <cellStyle name="Uwaga 3 2 2 3" xfId="41166"/>
    <cellStyle name="Uwaga 3 2 2 4" xfId="41167"/>
    <cellStyle name="Uwaga 3 2 2 5" xfId="41168"/>
    <cellStyle name="Uwaga 3 2 2 6" xfId="41169"/>
    <cellStyle name="Uwaga 3 2 2 7" xfId="41170"/>
    <cellStyle name="Uwaga 3 2 2 8" xfId="41171"/>
    <cellStyle name="Uwaga 3 2 2 9" xfId="41172"/>
    <cellStyle name="Uwaga 3 2 20" xfId="41173"/>
    <cellStyle name="Uwaga 3 2 20 2" xfId="41174"/>
    <cellStyle name="Uwaga 3 2 21" xfId="41175"/>
    <cellStyle name="Uwaga 3 2 21 2" xfId="41176"/>
    <cellStyle name="Uwaga 3 2 22" xfId="41177"/>
    <cellStyle name="Uwaga 3 2 22 2" xfId="41178"/>
    <cellStyle name="Uwaga 3 2 23" xfId="41179"/>
    <cellStyle name="Uwaga 3 2 23 2" xfId="41180"/>
    <cellStyle name="Uwaga 3 2 24" xfId="41181"/>
    <cellStyle name="Uwaga 3 2 24 2" xfId="41182"/>
    <cellStyle name="Uwaga 3 2 25" xfId="41183"/>
    <cellStyle name="Uwaga 3 2 25 2" xfId="41184"/>
    <cellStyle name="Uwaga 3 2 26" xfId="41185"/>
    <cellStyle name="Uwaga 3 2 26 2" xfId="41186"/>
    <cellStyle name="Uwaga 3 2 27" xfId="41187"/>
    <cellStyle name="Uwaga 3 2 27 2" xfId="41188"/>
    <cellStyle name="Uwaga 3 2 28" xfId="41189"/>
    <cellStyle name="Uwaga 3 2 28 2" xfId="41190"/>
    <cellStyle name="Uwaga 3 2 29" xfId="41191"/>
    <cellStyle name="Uwaga 3 2 29 2" xfId="41192"/>
    <cellStyle name="Uwaga 3 2 3" xfId="41193"/>
    <cellStyle name="Uwaga 3 2 3 10" xfId="41194"/>
    <cellStyle name="Uwaga 3 2 3 11" xfId="41195"/>
    <cellStyle name="Uwaga 3 2 3 12" xfId="41196"/>
    <cellStyle name="Uwaga 3 2 3 13" xfId="41197"/>
    <cellStyle name="Uwaga 3 2 3 14" xfId="41198"/>
    <cellStyle name="Uwaga 3 2 3 15" xfId="41199"/>
    <cellStyle name="Uwaga 3 2 3 16" xfId="41200"/>
    <cellStyle name="Uwaga 3 2 3 17" xfId="41201"/>
    <cellStyle name="Uwaga 3 2 3 18" xfId="41202"/>
    <cellStyle name="Uwaga 3 2 3 19" xfId="41203"/>
    <cellStyle name="Uwaga 3 2 3 2" xfId="41204"/>
    <cellStyle name="Uwaga 3 2 3 3" xfId="41205"/>
    <cellStyle name="Uwaga 3 2 3 4" xfId="41206"/>
    <cellStyle name="Uwaga 3 2 3 5" xfId="41207"/>
    <cellStyle name="Uwaga 3 2 3 6" xfId="41208"/>
    <cellStyle name="Uwaga 3 2 3 7" xfId="41209"/>
    <cellStyle name="Uwaga 3 2 3 8" xfId="41210"/>
    <cellStyle name="Uwaga 3 2 3 9" xfId="41211"/>
    <cellStyle name="Uwaga 3 2 30" xfId="41212"/>
    <cellStyle name="Uwaga 3 2 30 2" xfId="41213"/>
    <cellStyle name="Uwaga 3 2 31" xfId="41214"/>
    <cellStyle name="Uwaga 3 2 31 2" xfId="41215"/>
    <cellStyle name="Uwaga 3 2 32" xfId="41216"/>
    <cellStyle name="Uwaga 3 2 33" xfId="41217"/>
    <cellStyle name="Uwaga 3 2 34" xfId="41218"/>
    <cellStyle name="Uwaga 3 2 35" xfId="41219"/>
    <cellStyle name="Uwaga 3 2 36" xfId="41220"/>
    <cellStyle name="Uwaga 3 2 37" xfId="41221"/>
    <cellStyle name="Uwaga 3 2 38" xfId="41222"/>
    <cellStyle name="Uwaga 3 2 39" xfId="41223"/>
    <cellStyle name="Uwaga 3 2 4" xfId="41224"/>
    <cellStyle name="Uwaga 3 2 4 10" xfId="41225"/>
    <cellStyle name="Uwaga 3 2 4 11" xfId="41226"/>
    <cellStyle name="Uwaga 3 2 4 12" xfId="41227"/>
    <cellStyle name="Uwaga 3 2 4 13" xfId="41228"/>
    <cellStyle name="Uwaga 3 2 4 14" xfId="41229"/>
    <cellStyle name="Uwaga 3 2 4 15" xfId="41230"/>
    <cellStyle name="Uwaga 3 2 4 16" xfId="41231"/>
    <cellStyle name="Uwaga 3 2 4 17" xfId="41232"/>
    <cellStyle name="Uwaga 3 2 4 18" xfId="41233"/>
    <cellStyle name="Uwaga 3 2 4 19" xfId="41234"/>
    <cellStyle name="Uwaga 3 2 4 2" xfId="41235"/>
    <cellStyle name="Uwaga 3 2 4 3" xfId="41236"/>
    <cellStyle name="Uwaga 3 2 4 4" xfId="41237"/>
    <cellStyle name="Uwaga 3 2 4 5" xfId="41238"/>
    <cellStyle name="Uwaga 3 2 4 6" xfId="41239"/>
    <cellStyle name="Uwaga 3 2 4 7" xfId="41240"/>
    <cellStyle name="Uwaga 3 2 4 8" xfId="41241"/>
    <cellStyle name="Uwaga 3 2 4 9" xfId="41242"/>
    <cellStyle name="Uwaga 3 2 40" xfId="41243"/>
    <cellStyle name="Uwaga 3 2 41" xfId="41244"/>
    <cellStyle name="Uwaga 3 2 42" xfId="41245"/>
    <cellStyle name="Uwaga 3 2 43" xfId="41246"/>
    <cellStyle name="Uwaga 3 2 44" xfId="41247"/>
    <cellStyle name="Uwaga 3 2 45" xfId="41248"/>
    <cellStyle name="Uwaga 3 2 46" xfId="41249"/>
    <cellStyle name="Uwaga 3 2 47" xfId="41250"/>
    <cellStyle name="Uwaga 3 2 48" xfId="41251"/>
    <cellStyle name="Uwaga 3 2 49" xfId="41252"/>
    <cellStyle name="Uwaga 3 2 5" xfId="41253"/>
    <cellStyle name="Uwaga 3 2 5 10" xfId="41254"/>
    <cellStyle name="Uwaga 3 2 5 11" xfId="41255"/>
    <cellStyle name="Uwaga 3 2 5 12" xfId="41256"/>
    <cellStyle name="Uwaga 3 2 5 13" xfId="41257"/>
    <cellStyle name="Uwaga 3 2 5 14" xfId="41258"/>
    <cellStyle name="Uwaga 3 2 5 15" xfId="41259"/>
    <cellStyle name="Uwaga 3 2 5 16" xfId="41260"/>
    <cellStyle name="Uwaga 3 2 5 17" xfId="41261"/>
    <cellStyle name="Uwaga 3 2 5 18" xfId="41262"/>
    <cellStyle name="Uwaga 3 2 5 19" xfId="41263"/>
    <cellStyle name="Uwaga 3 2 5 2" xfId="41264"/>
    <cellStyle name="Uwaga 3 2 5 3" xfId="41265"/>
    <cellStyle name="Uwaga 3 2 5 4" xfId="41266"/>
    <cellStyle name="Uwaga 3 2 5 5" xfId="41267"/>
    <cellStyle name="Uwaga 3 2 5 6" xfId="41268"/>
    <cellStyle name="Uwaga 3 2 5 7" xfId="41269"/>
    <cellStyle name="Uwaga 3 2 5 8" xfId="41270"/>
    <cellStyle name="Uwaga 3 2 5 9" xfId="41271"/>
    <cellStyle name="Uwaga 3 2 50" xfId="41272"/>
    <cellStyle name="Uwaga 3 2 51" xfId="41273"/>
    <cellStyle name="Uwaga 3 2 52" xfId="41274"/>
    <cellStyle name="Uwaga 3 2 53" xfId="41275"/>
    <cellStyle name="Uwaga 3 2 54" xfId="41276"/>
    <cellStyle name="Uwaga 3 2 55" xfId="41277"/>
    <cellStyle name="Uwaga 3 2 56" xfId="41278"/>
    <cellStyle name="Uwaga 3 2 57" xfId="41279"/>
    <cellStyle name="Uwaga 3 2 58" xfId="41280"/>
    <cellStyle name="Uwaga 3 2 59" xfId="41281"/>
    <cellStyle name="Uwaga 3 2 6" xfId="41282"/>
    <cellStyle name="Uwaga 3 2 6 2" xfId="41283"/>
    <cellStyle name="Uwaga 3 2 60" xfId="41284"/>
    <cellStyle name="Uwaga 3 2 61" xfId="41285"/>
    <cellStyle name="Uwaga 3 2 62" xfId="41286"/>
    <cellStyle name="Uwaga 3 2 63" xfId="41287"/>
    <cellStyle name="Uwaga 3 2 64" xfId="41288"/>
    <cellStyle name="Uwaga 3 2 65" xfId="41289"/>
    <cellStyle name="Uwaga 3 2 66" xfId="41290"/>
    <cellStyle name="Uwaga 3 2 67" xfId="41291"/>
    <cellStyle name="Uwaga 3 2 68" xfId="41292"/>
    <cellStyle name="Uwaga 3 2 69" xfId="41293"/>
    <cellStyle name="Uwaga 3 2 7" xfId="41294"/>
    <cellStyle name="Uwaga 3 2 7 2" xfId="41295"/>
    <cellStyle name="Uwaga 3 2 70" xfId="41296"/>
    <cellStyle name="Uwaga 3 2 71" xfId="41297"/>
    <cellStyle name="Uwaga 3 2 72" xfId="41298"/>
    <cellStyle name="Uwaga 3 2 73" xfId="41299"/>
    <cellStyle name="Uwaga 3 2 74" xfId="41300"/>
    <cellStyle name="Uwaga 3 2 75" xfId="41301"/>
    <cellStyle name="Uwaga 3 2 8" xfId="41302"/>
    <cellStyle name="Uwaga 3 2 8 2" xfId="41303"/>
    <cellStyle name="Uwaga 3 2 9" xfId="41304"/>
    <cellStyle name="Uwaga 3 2 9 2" xfId="41305"/>
    <cellStyle name="Uwaga 3 20" xfId="41306"/>
    <cellStyle name="Uwaga 3 20 2" xfId="41307"/>
    <cellStyle name="Uwaga 3 21" xfId="41308"/>
    <cellStyle name="Uwaga 3 21 2" xfId="41309"/>
    <cellStyle name="Uwaga 3 22" xfId="41310"/>
    <cellStyle name="Uwaga 3 22 2" xfId="41311"/>
    <cellStyle name="Uwaga 3 23" xfId="41312"/>
    <cellStyle name="Uwaga 3 23 2" xfId="41313"/>
    <cellStyle name="Uwaga 3 24" xfId="41314"/>
    <cellStyle name="Uwaga 3 24 2" xfId="41315"/>
    <cellStyle name="Uwaga 3 25" xfId="41316"/>
    <cellStyle name="Uwaga 3 25 2" xfId="41317"/>
    <cellStyle name="Uwaga 3 26" xfId="41318"/>
    <cellStyle name="Uwaga 3 26 2" xfId="41319"/>
    <cellStyle name="Uwaga 3 27" xfId="41320"/>
    <cellStyle name="Uwaga 3 27 2" xfId="41321"/>
    <cellStyle name="Uwaga 3 28" xfId="41322"/>
    <cellStyle name="Uwaga 3 28 2" xfId="41323"/>
    <cellStyle name="Uwaga 3 29" xfId="41324"/>
    <cellStyle name="Uwaga 3 29 2" xfId="41325"/>
    <cellStyle name="Uwaga 3 3" xfId="41326"/>
    <cellStyle name="Uwaga 3 3 10" xfId="41327"/>
    <cellStyle name="Uwaga 3 3 10 2" xfId="41328"/>
    <cellStyle name="Uwaga 3 3 11" xfId="41329"/>
    <cellStyle name="Uwaga 3 3 11 2" xfId="41330"/>
    <cellStyle name="Uwaga 3 3 12" xfId="41331"/>
    <cellStyle name="Uwaga 3 3 12 2" xfId="41332"/>
    <cellStyle name="Uwaga 3 3 13" xfId="41333"/>
    <cellStyle name="Uwaga 3 3 13 2" xfId="41334"/>
    <cellStyle name="Uwaga 3 3 14" xfId="41335"/>
    <cellStyle name="Uwaga 3 3 14 2" xfId="41336"/>
    <cellStyle name="Uwaga 3 3 15" xfId="41337"/>
    <cellStyle name="Uwaga 3 3 15 2" xfId="41338"/>
    <cellStyle name="Uwaga 3 3 16" xfId="41339"/>
    <cellStyle name="Uwaga 3 3 16 2" xfId="41340"/>
    <cellStyle name="Uwaga 3 3 17" xfId="41341"/>
    <cellStyle name="Uwaga 3 3 17 2" xfId="41342"/>
    <cellStyle name="Uwaga 3 3 18" xfId="41343"/>
    <cellStyle name="Uwaga 3 3 18 2" xfId="41344"/>
    <cellStyle name="Uwaga 3 3 19" xfId="41345"/>
    <cellStyle name="Uwaga 3 3 19 2" xfId="41346"/>
    <cellStyle name="Uwaga 3 3 2" xfId="41347"/>
    <cellStyle name="Uwaga 3 3 2 10" xfId="41348"/>
    <cellStyle name="Uwaga 3 3 2 11" xfId="41349"/>
    <cellStyle name="Uwaga 3 3 2 12" xfId="41350"/>
    <cellStyle name="Uwaga 3 3 2 13" xfId="41351"/>
    <cellStyle name="Uwaga 3 3 2 14" xfId="41352"/>
    <cellStyle name="Uwaga 3 3 2 15" xfId="41353"/>
    <cellStyle name="Uwaga 3 3 2 16" xfId="41354"/>
    <cellStyle name="Uwaga 3 3 2 17" xfId="41355"/>
    <cellStyle name="Uwaga 3 3 2 18" xfId="41356"/>
    <cellStyle name="Uwaga 3 3 2 19" xfId="41357"/>
    <cellStyle name="Uwaga 3 3 2 2" xfId="41358"/>
    <cellStyle name="Uwaga 3 3 2 3" xfId="41359"/>
    <cellStyle name="Uwaga 3 3 2 4" xfId="41360"/>
    <cellStyle name="Uwaga 3 3 2 5" xfId="41361"/>
    <cellStyle name="Uwaga 3 3 2 6" xfId="41362"/>
    <cellStyle name="Uwaga 3 3 2 7" xfId="41363"/>
    <cellStyle name="Uwaga 3 3 2 8" xfId="41364"/>
    <cellStyle name="Uwaga 3 3 2 9" xfId="41365"/>
    <cellStyle name="Uwaga 3 3 20" xfId="41366"/>
    <cellStyle name="Uwaga 3 3 20 2" xfId="41367"/>
    <cellStyle name="Uwaga 3 3 21" xfId="41368"/>
    <cellStyle name="Uwaga 3 3 21 2" xfId="41369"/>
    <cellStyle name="Uwaga 3 3 22" xfId="41370"/>
    <cellStyle name="Uwaga 3 3 22 2" xfId="41371"/>
    <cellStyle name="Uwaga 3 3 23" xfId="41372"/>
    <cellStyle name="Uwaga 3 3 23 2" xfId="41373"/>
    <cellStyle name="Uwaga 3 3 24" xfId="41374"/>
    <cellStyle name="Uwaga 3 3 24 2" xfId="41375"/>
    <cellStyle name="Uwaga 3 3 25" xfId="41376"/>
    <cellStyle name="Uwaga 3 3 25 2" xfId="41377"/>
    <cellStyle name="Uwaga 3 3 26" xfId="41378"/>
    <cellStyle name="Uwaga 3 3 26 2" xfId="41379"/>
    <cellStyle name="Uwaga 3 3 27" xfId="41380"/>
    <cellStyle name="Uwaga 3 3 27 2" xfId="41381"/>
    <cellStyle name="Uwaga 3 3 28" xfId="41382"/>
    <cellStyle name="Uwaga 3 3 28 2" xfId="41383"/>
    <cellStyle name="Uwaga 3 3 29" xfId="41384"/>
    <cellStyle name="Uwaga 3 3 29 2" xfId="41385"/>
    <cellStyle name="Uwaga 3 3 3" xfId="41386"/>
    <cellStyle name="Uwaga 3 3 3 10" xfId="41387"/>
    <cellStyle name="Uwaga 3 3 3 11" xfId="41388"/>
    <cellStyle name="Uwaga 3 3 3 12" xfId="41389"/>
    <cellStyle name="Uwaga 3 3 3 13" xfId="41390"/>
    <cellStyle name="Uwaga 3 3 3 14" xfId="41391"/>
    <cellStyle name="Uwaga 3 3 3 15" xfId="41392"/>
    <cellStyle name="Uwaga 3 3 3 16" xfId="41393"/>
    <cellStyle name="Uwaga 3 3 3 17" xfId="41394"/>
    <cellStyle name="Uwaga 3 3 3 18" xfId="41395"/>
    <cellStyle name="Uwaga 3 3 3 19" xfId="41396"/>
    <cellStyle name="Uwaga 3 3 3 2" xfId="41397"/>
    <cellStyle name="Uwaga 3 3 3 3" xfId="41398"/>
    <cellStyle name="Uwaga 3 3 3 4" xfId="41399"/>
    <cellStyle name="Uwaga 3 3 3 5" xfId="41400"/>
    <cellStyle name="Uwaga 3 3 3 6" xfId="41401"/>
    <cellStyle name="Uwaga 3 3 3 7" xfId="41402"/>
    <cellStyle name="Uwaga 3 3 3 8" xfId="41403"/>
    <cellStyle name="Uwaga 3 3 3 9" xfId="41404"/>
    <cellStyle name="Uwaga 3 3 30" xfId="41405"/>
    <cellStyle name="Uwaga 3 3 30 2" xfId="41406"/>
    <cellStyle name="Uwaga 3 3 31" xfId="41407"/>
    <cellStyle name="Uwaga 3 3 31 2" xfId="41408"/>
    <cellStyle name="Uwaga 3 3 32" xfId="41409"/>
    <cellStyle name="Uwaga 3 3 32 2" xfId="41410"/>
    <cellStyle name="Uwaga 3 3 33" xfId="41411"/>
    <cellStyle name="Uwaga 3 3 33 2" xfId="41412"/>
    <cellStyle name="Uwaga 3 3 34" xfId="41413"/>
    <cellStyle name="Uwaga 3 3 34 2" xfId="41414"/>
    <cellStyle name="Uwaga 3 3 35" xfId="41415"/>
    <cellStyle name="Uwaga 3 3 35 2" xfId="41416"/>
    <cellStyle name="Uwaga 3 3 36" xfId="41417"/>
    <cellStyle name="Uwaga 3 3 36 2" xfId="41418"/>
    <cellStyle name="Uwaga 3 3 37" xfId="41419"/>
    <cellStyle name="Uwaga 3 3 37 2" xfId="41420"/>
    <cellStyle name="Uwaga 3 3 38" xfId="41421"/>
    <cellStyle name="Uwaga 3 3 38 2" xfId="41422"/>
    <cellStyle name="Uwaga 3 3 39" xfId="41423"/>
    <cellStyle name="Uwaga 3 3 39 2" xfId="41424"/>
    <cellStyle name="Uwaga 3 3 4" xfId="41425"/>
    <cellStyle name="Uwaga 3 3 4 10" xfId="41426"/>
    <cellStyle name="Uwaga 3 3 4 11" xfId="41427"/>
    <cellStyle name="Uwaga 3 3 4 12" xfId="41428"/>
    <cellStyle name="Uwaga 3 3 4 13" xfId="41429"/>
    <cellStyle name="Uwaga 3 3 4 14" xfId="41430"/>
    <cellStyle name="Uwaga 3 3 4 15" xfId="41431"/>
    <cellStyle name="Uwaga 3 3 4 16" xfId="41432"/>
    <cellStyle name="Uwaga 3 3 4 17" xfId="41433"/>
    <cellStyle name="Uwaga 3 3 4 18" xfId="41434"/>
    <cellStyle name="Uwaga 3 3 4 19" xfId="41435"/>
    <cellStyle name="Uwaga 3 3 4 2" xfId="41436"/>
    <cellStyle name="Uwaga 3 3 4 3" xfId="41437"/>
    <cellStyle name="Uwaga 3 3 4 4" xfId="41438"/>
    <cellStyle name="Uwaga 3 3 4 5" xfId="41439"/>
    <cellStyle name="Uwaga 3 3 4 6" xfId="41440"/>
    <cellStyle name="Uwaga 3 3 4 7" xfId="41441"/>
    <cellStyle name="Uwaga 3 3 4 8" xfId="41442"/>
    <cellStyle name="Uwaga 3 3 4 9" xfId="41443"/>
    <cellStyle name="Uwaga 3 3 40" xfId="41444"/>
    <cellStyle name="Uwaga 3 3 40 2" xfId="41445"/>
    <cellStyle name="Uwaga 3 3 41" xfId="41446"/>
    <cellStyle name="Uwaga 3 3 41 2" xfId="41447"/>
    <cellStyle name="Uwaga 3 3 42" xfId="41448"/>
    <cellStyle name="Uwaga 3 3 42 2" xfId="41449"/>
    <cellStyle name="Uwaga 3 3 43" xfId="41450"/>
    <cellStyle name="Uwaga 3 3 43 2" xfId="41451"/>
    <cellStyle name="Uwaga 3 3 44" xfId="41452"/>
    <cellStyle name="Uwaga 3 3 45" xfId="41453"/>
    <cellStyle name="Uwaga 3 3 46" xfId="41454"/>
    <cellStyle name="Uwaga 3 3 47" xfId="41455"/>
    <cellStyle name="Uwaga 3 3 48" xfId="41456"/>
    <cellStyle name="Uwaga 3 3 49" xfId="41457"/>
    <cellStyle name="Uwaga 3 3 5" xfId="41458"/>
    <cellStyle name="Uwaga 3 3 5 10" xfId="41459"/>
    <cellStyle name="Uwaga 3 3 5 11" xfId="41460"/>
    <cellStyle name="Uwaga 3 3 5 12" xfId="41461"/>
    <cellStyle name="Uwaga 3 3 5 13" xfId="41462"/>
    <cellStyle name="Uwaga 3 3 5 14" xfId="41463"/>
    <cellStyle name="Uwaga 3 3 5 15" xfId="41464"/>
    <cellStyle name="Uwaga 3 3 5 16" xfId="41465"/>
    <cellStyle name="Uwaga 3 3 5 17" xfId="41466"/>
    <cellStyle name="Uwaga 3 3 5 18" xfId="41467"/>
    <cellStyle name="Uwaga 3 3 5 19" xfId="41468"/>
    <cellStyle name="Uwaga 3 3 5 2" xfId="41469"/>
    <cellStyle name="Uwaga 3 3 5 3" xfId="41470"/>
    <cellStyle name="Uwaga 3 3 5 4" xfId="41471"/>
    <cellStyle name="Uwaga 3 3 5 5" xfId="41472"/>
    <cellStyle name="Uwaga 3 3 5 6" xfId="41473"/>
    <cellStyle name="Uwaga 3 3 5 7" xfId="41474"/>
    <cellStyle name="Uwaga 3 3 5 8" xfId="41475"/>
    <cellStyle name="Uwaga 3 3 5 9" xfId="41476"/>
    <cellStyle name="Uwaga 3 3 50" xfId="41477"/>
    <cellStyle name="Uwaga 3 3 51" xfId="41478"/>
    <cellStyle name="Uwaga 3 3 52" xfId="41479"/>
    <cellStyle name="Uwaga 3 3 53" xfId="41480"/>
    <cellStyle name="Uwaga 3 3 54" xfId="41481"/>
    <cellStyle name="Uwaga 3 3 55" xfId="41482"/>
    <cellStyle name="Uwaga 3 3 56" xfId="41483"/>
    <cellStyle name="Uwaga 3 3 57" xfId="41484"/>
    <cellStyle name="Uwaga 3 3 58" xfId="41485"/>
    <cellStyle name="Uwaga 3 3 59" xfId="41486"/>
    <cellStyle name="Uwaga 3 3 6" xfId="41487"/>
    <cellStyle name="Uwaga 3 3 6 2" xfId="41488"/>
    <cellStyle name="Uwaga 3 3 60" xfId="41489"/>
    <cellStyle name="Uwaga 3 3 61" xfId="41490"/>
    <cellStyle name="Uwaga 3 3 62" xfId="41491"/>
    <cellStyle name="Uwaga 3 3 63" xfId="41492"/>
    <cellStyle name="Uwaga 3 3 64" xfId="41493"/>
    <cellStyle name="Uwaga 3 3 65" xfId="41494"/>
    <cellStyle name="Uwaga 3 3 66" xfId="41495"/>
    <cellStyle name="Uwaga 3 3 67" xfId="41496"/>
    <cellStyle name="Uwaga 3 3 68" xfId="41497"/>
    <cellStyle name="Uwaga 3 3 69" xfId="41498"/>
    <cellStyle name="Uwaga 3 3 7" xfId="41499"/>
    <cellStyle name="Uwaga 3 3 7 2" xfId="41500"/>
    <cellStyle name="Uwaga 3 3 70" xfId="41501"/>
    <cellStyle name="Uwaga 3 3 71" xfId="41502"/>
    <cellStyle name="Uwaga 3 3 72" xfId="41503"/>
    <cellStyle name="Uwaga 3 3 73" xfId="41504"/>
    <cellStyle name="Uwaga 3 3 74" xfId="41505"/>
    <cellStyle name="Uwaga 3 3 75" xfId="41506"/>
    <cellStyle name="Uwaga 3 3 8" xfId="41507"/>
    <cellStyle name="Uwaga 3 3 8 2" xfId="41508"/>
    <cellStyle name="Uwaga 3 3 9" xfId="41509"/>
    <cellStyle name="Uwaga 3 3 9 2" xfId="41510"/>
    <cellStyle name="Uwaga 3 30" xfId="41511"/>
    <cellStyle name="Uwaga 3 30 2" xfId="41512"/>
    <cellStyle name="Uwaga 3 31" xfId="41513"/>
    <cellStyle name="Uwaga 3 31 2" xfId="41514"/>
    <cellStyle name="Uwaga 3 32" xfId="41515"/>
    <cellStyle name="Uwaga 3 32 2" xfId="41516"/>
    <cellStyle name="Uwaga 3 33" xfId="41517"/>
    <cellStyle name="Uwaga 3 33 2" xfId="41518"/>
    <cellStyle name="Uwaga 3 34" xfId="41519"/>
    <cellStyle name="Uwaga 3 34 2" xfId="41520"/>
    <cellStyle name="Uwaga 3 35" xfId="41521"/>
    <cellStyle name="Uwaga 3 35 2" xfId="41522"/>
    <cellStyle name="Uwaga 3 36" xfId="41523"/>
    <cellStyle name="Uwaga 3 36 2" xfId="41524"/>
    <cellStyle name="Uwaga 3 37" xfId="41525"/>
    <cellStyle name="Uwaga 3 37 2" xfId="41526"/>
    <cellStyle name="Uwaga 3 38" xfId="41527"/>
    <cellStyle name="Uwaga 3 38 2" xfId="41528"/>
    <cellStyle name="Uwaga 3 39" xfId="41529"/>
    <cellStyle name="Uwaga 3 39 2" xfId="41530"/>
    <cellStyle name="Uwaga 3 4" xfId="41531"/>
    <cellStyle name="Uwaga 3 4 10" xfId="41532"/>
    <cellStyle name="Uwaga 3 4 10 2" xfId="41533"/>
    <cellStyle name="Uwaga 3 4 11" xfId="41534"/>
    <cellStyle name="Uwaga 3 4 11 2" xfId="41535"/>
    <cellStyle name="Uwaga 3 4 12" xfId="41536"/>
    <cellStyle name="Uwaga 3 4 12 2" xfId="41537"/>
    <cellStyle name="Uwaga 3 4 13" xfId="41538"/>
    <cellStyle name="Uwaga 3 4 13 2" xfId="41539"/>
    <cellStyle name="Uwaga 3 4 14" xfId="41540"/>
    <cellStyle name="Uwaga 3 4 14 2" xfId="41541"/>
    <cellStyle name="Uwaga 3 4 15" xfId="41542"/>
    <cellStyle name="Uwaga 3 4 15 2" xfId="41543"/>
    <cellStyle name="Uwaga 3 4 16" xfId="41544"/>
    <cellStyle name="Uwaga 3 4 16 2" xfId="41545"/>
    <cellStyle name="Uwaga 3 4 17" xfId="41546"/>
    <cellStyle name="Uwaga 3 4 17 2" xfId="41547"/>
    <cellStyle name="Uwaga 3 4 18" xfId="41548"/>
    <cellStyle name="Uwaga 3 4 18 2" xfId="41549"/>
    <cellStyle name="Uwaga 3 4 19" xfId="41550"/>
    <cellStyle name="Uwaga 3 4 19 2" xfId="41551"/>
    <cellStyle name="Uwaga 3 4 2" xfId="41552"/>
    <cellStyle name="Uwaga 3 4 2 10" xfId="41553"/>
    <cellStyle name="Uwaga 3 4 2 11" xfId="41554"/>
    <cellStyle name="Uwaga 3 4 2 12" xfId="41555"/>
    <cellStyle name="Uwaga 3 4 2 13" xfId="41556"/>
    <cellStyle name="Uwaga 3 4 2 14" xfId="41557"/>
    <cellStyle name="Uwaga 3 4 2 15" xfId="41558"/>
    <cellStyle name="Uwaga 3 4 2 16" xfId="41559"/>
    <cellStyle name="Uwaga 3 4 2 17" xfId="41560"/>
    <cellStyle name="Uwaga 3 4 2 18" xfId="41561"/>
    <cellStyle name="Uwaga 3 4 2 19" xfId="41562"/>
    <cellStyle name="Uwaga 3 4 2 2" xfId="41563"/>
    <cellStyle name="Uwaga 3 4 2 3" xfId="41564"/>
    <cellStyle name="Uwaga 3 4 2 4" xfId="41565"/>
    <cellStyle name="Uwaga 3 4 2 5" xfId="41566"/>
    <cellStyle name="Uwaga 3 4 2 6" xfId="41567"/>
    <cellStyle name="Uwaga 3 4 2 7" xfId="41568"/>
    <cellStyle name="Uwaga 3 4 2 8" xfId="41569"/>
    <cellStyle name="Uwaga 3 4 2 9" xfId="41570"/>
    <cellStyle name="Uwaga 3 4 20" xfId="41571"/>
    <cellStyle name="Uwaga 3 4 20 2" xfId="41572"/>
    <cellStyle name="Uwaga 3 4 21" xfId="41573"/>
    <cellStyle name="Uwaga 3 4 21 2" xfId="41574"/>
    <cellStyle name="Uwaga 3 4 22" xfId="41575"/>
    <cellStyle name="Uwaga 3 4 22 2" xfId="41576"/>
    <cellStyle name="Uwaga 3 4 23" xfId="41577"/>
    <cellStyle name="Uwaga 3 4 23 2" xfId="41578"/>
    <cellStyle name="Uwaga 3 4 24" xfId="41579"/>
    <cellStyle name="Uwaga 3 4 24 2" xfId="41580"/>
    <cellStyle name="Uwaga 3 4 25" xfId="41581"/>
    <cellStyle name="Uwaga 3 4 25 2" xfId="41582"/>
    <cellStyle name="Uwaga 3 4 26" xfId="41583"/>
    <cellStyle name="Uwaga 3 4 26 2" xfId="41584"/>
    <cellStyle name="Uwaga 3 4 27" xfId="41585"/>
    <cellStyle name="Uwaga 3 4 27 2" xfId="41586"/>
    <cellStyle name="Uwaga 3 4 28" xfId="41587"/>
    <cellStyle name="Uwaga 3 4 28 2" xfId="41588"/>
    <cellStyle name="Uwaga 3 4 29" xfId="41589"/>
    <cellStyle name="Uwaga 3 4 29 2" xfId="41590"/>
    <cellStyle name="Uwaga 3 4 3" xfId="41591"/>
    <cellStyle name="Uwaga 3 4 3 10" xfId="41592"/>
    <cellStyle name="Uwaga 3 4 3 11" xfId="41593"/>
    <cellStyle name="Uwaga 3 4 3 12" xfId="41594"/>
    <cellStyle name="Uwaga 3 4 3 13" xfId="41595"/>
    <cellStyle name="Uwaga 3 4 3 14" xfId="41596"/>
    <cellStyle name="Uwaga 3 4 3 15" xfId="41597"/>
    <cellStyle name="Uwaga 3 4 3 16" xfId="41598"/>
    <cellStyle name="Uwaga 3 4 3 17" xfId="41599"/>
    <cellStyle name="Uwaga 3 4 3 18" xfId="41600"/>
    <cellStyle name="Uwaga 3 4 3 19" xfId="41601"/>
    <cellStyle name="Uwaga 3 4 3 2" xfId="41602"/>
    <cellStyle name="Uwaga 3 4 3 3" xfId="41603"/>
    <cellStyle name="Uwaga 3 4 3 4" xfId="41604"/>
    <cellStyle name="Uwaga 3 4 3 5" xfId="41605"/>
    <cellStyle name="Uwaga 3 4 3 6" xfId="41606"/>
    <cellStyle name="Uwaga 3 4 3 7" xfId="41607"/>
    <cellStyle name="Uwaga 3 4 3 8" xfId="41608"/>
    <cellStyle name="Uwaga 3 4 3 9" xfId="41609"/>
    <cellStyle name="Uwaga 3 4 30" xfId="41610"/>
    <cellStyle name="Uwaga 3 4 30 2" xfId="41611"/>
    <cellStyle name="Uwaga 3 4 31" xfId="41612"/>
    <cellStyle name="Uwaga 3 4 31 2" xfId="41613"/>
    <cellStyle name="Uwaga 3 4 32" xfId="41614"/>
    <cellStyle name="Uwaga 3 4 32 2" xfId="41615"/>
    <cellStyle name="Uwaga 3 4 33" xfId="41616"/>
    <cellStyle name="Uwaga 3 4 33 2" xfId="41617"/>
    <cellStyle name="Uwaga 3 4 34" xfId="41618"/>
    <cellStyle name="Uwaga 3 4 34 2" xfId="41619"/>
    <cellStyle name="Uwaga 3 4 35" xfId="41620"/>
    <cellStyle name="Uwaga 3 4 35 2" xfId="41621"/>
    <cellStyle name="Uwaga 3 4 36" xfId="41622"/>
    <cellStyle name="Uwaga 3 4 36 2" xfId="41623"/>
    <cellStyle name="Uwaga 3 4 37" xfId="41624"/>
    <cellStyle name="Uwaga 3 4 37 2" xfId="41625"/>
    <cellStyle name="Uwaga 3 4 38" xfId="41626"/>
    <cellStyle name="Uwaga 3 4 38 2" xfId="41627"/>
    <cellStyle name="Uwaga 3 4 39" xfId="41628"/>
    <cellStyle name="Uwaga 3 4 39 2" xfId="41629"/>
    <cellStyle name="Uwaga 3 4 4" xfId="41630"/>
    <cellStyle name="Uwaga 3 4 4 10" xfId="41631"/>
    <cellStyle name="Uwaga 3 4 4 11" xfId="41632"/>
    <cellStyle name="Uwaga 3 4 4 12" xfId="41633"/>
    <cellStyle name="Uwaga 3 4 4 13" xfId="41634"/>
    <cellStyle name="Uwaga 3 4 4 14" xfId="41635"/>
    <cellStyle name="Uwaga 3 4 4 15" xfId="41636"/>
    <cellStyle name="Uwaga 3 4 4 16" xfId="41637"/>
    <cellStyle name="Uwaga 3 4 4 17" xfId="41638"/>
    <cellStyle name="Uwaga 3 4 4 18" xfId="41639"/>
    <cellStyle name="Uwaga 3 4 4 19" xfId="41640"/>
    <cellStyle name="Uwaga 3 4 4 2" xfId="41641"/>
    <cellStyle name="Uwaga 3 4 4 3" xfId="41642"/>
    <cellStyle name="Uwaga 3 4 4 4" xfId="41643"/>
    <cellStyle name="Uwaga 3 4 4 5" xfId="41644"/>
    <cellStyle name="Uwaga 3 4 4 6" xfId="41645"/>
    <cellStyle name="Uwaga 3 4 4 7" xfId="41646"/>
    <cellStyle name="Uwaga 3 4 4 8" xfId="41647"/>
    <cellStyle name="Uwaga 3 4 4 9" xfId="41648"/>
    <cellStyle name="Uwaga 3 4 40" xfId="41649"/>
    <cellStyle name="Uwaga 3 4 40 2" xfId="41650"/>
    <cellStyle name="Uwaga 3 4 41" xfId="41651"/>
    <cellStyle name="Uwaga 3 4 41 2" xfId="41652"/>
    <cellStyle name="Uwaga 3 4 42" xfId="41653"/>
    <cellStyle name="Uwaga 3 4 42 2" xfId="41654"/>
    <cellStyle name="Uwaga 3 4 43" xfId="41655"/>
    <cellStyle name="Uwaga 3 4 43 2" xfId="41656"/>
    <cellStyle name="Uwaga 3 4 44" xfId="41657"/>
    <cellStyle name="Uwaga 3 4 45" xfId="41658"/>
    <cellStyle name="Uwaga 3 4 46" xfId="41659"/>
    <cellStyle name="Uwaga 3 4 47" xfId="41660"/>
    <cellStyle name="Uwaga 3 4 48" xfId="41661"/>
    <cellStyle name="Uwaga 3 4 49" xfId="41662"/>
    <cellStyle name="Uwaga 3 4 5" xfId="41663"/>
    <cellStyle name="Uwaga 3 4 5 10" xfId="41664"/>
    <cellStyle name="Uwaga 3 4 5 11" xfId="41665"/>
    <cellStyle name="Uwaga 3 4 5 12" xfId="41666"/>
    <cellStyle name="Uwaga 3 4 5 13" xfId="41667"/>
    <cellStyle name="Uwaga 3 4 5 14" xfId="41668"/>
    <cellStyle name="Uwaga 3 4 5 15" xfId="41669"/>
    <cellStyle name="Uwaga 3 4 5 16" xfId="41670"/>
    <cellStyle name="Uwaga 3 4 5 17" xfId="41671"/>
    <cellStyle name="Uwaga 3 4 5 18" xfId="41672"/>
    <cellStyle name="Uwaga 3 4 5 19" xfId="41673"/>
    <cellStyle name="Uwaga 3 4 5 2" xfId="41674"/>
    <cellStyle name="Uwaga 3 4 5 3" xfId="41675"/>
    <cellStyle name="Uwaga 3 4 5 4" xfId="41676"/>
    <cellStyle name="Uwaga 3 4 5 5" xfId="41677"/>
    <cellStyle name="Uwaga 3 4 5 6" xfId="41678"/>
    <cellStyle name="Uwaga 3 4 5 7" xfId="41679"/>
    <cellStyle name="Uwaga 3 4 5 8" xfId="41680"/>
    <cellStyle name="Uwaga 3 4 5 9" xfId="41681"/>
    <cellStyle name="Uwaga 3 4 50" xfId="41682"/>
    <cellStyle name="Uwaga 3 4 51" xfId="41683"/>
    <cellStyle name="Uwaga 3 4 52" xfId="41684"/>
    <cellStyle name="Uwaga 3 4 53" xfId="41685"/>
    <cellStyle name="Uwaga 3 4 54" xfId="41686"/>
    <cellStyle name="Uwaga 3 4 55" xfId="41687"/>
    <cellStyle name="Uwaga 3 4 56" xfId="41688"/>
    <cellStyle name="Uwaga 3 4 57" xfId="41689"/>
    <cellStyle name="Uwaga 3 4 58" xfId="41690"/>
    <cellStyle name="Uwaga 3 4 59" xfId="41691"/>
    <cellStyle name="Uwaga 3 4 6" xfId="41692"/>
    <cellStyle name="Uwaga 3 4 6 2" xfId="41693"/>
    <cellStyle name="Uwaga 3 4 60" xfId="41694"/>
    <cellStyle name="Uwaga 3 4 61" xfId="41695"/>
    <cellStyle name="Uwaga 3 4 62" xfId="41696"/>
    <cellStyle name="Uwaga 3 4 63" xfId="41697"/>
    <cellStyle name="Uwaga 3 4 64" xfId="41698"/>
    <cellStyle name="Uwaga 3 4 65" xfId="41699"/>
    <cellStyle name="Uwaga 3 4 66" xfId="41700"/>
    <cellStyle name="Uwaga 3 4 67" xfId="41701"/>
    <cellStyle name="Uwaga 3 4 68" xfId="41702"/>
    <cellStyle name="Uwaga 3 4 69" xfId="41703"/>
    <cellStyle name="Uwaga 3 4 7" xfId="41704"/>
    <cellStyle name="Uwaga 3 4 7 2" xfId="41705"/>
    <cellStyle name="Uwaga 3 4 70" xfId="41706"/>
    <cellStyle name="Uwaga 3 4 71" xfId="41707"/>
    <cellStyle name="Uwaga 3 4 72" xfId="41708"/>
    <cellStyle name="Uwaga 3 4 73" xfId="41709"/>
    <cellStyle name="Uwaga 3 4 74" xfId="41710"/>
    <cellStyle name="Uwaga 3 4 75" xfId="41711"/>
    <cellStyle name="Uwaga 3 4 8" xfId="41712"/>
    <cellStyle name="Uwaga 3 4 8 2" xfId="41713"/>
    <cellStyle name="Uwaga 3 4 9" xfId="41714"/>
    <cellStyle name="Uwaga 3 4 9 2" xfId="41715"/>
    <cellStyle name="Uwaga 3 40" xfId="41716"/>
    <cellStyle name="Uwaga 3 40 2" xfId="41717"/>
    <cellStyle name="Uwaga 3 41" xfId="41718"/>
    <cellStyle name="Uwaga 3 41 2" xfId="41719"/>
    <cellStyle name="Uwaga 3 42" xfId="41720"/>
    <cellStyle name="Uwaga 3 42 2" xfId="41721"/>
    <cellStyle name="Uwaga 3 43" xfId="41722"/>
    <cellStyle name="Uwaga 3 43 2" xfId="41723"/>
    <cellStyle name="Uwaga 3 44" xfId="41724"/>
    <cellStyle name="Uwaga 3 44 2" xfId="41725"/>
    <cellStyle name="Uwaga 3 45" xfId="41726"/>
    <cellStyle name="Uwaga 3 45 2" xfId="41727"/>
    <cellStyle name="Uwaga 3 46" xfId="41728"/>
    <cellStyle name="Uwaga 3 46 2" xfId="41729"/>
    <cellStyle name="Uwaga 3 47" xfId="41730"/>
    <cellStyle name="Uwaga 3 47 2" xfId="41731"/>
    <cellStyle name="Uwaga 3 48" xfId="41732"/>
    <cellStyle name="Uwaga 3 48 2" xfId="41733"/>
    <cellStyle name="Uwaga 3 49" xfId="41734"/>
    <cellStyle name="Uwaga 3 49 2" xfId="41735"/>
    <cellStyle name="Uwaga 3 5" xfId="41736"/>
    <cellStyle name="Uwaga 3 5 10" xfId="41737"/>
    <cellStyle name="Uwaga 3 5 10 2" xfId="41738"/>
    <cellStyle name="Uwaga 3 5 11" xfId="41739"/>
    <cellStyle name="Uwaga 3 5 11 2" xfId="41740"/>
    <cellStyle name="Uwaga 3 5 12" xfId="41741"/>
    <cellStyle name="Uwaga 3 5 12 2" xfId="41742"/>
    <cellStyle name="Uwaga 3 5 13" xfId="41743"/>
    <cellStyle name="Uwaga 3 5 13 2" xfId="41744"/>
    <cellStyle name="Uwaga 3 5 14" xfId="41745"/>
    <cellStyle name="Uwaga 3 5 14 2" xfId="41746"/>
    <cellStyle name="Uwaga 3 5 15" xfId="41747"/>
    <cellStyle name="Uwaga 3 5 15 2" xfId="41748"/>
    <cellStyle name="Uwaga 3 5 16" xfId="41749"/>
    <cellStyle name="Uwaga 3 5 16 2" xfId="41750"/>
    <cellStyle name="Uwaga 3 5 17" xfId="41751"/>
    <cellStyle name="Uwaga 3 5 17 2" xfId="41752"/>
    <cellStyle name="Uwaga 3 5 18" xfId="41753"/>
    <cellStyle name="Uwaga 3 5 18 2" xfId="41754"/>
    <cellStyle name="Uwaga 3 5 19" xfId="41755"/>
    <cellStyle name="Uwaga 3 5 19 2" xfId="41756"/>
    <cellStyle name="Uwaga 3 5 2" xfId="41757"/>
    <cellStyle name="Uwaga 3 5 2 10" xfId="41758"/>
    <cellStyle name="Uwaga 3 5 2 11" xfId="41759"/>
    <cellStyle name="Uwaga 3 5 2 12" xfId="41760"/>
    <cellStyle name="Uwaga 3 5 2 13" xfId="41761"/>
    <cellStyle name="Uwaga 3 5 2 14" xfId="41762"/>
    <cellStyle name="Uwaga 3 5 2 15" xfId="41763"/>
    <cellStyle name="Uwaga 3 5 2 16" xfId="41764"/>
    <cellStyle name="Uwaga 3 5 2 17" xfId="41765"/>
    <cellStyle name="Uwaga 3 5 2 18" xfId="41766"/>
    <cellStyle name="Uwaga 3 5 2 19" xfId="41767"/>
    <cellStyle name="Uwaga 3 5 2 2" xfId="41768"/>
    <cellStyle name="Uwaga 3 5 2 3" xfId="41769"/>
    <cellStyle name="Uwaga 3 5 2 4" xfId="41770"/>
    <cellStyle name="Uwaga 3 5 2 5" xfId="41771"/>
    <cellStyle name="Uwaga 3 5 2 6" xfId="41772"/>
    <cellStyle name="Uwaga 3 5 2 7" xfId="41773"/>
    <cellStyle name="Uwaga 3 5 2 8" xfId="41774"/>
    <cellStyle name="Uwaga 3 5 2 9" xfId="41775"/>
    <cellStyle name="Uwaga 3 5 20" xfId="41776"/>
    <cellStyle name="Uwaga 3 5 20 2" xfId="41777"/>
    <cellStyle name="Uwaga 3 5 21" xfId="41778"/>
    <cellStyle name="Uwaga 3 5 21 2" xfId="41779"/>
    <cellStyle name="Uwaga 3 5 22" xfId="41780"/>
    <cellStyle name="Uwaga 3 5 22 2" xfId="41781"/>
    <cellStyle name="Uwaga 3 5 23" xfId="41782"/>
    <cellStyle name="Uwaga 3 5 23 2" xfId="41783"/>
    <cellStyle name="Uwaga 3 5 24" xfId="41784"/>
    <cellStyle name="Uwaga 3 5 24 2" xfId="41785"/>
    <cellStyle name="Uwaga 3 5 25" xfId="41786"/>
    <cellStyle name="Uwaga 3 5 25 2" xfId="41787"/>
    <cellStyle name="Uwaga 3 5 26" xfId="41788"/>
    <cellStyle name="Uwaga 3 5 26 2" xfId="41789"/>
    <cellStyle name="Uwaga 3 5 27" xfId="41790"/>
    <cellStyle name="Uwaga 3 5 27 2" xfId="41791"/>
    <cellStyle name="Uwaga 3 5 28" xfId="41792"/>
    <cellStyle name="Uwaga 3 5 28 2" xfId="41793"/>
    <cellStyle name="Uwaga 3 5 29" xfId="41794"/>
    <cellStyle name="Uwaga 3 5 29 2" xfId="41795"/>
    <cellStyle name="Uwaga 3 5 3" xfId="41796"/>
    <cellStyle name="Uwaga 3 5 3 10" xfId="41797"/>
    <cellStyle name="Uwaga 3 5 3 11" xfId="41798"/>
    <cellStyle name="Uwaga 3 5 3 12" xfId="41799"/>
    <cellStyle name="Uwaga 3 5 3 13" xfId="41800"/>
    <cellStyle name="Uwaga 3 5 3 14" xfId="41801"/>
    <cellStyle name="Uwaga 3 5 3 15" xfId="41802"/>
    <cellStyle name="Uwaga 3 5 3 16" xfId="41803"/>
    <cellStyle name="Uwaga 3 5 3 17" xfId="41804"/>
    <cellStyle name="Uwaga 3 5 3 18" xfId="41805"/>
    <cellStyle name="Uwaga 3 5 3 19" xfId="41806"/>
    <cellStyle name="Uwaga 3 5 3 2" xfId="41807"/>
    <cellStyle name="Uwaga 3 5 3 3" xfId="41808"/>
    <cellStyle name="Uwaga 3 5 3 4" xfId="41809"/>
    <cellStyle name="Uwaga 3 5 3 5" xfId="41810"/>
    <cellStyle name="Uwaga 3 5 3 6" xfId="41811"/>
    <cellStyle name="Uwaga 3 5 3 7" xfId="41812"/>
    <cellStyle name="Uwaga 3 5 3 8" xfId="41813"/>
    <cellStyle name="Uwaga 3 5 3 9" xfId="41814"/>
    <cellStyle name="Uwaga 3 5 30" xfId="41815"/>
    <cellStyle name="Uwaga 3 5 30 2" xfId="41816"/>
    <cellStyle name="Uwaga 3 5 31" xfId="41817"/>
    <cellStyle name="Uwaga 3 5 31 2" xfId="41818"/>
    <cellStyle name="Uwaga 3 5 32" xfId="41819"/>
    <cellStyle name="Uwaga 3 5 32 2" xfId="41820"/>
    <cellStyle name="Uwaga 3 5 33" xfId="41821"/>
    <cellStyle name="Uwaga 3 5 33 2" xfId="41822"/>
    <cellStyle name="Uwaga 3 5 34" xfId="41823"/>
    <cellStyle name="Uwaga 3 5 34 2" xfId="41824"/>
    <cellStyle name="Uwaga 3 5 35" xfId="41825"/>
    <cellStyle name="Uwaga 3 5 35 2" xfId="41826"/>
    <cellStyle name="Uwaga 3 5 36" xfId="41827"/>
    <cellStyle name="Uwaga 3 5 36 2" xfId="41828"/>
    <cellStyle name="Uwaga 3 5 37" xfId="41829"/>
    <cellStyle name="Uwaga 3 5 37 2" xfId="41830"/>
    <cellStyle name="Uwaga 3 5 38" xfId="41831"/>
    <cellStyle name="Uwaga 3 5 38 2" xfId="41832"/>
    <cellStyle name="Uwaga 3 5 39" xfId="41833"/>
    <cellStyle name="Uwaga 3 5 39 2" xfId="41834"/>
    <cellStyle name="Uwaga 3 5 4" xfId="41835"/>
    <cellStyle name="Uwaga 3 5 4 10" xfId="41836"/>
    <cellStyle name="Uwaga 3 5 4 11" xfId="41837"/>
    <cellStyle name="Uwaga 3 5 4 12" xfId="41838"/>
    <cellStyle name="Uwaga 3 5 4 13" xfId="41839"/>
    <cellStyle name="Uwaga 3 5 4 14" xfId="41840"/>
    <cellStyle name="Uwaga 3 5 4 15" xfId="41841"/>
    <cellStyle name="Uwaga 3 5 4 16" xfId="41842"/>
    <cellStyle name="Uwaga 3 5 4 17" xfId="41843"/>
    <cellStyle name="Uwaga 3 5 4 18" xfId="41844"/>
    <cellStyle name="Uwaga 3 5 4 19" xfId="41845"/>
    <cellStyle name="Uwaga 3 5 4 2" xfId="41846"/>
    <cellStyle name="Uwaga 3 5 4 3" xfId="41847"/>
    <cellStyle name="Uwaga 3 5 4 4" xfId="41848"/>
    <cellStyle name="Uwaga 3 5 4 5" xfId="41849"/>
    <cellStyle name="Uwaga 3 5 4 6" xfId="41850"/>
    <cellStyle name="Uwaga 3 5 4 7" xfId="41851"/>
    <cellStyle name="Uwaga 3 5 4 8" xfId="41852"/>
    <cellStyle name="Uwaga 3 5 4 9" xfId="41853"/>
    <cellStyle name="Uwaga 3 5 40" xfId="41854"/>
    <cellStyle name="Uwaga 3 5 40 2" xfId="41855"/>
    <cellStyle name="Uwaga 3 5 41" xfId="41856"/>
    <cellStyle name="Uwaga 3 5 41 2" xfId="41857"/>
    <cellStyle name="Uwaga 3 5 42" xfId="41858"/>
    <cellStyle name="Uwaga 3 5 42 2" xfId="41859"/>
    <cellStyle name="Uwaga 3 5 43" xfId="41860"/>
    <cellStyle name="Uwaga 3 5 43 2" xfId="41861"/>
    <cellStyle name="Uwaga 3 5 44" xfId="41862"/>
    <cellStyle name="Uwaga 3 5 45" xfId="41863"/>
    <cellStyle name="Uwaga 3 5 46" xfId="41864"/>
    <cellStyle name="Uwaga 3 5 47" xfId="41865"/>
    <cellStyle name="Uwaga 3 5 48" xfId="41866"/>
    <cellStyle name="Uwaga 3 5 49" xfId="41867"/>
    <cellStyle name="Uwaga 3 5 5" xfId="41868"/>
    <cellStyle name="Uwaga 3 5 5 10" xfId="41869"/>
    <cellStyle name="Uwaga 3 5 5 11" xfId="41870"/>
    <cellStyle name="Uwaga 3 5 5 12" xfId="41871"/>
    <cellStyle name="Uwaga 3 5 5 13" xfId="41872"/>
    <cellStyle name="Uwaga 3 5 5 14" xfId="41873"/>
    <cellStyle name="Uwaga 3 5 5 15" xfId="41874"/>
    <cellStyle name="Uwaga 3 5 5 16" xfId="41875"/>
    <cellStyle name="Uwaga 3 5 5 17" xfId="41876"/>
    <cellStyle name="Uwaga 3 5 5 18" xfId="41877"/>
    <cellStyle name="Uwaga 3 5 5 19" xfId="41878"/>
    <cellStyle name="Uwaga 3 5 5 2" xfId="41879"/>
    <cellStyle name="Uwaga 3 5 5 3" xfId="41880"/>
    <cellStyle name="Uwaga 3 5 5 4" xfId="41881"/>
    <cellStyle name="Uwaga 3 5 5 5" xfId="41882"/>
    <cellStyle name="Uwaga 3 5 5 6" xfId="41883"/>
    <cellStyle name="Uwaga 3 5 5 7" xfId="41884"/>
    <cellStyle name="Uwaga 3 5 5 8" xfId="41885"/>
    <cellStyle name="Uwaga 3 5 5 9" xfId="41886"/>
    <cellStyle name="Uwaga 3 5 50" xfId="41887"/>
    <cellStyle name="Uwaga 3 5 51" xfId="41888"/>
    <cellStyle name="Uwaga 3 5 52" xfId="41889"/>
    <cellStyle name="Uwaga 3 5 53" xfId="41890"/>
    <cellStyle name="Uwaga 3 5 54" xfId="41891"/>
    <cellStyle name="Uwaga 3 5 55" xfId="41892"/>
    <cellStyle name="Uwaga 3 5 56" xfId="41893"/>
    <cellStyle name="Uwaga 3 5 57" xfId="41894"/>
    <cellStyle name="Uwaga 3 5 58" xfId="41895"/>
    <cellStyle name="Uwaga 3 5 59" xfId="41896"/>
    <cellStyle name="Uwaga 3 5 6" xfId="41897"/>
    <cellStyle name="Uwaga 3 5 6 2" xfId="41898"/>
    <cellStyle name="Uwaga 3 5 60" xfId="41899"/>
    <cellStyle name="Uwaga 3 5 61" xfId="41900"/>
    <cellStyle name="Uwaga 3 5 62" xfId="41901"/>
    <cellStyle name="Uwaga 3 5 63" xfId="41902"/>
    <cellStyle name="Uwaga 3 5 64" xfId="41903"/>
    <cellStyle name="Uwaga 3 5 65" xfId="41904"/>
    <cellStyle name="Uwaga 3 5 66" xfId="41905"/>
    <cellStyle name="Uwaga 3 5 67" xfId="41906"/>
    <cellStyle name="Uwaga 3 5 68" xfId="41907"/>
    <cellStyle name="Uwaga 3 5 69" xfId="41908"/>
    <cellStyle name="Uwaga 3 5 7" xfId="41909"/>
    <cellStyle name="Uwaga 3 5 7 2" xfId="41910"/>
    <cellStyle name="Uwaga 3 5 70" xfId="41911"/>
    <cellStyle name="Uwaga 3 5 71" xfId="41912"/>
    <cellStyle name="Uwaga 3 5 72" xfId="41913"/>
    <cellStyle name="Uwaga 3 5 73" xfId="41914"/>
    <cellStyle name="Uwaga 3 5 74" xfId="41915"/>
    <cellStyle name="Uwaga 3 5 8" xfId="41916"/>
    <cellStyle name="Uwaga 3 5 8 2" xfId="41917"/>
    <cellStyle name="Uwaga 3 5 9" xfId="41918"/>
    <cellStyle name="Uwaga 3 5 9 2" xfId="41919"/>
    <cellStyle name="Uwaga 3 50" xfId="41920"/>
    <cellStyle name="Uwaga 3 50 2" xfId="41921"/>
    <cellStyle name="Uwaga 3 51" xfId="41922"/>
    <cellStyle name="Uwaga 3 51 2" xfId="41923"/>
    <cellStyle name="Uwaga 3 52" xfId="41924"/>
    <cellStyle name="Uwaga 3 53" xfId="41925"/>
    <cellStyle name="Uwaga 3 54" xfId="41926"/>
    <cellStyle name="Uwaga 3 55" xfId="41927"/>
    <cellStyle name="Uwaga 3 56" xfId="41928"/>
    <cellStyle name="Uwaga 3 57" xfId="41929"/>
    <cellStyle name="Uwaga 3 58" xfId="41930"/>
    <cellStyle name="Uwaga 3 59" xfId="41931"/>
    <cellStyle name="Uwaga 3 6" xfId="41932"/>
    <cellStyle name="Uwaga 3 6 10" xfId="41933"/>
    <cellStyle name="Uwaga 3 6 11" xfId="41934"/>
    <cellStyle name="Uwaga 3 6 12" xfId="41935"/>
    <cellStyle name="Uwaga 3 6 13" xfId="41936"/>
    <cellStyle name="Uwaga 3 6 14" xfId="41937"/>
    <cellStyle name="Uwaga 3 6 15" xfId="41938"/>
    <cellStyle name="Uwaga 3 6 16" xfId="41939"/>
    <cellStyle name="Uwaga 3 6 17" xfId="41940"/>
    <cellStyle name="Uwaga 3 6 18" xfId="41941"/>
    <cellStyle name="Uwaga 3 6 19" xfId="41942"/>
    <cellStyle name="Uwaga 3 6 2" xfId="41943"/>
    <cellStyle name="Uwaga 3 6 3" xfId="41944"/>
    <cellStyle name="Uwaga 3 6 4" xfId="41945"/>
    <cellStyle name="Uwaga 3 6 5" xfId="41946"/>
    <cellStyle name="Uwaga 3 6 6" xfId="41947"/>
    <cellStyle name="Uwaga 3 6 7" xfId="41948"/>
    <cellStyle name="Uwaga 3 6 8" xfId="41949"/>
    <cellStyle name="Uwaga 3 6 9" xfId="41950"/>
    <cellStyle name="Uwaga 3 60" xfId="41951"/>
    <cellStyle name="Uwaga 3 61" xfId="41952"/>
    <cellStyle name="Uwaga 3 62" xfId="41953"/>
    <cellStyle name="Uwaga 3 63" xfId="41954"/>
    <cellStyle name="Uwaga 3 64" xfId="41955"/>
    <cellStyle name="Uwaga 3 65" xfId="41956"/>
    <cellStyle name="Uwaga 3 66" xfId="41957"/>
    <cellStyle name="Uwaga 3 67" xfId="41958"/>
    <cellStyle name="Uwaga 3 68" xfId="41959"/>
    <cellStyle name="Uwaga 3 69" xfId="41960"/>
    <cellStyle name="Uwaga 3 7" xfId="41961"/>
    <cellStyle name="Uwaga 3 7 10" xfId="41962"/>
    <cellStyle name="Uwaga 3 7 11" xfId="41963"/>
    <cellStyle name="Uwaga 3 7 12" xfId="41964"/>
    <cellStyle name="Uwaga 3 7 13" xfId="41965"/>
    <cellStyle name="Uwaga 3 7 14" xfId="41966"/>
    <cellStyle name="Uwaga 3 7 15" xfId="41967"/>
    <cellStyle name="Uwaga 3 7 16" xfId="41968"/>
    <cellStyle name="Uwaga 3 7 17" xfId="41969"/>
    <cellStyle name="Uwaga 3 7 18" xfId="41970"/>
    <cellStyle name="Uwaga 3 7 19" xfId="41971"/>
    <cellStyle name="Uwaga 3 7 2" xfId="41972"/>
    <cellStyle name="Uwaga 3 7 3" xfId="41973"/>
    <cellStyle name="Uwaga 3 7 4" xfId="41974"/>
    <cellStyle name="Uwaga 3 7 5" xfId="41975"/>
    <cellStyle name="Uwaga 3 7 6" xfId="41976"/>
    <cellStyle name="Uwaga 3 7 7" xfId="41977"/>
    <cellStyle name="Uwaga 3 7 8" xfId="41978"/>
    <cellStyle name="Uwaga 3 7 9" xfId="41979"/>
    <cellStyle name="Uwaga 3 70" xfId="41980"/>
    <cellStyle name="Uwaga 3 71" xfId="41981"/>
    <cellStyle name="Uwaga 3 72" xfId="41982"/>
    <cellStyle name="Uwaga 3 73" xfId="41983"/>
    <cellStyle name="Uwaga 3 74" xfId="41984"/>
    <cellStyle name="Uwaga 3 75" xfId="41985"/>
    <cellStyle name="Uwaga 3 76" xfId="41986"/>
    <cellStyle name="Uwaga 3 77" xfId="41987"/>
    <cellStyle name="Uwaga 3 78" xfId="41988"/>
    <cellStyle name="Uwaga 3 79" xfId="41989"/>
    <cellStyle name="Uwaga 3 8" xfId="41990"/>
    <cellStyle name="Uwaga 3 8 10" xfId="41991"/>
    <cellStyle name="Uwaga 3 8 11" xfId="41992"/>
    <cellStyle name="Uwaga 3 8 12" xfId="41993"/>
    <cellStyle name="Uwaga 3 8 13" xfId="41994"/>
    <cellStyle name="Uwaga 3 8 14" xfId="41995"/>
    <cellStyle name="Uwaga 3 8 15" xfId="41996"/>
    <cellStyle name="Uwaga 3 8 16" xfId="41997"/>
    <cellStyle name="Uwaga 3 8 17" xfId="41998"/>
    <cellStyle name="Uwaga 3 8 18" xfId="41999"/>
    <cellStyle name="Uwaga 3 8 19" xfId="42000"/>
    <cellStyle name="Uwaga 3 8 2" xfId="42001"/>
    <cellStyle name="Uwaga 3 8 3" xfId="42002"/>
    <cellStyle name="Uwaga 3 8 4" xfId="42003"/>
    <cellStyle name="Uwaga 3 8 5" xfId="42004"/>
    <cellStyle name="Uwaga 3 8 6" xfId="42005"/>
    <cellStyle name="Uwaga 3 8 7" xfId="42006"/>
    <cellStyle name="Uwaga 3 8 8" xfId="42007"/>
    <cellStyle name="Uwaga 3 8 9" xfId="42008"/>
    <cellStyle name="Uwaga 3 9" xfId="42009"/>
    <cellStyle name="Uwaga 3 9 10" xfId="42010"/>
    <cellStyle name="Uwaga 3 9 11" xfId="42011"/>
    <cellStyle name="Uwaga 3 9 12" xfId="42012"/>
    <cellStyle name="Uwaga 3 9 13" xfId="42013"/>
    <cellStyle name="Uwaga 3 9 14" xfId="42014"/>
    <cellStyle name="Uwaga 3 9 15" xfId="42015"/>
    <cellStyle name="Uwaga 3 9 16" xfId="42016"/>
    <cellStyle name="Uwaga 3 9 17" xfId="42017"/>
    <cellStyle name="Uwaga 3 9 18" xfId="42018"/>
    <cellStyle name="Uwaga 3 9 19" xfId="42019"/>
    <cellStyle name="Uwaga 3 9 2" xfId="42020"/>
    <cellStyle name="Uwaga 3 9 3" xfId="42021"/>
    <cellStyle name="Uwaga 3 9 4" xfId="42022"/>
    <cellStyle name="Uwaga 3 9 5" xfId="42023"/>
    <cellStyle name="Uwaga 3 9 6" xfId="42024"/>
    <cellStyle name="Uwaga 3 9 7" xfId="42025"/>
    <cellStyle name="Uwaga 3 9 8" xfId="42026"/>
    <cellStyle name="Uwaga 3 9 9" xfId="42027"/>
    <cellStyle name="Uwaga 30" xfId="42028"/>
    <cellStyle name="Uwaga 31" xfId="42029"/>
    <cellStyle name="Uwaga 32" xfId="42030"/>
    <cellStyle name="Uwaga 33" xfId="42031"/>
    <cellStyle name="Uwaga 33 2" xfId="42032"/>
    <cellStyle name="Uwaga 34" xfId="42033"/>
    <cellStyle name="Uwaga 34 2" xfId="42034"/>
    <cellStyle name="Uwaga 35" xfId="42035"/>
    <cellStyle name="Uwaga 35 2" xfId="42036"/>
    <cellStyle name="Uwaga 36" xfId="42037"/>
    <cellStyle name="Uwaga 36 2" xfId="42038"/>
    <cellStyle name="Uwaga 37" xfId="42039"/>
    <cellStyle name="Uwaga 37 2" xfId="42040"/>
    <cellStyle name="Uwaga 38" xfId="42041"/>
    <cellStyle name="Uwaga 38 2" xfId="42042"/>
    <cellStyle name="Uwaga 39" xfId="42043"/>
    <cellStyle name="Uwaga 39 2" xfId="42044"/>
    <cellStyle name="Uwaga 4" xfId="42045"/>
    <cellStyle name="Uwaga 4 10" xfId="42046"/>
    <cellStyle name="Uwaga 4 11" xfId="42047"/>
    <cellStyle name="Uwaga 4 12" xfId="42048"/>
    <cellStyle name="Uwaga 4 13" xfId="42049"/>
    <cellStyle name="Uwaga 4 14" xfId="42050"/>
    <cellStyle name="Uwaga 4 15" xfId="42051"/>
    <cellStyle name="Uwaga 4 16" xfId="42052"/>
    <cellStyle name="Uwaga 4 17" xfId="42053"/>
    <cellStyle name="Uwaga 4 18" xfId="42054"/>
    <cellStyle name="Uwaga 4 19" xfId="42055"/>
    <cellStyle name="Uwaga 4 2" xfId="42056"/>
    <cellStyle name="Uwaga 4 2 2" xfId="42057"/>
    <cellStyle name="Uwaga 4 20" xfId="42058"/>
    <cellStyle name="Uwaga 4 21" xfId="42059"/>
    <cellStyle name="Uwaga 4 22" xfId="42060"/>
    <cellStyle name="Uwaga 4 23" xfId="42061"/>
    <cellStyle name="Uwaga 4 3" xfId="42062"/>
    <cellStyle name="Uwaga 4 3 2" xfId="42063"/>
    <cellStyle name="Uwaga 4 4" xfId="42064"/>
    <cellStyle name="Uwaga 4 4 2" xfId="42065"/>
    <cellStyle name="Uwaga 4 5" xfId="42066"/>
    <cellStyle name="Uwaga 4 6" xfId="42067"/>
    <cellStyle name="Uwaga 4 7" xfId="42068"/>
    <cellStyle name="Uwaga 4 8" xfId="42069"/>
    <cellStyle name="Uwaga 4 9" xfId="42070"/>
    <cellStyle name="Uwaga 40" xfId="42071"/>
    <cellStyle name="Uwaga 40 2" xfId="42072"/>
    <cellStyle name="Uwaga 41" xfId="42073"/>
    <cellStyle name="Uwaga 41 2" xfId="42074"/>
    <cellStyle name="Uwaga 42" xfId="42075"/>
    <cellStyle name="Uwaga 42 2" xfId="42076"/>
    <cellStyle name="Uwaga 43" xfId="42077"/>
    <cellStyle name="Uwaga 43 2" xfId="42078"/>
    <cellStyle name="Uwaga 44" xfId="42079"/>
    <cellStyle name="Uwaga 44 2" xfId="42080"/>
    <cellStyle name="Uwaga 45" xfId="42081"/>
    <cellStyle name="Uwaga 45 2" xfId="42082"/>
    <cellStyle name="Uwaga 46" xfId="42083"/>
    <cellStyle name="Uwaga 46 2" xfId="42084"/>
    <cellStyle name="Uwaga 47" xfId="42085"/>
    <cellStyle name="Uwaga 47 2" xfId="42086"/>
    <cellStyle name="Uwaga 48" xfId="42087"/>
    <cellStyle name="Uwaga 48 2" xfId="42088"/>
    <cellStyle name="Uwaga 49" xfId="42089"/>
    <cellStyle name="Uwaga 49 2" xfId="42090"/>
    <cellStyle name="Uwaga 5" xfId="42091"/>
    <cellStyle name="Uwaga 5 2" xfId="42092"/>
    <cellStyle name="Uwaga 5 3" xfId="42093"/>
    <cellStyle name="Uwaga 5 4" xfId="42094"/>
    <cellStyle name="Uwaga 50" xfId="42095"/>
    <cellStyle name="Uwaga 50 2" xfId="42096"/>
    <cellStyle name="Uwaga 51" xfId="42097"/>
    <cellStyle name="Uwaga 51 2" xfId="42098"/>
    <cellStyle name="Uwaga 52" xfId="42099"/>
    <cellStyle name="Uwaga 52 2" xfId="42100"/>
    <cellStyle name="Uwaga 53" xfId="42101"/>
    <cellStyle name="Uwaga 53 2" xfId="42102"/>
    <cellStyle name="Uwaga 54" xfId="42103"/>
    <cellStyle name="Uwaga 54 2" xfId="42104"/>
    <cellStyle name="Uwaga 55" xfId="42105"/>
    <cellStyle name="Uwaga 55 2" xfId="42106"/>
    <cellStyle name="Uwaga 56" xfId="42107"/>
    <cellStyle name="Uwaga 56 2" xfId="42108"/>
    <cellStyle name="Uwaga 57" xfId="42109"/>
    <cellStyle name="Uwaga 57 2" xfId="42110"/>
    <cellStyle name="Uwaga 58" xfId="42111"/>
    <cellStyle name="Uwaga 58 2" xfId="42112"/>
    <cellStyle name="Uwaga 59" xfId="42113"/>
    <cellStyle name="Uwaga 59 2" xfId="42114"/>
    <cellStyle name="Uwaga 6" xfId="42115"/>
    <cellStyle name="Uwaga 6 2" xfId="42116"/>
    <cellStyle name="Uwaga 6 3" xfId="42117"/>
    <cellStyle name="Uwaga 6 4" xfId="42118"/>
    <cellStyle name="Uwaga 60" xfId="42119"/>
    <cellStyle name="Uwaga 60 2" xfId="42120"/>
    <cellStyle name="Uwaga 61" xfId="42121"/>
    <cellStyle name="Uwaga 61 2" xfId="42122"/>
    <cellStyle name="Uwaga 62" xfId="42123"/>
    <cellStyle name="Uwaga 62 2" xfId="42124"/>
    <cellStyle name="Uwaga 63" xfId="42125"/>
    <cellStyle name="Uwaga 63 2" xfId="42126"/>
    <cellStyle name="Uwaga 64" xfId="42127"/>
    <cellStyle name="Uwaga 64 2" xfId="42128"/>
    <cellStyle name="Uwaga 65" xfId="42129"/>
    <cellStyle name="Uwaga 65 2" xfId="42130"/>
    <cellStyle name="Uwaga 66" xfId="42131"/>
    <cellStyle name="Uwaga 66 2" xfId="42132"/>
    <cellStyle name="Uwaga 67" xfId="42133"/>
    <cellStyle name="Uwaga 67 2" xfId="42134"/>
    <cellStyle name="Uwaga 68" xfId="42135"/>
    <cellStyle name="Uwaga 68 2" xfId="42136"/>
    <cellStyle name="Uwaga 69" xfId="42137"/>
    <cellStyle name="Uwaga 69 2" xfId="42138"/>
    <cellStyle name="Uwaga 7" xfId="42139"/>
    <cellStyle name="Uwaga 7 2" xfId="42140"/>
    <cellStyle name="Uwaga 7 3" xfId="42141"/>
    <cellStyle name="Uwaga 7 4" xfId="42142"/>
    <cellStyle name="Uwaga 70" xfId="42143"/>
    <cellStyle name="Uwaga 70 2" xfId="42144"/>
    <cellStyle name="Uwaga 71" xfId="42145"/>
    <cellStyle name="Uwaga 71 2" xfId="42146"/>
    <cellStyle name="Uwaga 72" xfId="42147"/>
    <cellStyle name="Uwaga 72 2" xfId="42148"/>
    <cellStyle name="Uwaga 73" xfId="42149"/>
    <cellStyle name="Uwaga 73 2" xfId="42150"/>
    <cellStyle name="Uwaga 74" xfId="42151"/>
    <cellStyle name="Uwaga 74 2" xfId="42152"/>
    <cellStyle name="Uwaga 75" xfId="42153"/>
    <cellStyle name="Uwaga 75 2" xfId="42154"/>
    <cellStyle name="Uwaga 76" xfId="42155"/>
    <cellStyle name="Uwaga 76 2" xfId="42156"/>
    <cellStyle name="Uwaga 77" xfId="42157"/>
    <cellStyle name="Uwaga 77 2" xfId="42158"/>
    <cellStyle name="Uwaga 78" xfId="42159"/>
    <cellStyle name="Uwaga 78 2" xfId="42160"/>
    <cellStyle name="Uwaga 79" xfId="42161"/>
    <cellStyle name="Uwaga 79 2" xfId="42162"/>
    <cellStyle name="Uwaga 8" xfId="42163"/>
    <cellStyle name="Uwaga 8 2" xfId="42164"/>
    <cellStyle name="Uwaga 8 3" xfId="42165"/>
    <cellStyle name="Uwaga 80" xfId="42166"/>
    <cellStyle name="Uwaga 80 2" xfId="42167"/>
    <cellStyle name="Uwaga 81" xfId="42168"/>
    <cellStyle name="Uwaga 81 2" xfId="42169"/>
    <cellStyle name="Uwaga 82" xfId="42170"/>
    <cellStyle name="Uwaga 82 2" xfId="42171"/>
    <cellStyle name="Uwaga 83" xfId="42172"/>
    <cellStyle name="Uwaga 83 2" xfId="42173"/>
    <cellStyle name="Uwaga 84" xfId="42174"/>
    <cellStyle name="Uwaga 84 2" xfId="42175"/>
    <cellStyle name="Uwaga 85" xfId="42176"/>
    <cellStyle name="Uwaga 85 2" xfId="42177"/>
    <cellStyle name="Uwaga 86" xfId="42178"/>
    <cellStyle name="Uwaga 86 2" xfId="42179"/>
    <cellStyle name="Uwaga 87" xfId="42180"/>
    <cellStyle name="Uwaga 87 2" xfId="42181"/>
    <cellStyle name="Uwaga 88" xfId="42182"/>
    <cellStyle name="Uwaga 88 2" xfId="42183"/>
    <cellStyle name="Uwaga 89" xfId="42184"/>
    <cellStyle name="Uwaga 89 2" xfId="42185"/>
    <cellStyle name="Uwaga 9" xfId="42186"/>
    <cellStyle name="Uwaga 90" xfId="42187"/>
    <cellStyle name="Uwaga 90 2" xfId="42188"/>
    <cellStyle name="Uwaga 91" xfId="42189"/>
    <cellStyle name="Uwaga 91 2" xfId="42190"/>
    <cellStyle name="Uwaga 92" xfId="42191"/>
    <cellStyle name="Uwaga 92 2" xfId="42192"/>
    <cellStyle name="Uwaga 93" xfId="42193"/>
    <cellStyle name="Uwaga 93 2" xfId="42194"/>
    <cellStyle name="Uwaga 94" xfId="42195"/>
    <cellStyle name="Uwaga 94 2" xfId="42196"/>
    <cellStyle name="Uwaga 95" xfId="42197"/>
    <cellStyle name="Uwaga 95 2" xfId="42198"/>
    <cellStyle name="Uwaga 96" xfId="42199"/>
    <cellStyle name="Uwaga 96 2" xfId="42200"/>
    <cellStyle name="Uwaga 97" xfId="42201"/>
    <cellStyle name="Uwaga 97 2" xfId="42202"/>
    <cellStyle name="Uwaga 98" xfId="42203"/>
    <cellStyle name="Uwaga 98 2" xfId="42204"/>
    <cellStyle name="Uwaga 99" xfId="42205"/>
    <cellStyle name="Uwaga 99 2" xfId="42206"/>
    <cellStyle name="Valuta - Style2" xfId="42207"/>
    <cellStyle name="Valuta (0)" xfId="42208"/>
    <cellStyle name="Valuta_Ark1" xfId="42209"/>
    <cellStyle name="Währung [0]_Bal sheet - Liab. IHSW" xfId="42210"/>
    <cellStyle name="Währung_Bal sheet - Liab. IHSW" xfId="42211"/>
    <cellStyle name="Walutowy 2" xfId="42212"/>
    <cellStyle name="Walutowy 2 10" xfId="42213"/>
    <cellStyle name="Walutowy 2 11" xfId="42214"/>
    <cellStyle name="Walutowy 2 12" xfId="42215"/>
    <cellStyle name="Walutowy 2 13" xfId="42216"/>
    <cellStyle name="Walutowy 2 14" xfId="42217"/>
    <cellStyle name="Walutowy 2 15" xfId="42218"/>
    <cellStyle name="Walutowy 2 16" xfId="42219"/>
    <cellStyle name="Walutowy 2 17" xfId="42220"/>
    <cellStyle name="Walutowy 2 18" xfId="42221"/>
    <cellStyle name="Walutowy 2 2" xfId="42222"/>
    <cellStyle name="Walutowy 2 2 2" xfId="42223"/>
    <cellStyle name="Walutowy 2 2 3" xfId="42224"/>
    <cellStyle name="Walutowy 2 2 4" xfId="42225"/>
    <cellStyle name="Walutowy 2 2 5" xfId="42226"/>
    <cellStyle name="Walutowy 2 2 6" xfId="42227"/>
    <cellStyle name="Walutowy 2 2 7" xfId="42228"/>
    <cellStyle name="Walutowy 2 3" xfId="42229"/>
    <cellStyle name="Walutowy 2 3 2" xfId="42230"/>
    <cellStyle name="Walutowy 2 3 3" xfId="42231"/>
    <cellStyle name="Walutowy 2 3 4" xfId="42232"/>
    <cellStyle name="Walutowy 2 4" xfId="42233"/>
    <cellStyle name="Walutowy 2 5" xfId="42234"/>
    <cellStyle name="Walutowy 2 6" xfId="42235"/>
    <cellStyle name="Walutowy 2 7" xfId="42236"/>
    <cellStyle name="Walutowy 2 8" xfId="42237"/>
    <cellStyle name="Walutowy 2 9" xfId="42238"/>
    <cellStyle name="Walutowy 3" xfId="42239"/>
    <cellStyle name="Walutowy 3 10" xfId="42240"/>
    <cellStyle name="Walutowy 3 11" xfId="42241"/>
    <cellStyle name="Walutowy 3 12" xfId="42242"/>
    <cellStyle name="Walutowy 3 13" xfId="42243"/>
    <cellStyle name="Walutowy 3 14" xfId="42244"/>
    <cellStyle name="Walutowy 3 15" xfId="42245"/>
    <cellStyle name="Walutowy 3 16" xfId="42246"/>
    <cellStyle name="Walutowy 3 17" xfId="42247"/>
    <cellStyle name="Walutowy 3 18" xfId="42248"/>
    <cellStyle name="Walutowy 3 19" xfId="42249"/>
    <cellStyle name="Walutowy 3 2" xfId="42250"/>
    <cellStyle name="Walutowy 3 20" xfId="42251"/>
    <cellStyle name="Walutowy 3 3" xfId="42252"/>
    <cellStyle name="Walutowy 3 4" xfId="42253"/>
    <cellStyle name="Walutowy 3 5" xfId="42254"/>
    <cellStyle name="Walutowy 3 6" xfId="42255"/>
    <cellStyle name="Walutowy 3 7" xfId="42256"/>
    <cellStyle name="Walutowy 3 8" xfId="42257"/>
    <cellStyle name="Walutowy 3 9" xfId="42258"/>
    <cellStyle name="Walutowy 4" xfId="42259"/>
    <cellStyle name="Walutowy 5" xfId="42260"/>
    <cellStyle name="Złe 2" xfId="42261"/>
    <cellStyle name="Złe 2 10" xfId="42262"/>
    <cellStyle name="Złe 2 10 10" xfId="42263"/>
    <cellStyle name="Złe 2 10 11" xfId="42264"/>
    <cellStyle name="Złe 2 10 12" xfId="42265"/>
    <cellStyle name="Złe 2 10 13" xfId="42266"/>
    <cellStyle name="Złe 2 10 14" xfId="42267"/>
    <cellStyle name="Złe 2 10 15" xfId="42268"/>
    <cellStyle name="Złe 2 10 16" xfId="42269"/>
    <cellStyle name="Złe 2 10 17" xfId="42270"/>
    <cellStyle name="Złe 2 10 18" xfId="42271"/>
    <cellStyle name="Złe 2 10 19" xfId="42272"/>
    <cellStyle name="Złe 2 10 2" xfId="42273"/>
    <cellStyle name="Złe 2 10 3" xfId="42274"/>
    <cellStyle name="Złe 2 10 4" xfId="42275"/>
    <cellStyle name="Złe 2 10 5" xfId="42276"/>
    <cellStyle name="Złe 2 10 6" xfId="42277"/>
    <cellStyle name="Złe 2 10 7" xfId="42278"/>
    <cellStyle name="Złe 2 10 8" xfId="42279"/>
    <cellStyle name="Złe 2 10 9" xfId="42280"/>
    <cellStyle name="Złe 2 11" xfId="42281"/>
    <cellStyle name="Złe 2 11 10" xfId="42282"/>
    <cellStyle name="Złe 2 11 11" xfId="42283"/>
    <cellStyle name="Złe 2 11 12" xfId="42284"/>
    <cellStyle name="Złe 2 11 13" xfId="42285"/>
    <cellStyle name="Złe 2 11 14" xfId="42286"/>
    <cellStyle name="Złe 2 11 15" xfId="42287"/>
    <cellStyle name="Złe 2 11 16" xfId="42288"/>
    <cellStyle name="Złe 2 11 17" xfId="42289"/>
    <cellStyle name="Złe 2 11 18" xfId="42290"/>
    <cellStyle name="Złe 2 11 19" xfId="42291"/>
    <cellStyle name="Złe 2 11 2" xfId="42292"/>
    <cellStyle name="Złe 2 11 3" xfId="42293"/>
    <cellStyle name="Złe 2 11 4" xfId="42294"/>
    <cellStyle name="Złe 2 11 5" xfId="42295"/>
    <cellStyle name="Złe 2 11 6" xfId="42296"/>
    <cellStyle name="Złe 2 11 7" xfId="42297"/>
    <cellStyle name="Złe 2 11 8" xfId="42298"/>
    <cellStyle name="Złe 2 11 9" xfId="42299"/>
    <cellStyle name="Złe 2 12" xfId="42300"/>
    <cellStyle name="Złe 2 12 10" xfId="42301"/>
    <cellStyle name="Złe 2 12 11" xfId="42302"/>
    <cellStyle name="Złe 2 12 12" xfId="42303"/>
    <cellStyle name="Złe 2 12 13" xfId="42304"/>
    <cellStyle name="Złe 2 12 14" xfId="42305"/>
    <cellStyle name="Złe 2 12 15" xfId="42306"/>
    <cellStyle name="Złe 2 12 16" xfId="42307"/>
    <cellStyle name="Złe 2 12 17" xfId="42308"/>
    <cellStyle name="Złe 2 12 18" xfId="42309"/>
    <cellStyle name="Złe 2 12 19" xfId="42310"/>
    <cellStyle name="Złe 2 12 2" xfId="42311"/>
    <cellStyle name="Złe 2 12 3" xfId="42312"/>
    <cellStyle name="Złe 2 12 4" xfId="42313"/>
    <cellStyle name="Złe 2 12 5" xfId="42314"/>
    <cellStyle name="Złe 2 12 6" xfId="42315"/>
    <cellStyle name="Złe 2 12 7" xfId="42316"/>
    <cellStyle name="Złe 2 12 8" xfId="42317"/>
    <cellStyle name="Złe 2 12 9" xfId="42318"/>
    <cellStyle name="Złe 2 13" xfId="42319"/>
    <cellStyle name="Złe 2 13 10" xfId="42320"/>
    <cellStyle name="Złe 2 13 11" xfId="42321"/>
    <cellStyle name="Złe 2 13 12" xfId="42322"/>
    <cellStyle name="Złe 2 13 13" xfId="42323"/>
    <cellStyle name="Złe 2 13 14" xfId="42324"/>
    <cellStyle name="Złe 2 13 15" xfId="42325"/>
    <cellStyle name="Złe 2 13 16" xfId="42326"/>
    <cellStyle name="Złe 2 13 17" xfId="42327"/>
    <cellStyle name="Złe 2 13 18" xfId="42328"/>
    <cellStyle name="Złe 2 13 19" xfId="42329"/>
    <cellStyle name="Złe 2 13 2" xfId="42330"/>
    <cellStyle name="Złe 2 13 3" xfId="42331"/>
    <cellStyle name="Złe 2 13 4" xfId="42332"/>
    <cellStyle name="Złe 2 13 5" xfId="42333"/>
    <cellStyle name="Złe 2 13 6" xfId="42334"/>
    <cellStyle name="Złe 2 13 7" xfId="42335"/>
    <cellStyle name="Złe 2 13 8" xfId="42336"/>
    <cellStyle name="Złe 2 13 9" xfId="42337"/>
    <cellStyle name="Złe 2 14" xfId="42338"/>
    <cellStyle name="Złe 2 14 10" xfId="42339"/>
    <cellStyle name="Złe 2 14 11" xfId="42340"/>
    <cellStyle name="Złe 2 14 12" xfId="42341"/>
    <cellStyle name="Złe 2 14 13" xfId="42342"/>
    <cellStyle name="Złe 2 14 14" xfId="42343"/>
    <cellStyle name="Złe 2 14 15" xfId="42344"/>
    <cellStyle name="Złe 2 14 16" xfId="42345"/>
    <cellStyle name="Złe 2 14 17" xfId="42346"/>
    <cellStyle name="Złe 2 14 18" xfId="42347"/>
    <cellStyle name="Złe 2 14 19" xfId="42348"/>
    <cellStyle name="Złe 2 14 2" xfId="42349"/>
    <cellStyle name="Złe 2 14 3" xfId="42350"/>
    <cellStyle name="Złe 2 14 4" xfId="42351"/>
    <cellStyle name="Złe 2 14 5" xfId="42352"/>
    <cellStyle name="Złe 2 14 6" xfId="42353"/>
    <cellStyle name="Złe 2 14 7" xfId="42354"/>
    <cellStyle name="Złe 2 14 8" xfId="42355"/>
    <cellStyle name="Złe 2 14 9" xfId="42356"/>
    <cellStyle name="Złe 2 15" xfId="42357"/>
    <cellStyle name="Złe 2 15 10" xfId="42358"/>
    <cellStyle name="Złe 2 15 11" xfId="42359"/>
    <cellStyle name="Złe 2 15 12" xfId="42360"/>
    <cellStyle name="Złe 2 15 13" xfId="42361"/>
    <cellStyle name="Złe 2 15 14" xfId="42362"/>
    <cellStyle name="Złe 2 15 15" xfId="42363"/>
    <cellStyle name="Złe 2 15 16" xfId="42364"/>
    <cellStyle name="Złe 2 15 17" xfId="42365"/>
    <cellStyle name="Złe 2 15 18" xfId="42366"/>
    <cellStyle name="Złe 2 15 19" xfId="42367"/>
    <cellStyle name="Złe 2 15 2" xfId="42368"/>
    <cellStyle name="Złe 2 15 3" xfId="42369"/>
    <cellStyle name="Złe 2 15 4" xfId="42370"/>
    <cellStyle name="Złe 2 15 5" xfId="42371"/>
    <cellStyle name="Złe 2 15 6" xfId="42372"/>
    <cellStyle name="Złe 2 15 7" xfId="42373"/>
    <cellStyle name="Złe 2 15 8" xfId="42374"/>
    <cellStyle name="Złe 2 15 9" xfId="42375"/>
    <cellStyle name="Złe 2 16" xfId="42376"/>
    <cellStyle name="Złe 2 16 10" xfId="42377"/>
    <cellStyle name="Złe 2 16 11" xfId="42378"/>
    <cellStyle name="Złe 2 16 12" xfId="42379"/>
    <cellStyle name="Złe 2 16 13" xfId="42380"/>
    <cellStyle name="Złe 2 16 14" xfId="42381"/>
    <cellStyle name="Złe 2 16 15" xfId="42382"/>
    <cellStyle name="Złe 2 16 16" xfId="42383"/>
    <cellStyle name="Złe 2 16 17" xfId="42384"/>
    <cellStyle name="Złe 2 16 18" xfId="42385"/>
    <cellStyle name="Złe 2 16 19" xfId="42386"/>
    <cellStyle name="Złe 2 16 2" xfId="42387"/>
    <cellStyle name="Złe 2 16 3" xfId="42388"/>
    <cellStyle name="Złe 2 16 4" xfId="42389"/>
    <cellStyle name="Złe 2 16 5" xfId="42390"/>
    <cellStyle name="Złe 2 16 6" xfId="42391"/>
    <cellStyle name="Złe 2 16 7" xfId="42392"/>
    <cellStyle name="Złe 2 16 8" xfId="42393"/>
    <cellStyle name="Złe 2 16 9" xfId="42394"/>
    <cellStyle name="Złe 2 17" xfId="42395"/>
    <cellStyle name="Złe 2 17 10" xfId="42396"/>
    <cellStyle name="Złe 2 17 11" xfId="42397"/>
    <cellStyle name="Złe 2 17 12" xfId="42398"/>
    <cellStyle name="Złe 2 17 13" xfId="42399"/>
    <cellStyle name="Złe 2 17 14" xfId="42400"/>
    <cellStyle name="Złe 2 17 15" xfId="42401"/>
    <cellStyle name="Złe 2 17 16" xfId="42402"/>
    <cellStyle name="Złe 2 17 17" xfId="42403"/>
    <cellStyle name="Złe 2 17 18" xfId="42404"/>
    <cellStyle name="Złe 2 17 19" xfId="42405"/>
    <cellStyle name="Złe 2 17 2" xfId="42406"/>
    <cellStyle name="Złe 2 17 3" xfId="42407"/>
    <cellStyle name="Złe 2 17 4" xfId="42408"/>
    <cellStyle name="Złe 2 17 5" xfId="42409"/>
    <cellStyle name="Złe 2 17 6" xfId="42410"/>
    <cellStyle name="Złe 2 17 7" xfId="42411"/>
    <cellStyle name="Złe 2 17 8" xfId="42412"/>
    <cellStyle name="Złe 2 17 9" xfId="42413"/>
    <cellStyle name="Złe 2 18" xfId="42414"/>
    <cellStyle name="Złe 2 18 10" xfId="42415"/>
    <cellStyle name="Złe 2 18 11" xfId="42416"/>
    <cellStyle name="Złe 2 18 12" xfId="42417"/>
    <cellStyle name="Złe 2 18 13" xfId="42418"/>
    <cellStyle name="Złe 2 18 14" xfId="42419"/>
    <cellStyle name="Złe 2 18 15" xfId="42420"/>
    <cellStyle name="Złe 2 18 16" xfId="42421"/>
    <cellStyle name="Złe 2 18 17" xfId="42422"/>
    <cellStyle name="Złe 2 18 18" xfId="42423"/>
    <cellStyle name="Złe 2 18 19" xfId="42424"/>
    <cellStyle name="Złe 2 18 2" xfId="42425"/>
    <cellStyle name="Złe 2 18 3" xfId="42426"/>
    <cellStyle name="Złe 2 18 4" xfId="42427"/>
    <cellStyle name="Złe 2 18 5" xfId="42428"/>
    <cellStyle name="Złe 2 18 6" xfId="42429"/>
    <cellStyle name="Złe 2 18 7" xfId="42430"/>
    <cellStyle name="Złe 2 18 8" xfId="42431"/>
    <cellStyle name="Złe 2 18 9" xfId="42432"/>
    <cellStyle name="Złe 2 19" xfId="42433"/>
    <cellStyle name="Złe 2 19 10" xfId="42434"/>
    <cellStyle name="Złe 2 19 11" xfId="42435"/>
    <cellStyle name="Złe 2 19 12" xfId="42436"/>
    <cellStyle name="Złe 2 19 13" xfId="42437"/>
    <cellStyle name="Złe 2 19 14" xfId="42438"/>
    <cellStyle name="Złe 2 19 15" xfId="42439"/>
    <cellStyle name="Złe 2 19 16" xfId="42440"/>
    <cellStyle name="Złe 2 19 17" xfId="42441"/>
    <cellStyle name="Złe 2 19 18" xfId="42442"/>
    <cellStyle name="Złe 2 19 19" xfId="42443"/>
    <cellStyle name="Złe 2 19 2" xfId="42444"/>
    <cellStyle name="Złe 2 19 3" xfId="42445"/>
    <cellStyle name="Złe 2 19 4" xfId="42446"/>
    <cellStyle name="Złe 2 19 5" xfId="42447"/>
    <cellStyle name="Złe 2 19 6" xfId="42448"/>
    <cellStyle name="Złe 2 19 7" xfId="42449"/>
    <cellStyle name="Złe 2 19 8" xfId="42450"/>
    <cellStyle name="Złe 2 19 9" xfId="42451"/>
    <cellStyle name="Złe 2 2" xfId="42452"/>
    <cellStyle name="Złe 2 2 10" xfId="42453"/>
    <cellStyle name="Złe 2 2 11" xfId="42454"/>
    <cellStyle name="Złe 2 2 12" xfId="42455"/>
    <cellStyle name="Złe 2 2 13" xfId="42456"/>
    <cellStyle name="Złe 2 2 14" xfId="42457"/>
    <cellStyle name="Złe 2 2 15" xfId="42458"/>
    <cellStyle name="Złe 2 2 16" xfId="42459"/>
    <cellStyle name="Złe 2 2 17" xfId="42460"/>
    <cellStyle name="Złe 2 2 18" xfId="42461"/>
    <cellStyle name="Złe 2 2 19" xfId="42462"/>
    <cellStyle name="Złe 2 2 2" xfId="42463"/>
    <cellStyle name="Złe 2 2 20" xfId="42464"/>
    <cellStyle name="Złe 2 2 3" xfId="42465"/>
    <cellStyle name="Złe 2 2 4" xfId="42466"/>
    <cellStyle name="Złe 2 2 5" xfId="42467"/>
    <cellStyle name="Złe 2 2 6" xfId="42468"/>
    <cellStyle name="Złe 2 2 7" xfId="42469"/>
    <cellStyle name="Złe 2 2 8" xfId="42470"/>
    <cellStyle name="Złe 2 2 9" xfId="42471"/>
    <cellStyle name="Złe 2 20" xfId="42472"/>
    <cellStyle name="Złe 2 20 10" xfId="42473"/>
    <cellStyle name="Złe 2 20 11" xfId="42474"/>
    <cellStyle name="Złe 2 20 12" xfId="42475"/>
    <cellStyle name="Złe 2 20 13" xfId="42476"/>
    <cellStyle name="Złe 2 20 14" xfId="42477"/>
    <cellStyle name="Złe 2 20 15" xfId="42478"/>
    <cellStyle name="Złe 2 20 16" xfId="42479"/>
    <cellStyle name="Złe 2 20 17" xfId="42480"/>
    <cellStyle name="Złe 2 20 18" xfId="42481"/>
    <cellStyle name="Złe 2 20 19" xfId="42482"/>
    <cellStyle name="Złe 2 20 2" xfId="42483"/>
    <cellStyle name="Złe 2 20 3" xfId="42484"/>
    <cellStyle name="Złe 2 20 4" xfId="42485"/>
    <cellStyle name="Złe 2 20 5" xfId="42486"/>
    <cellStyle name="Złe 2 20 6" xfId="42487"/>
    <cellStyle name="Złe 2 20 7" xfId="42488"/>
    <cellStyle name="Złe 2 20 8" xfId="42489"/>
    <cellStyle name="Złe 2 20 9" xfId="42490"/>
    <cellStyle name="Złe 2 21" xfId="42491"/>
    <cellStyle name="Złe 2 21 10" xfId="42492"/>
    <cellStyle name="Złe 2 21 11" xfId="42493"/>
    <cellStyle name="Złe 2 21 12" xfId="42494"/>
    <cellStyle name="Złe 2 21 13" xfId="42495"/>
    <cellStyle name="Złe 2 21 14" xfId="42496"/>
    <cellStyle name="Złe 2 21 15" xfId="42497"/>
    <cellStyle name="Złe 2 21 16" xfId="42498"/>
    <cellStyle name="Złe 2 21 17" xfId="42499"/>
    <cellStyle name="Złe 2 21 18" xfId="42500"/>
    <cellStyle name="Złe 2 21 19" xfId="42501"/>
    <cellStyle name="Złe 2 21 2" xfId="42502"/>
    <cellStyle name="Złe 2 21 3" xfId="42503"/>
    <cellStyle name="Złe 2 21 4" xfId="42504"/>
    <cellStyle name="Złe 2 21 5" xfId="42505"/>
    <cellStyle name="Złe 2 21 6" xfId="42506"/>
    <cellStyle name="Złe 2 21 7" xfId="42507"/>
    <cellStyle name="Złe 2 21 8" xfId="42508"/>
    <cellStyle name="Złe 2 21 9" xfId="42509"/>
    <cellStyle name="Złe 2 22" xfId="42510"/>
    <cellStyle name="Złe 2 22 10" xfId="42511"/>
    <cellStyle name="Złe 2 22 11" xfId="42512"/>
    <cellStyle name="Złe 2 22 12" xfId="42513"/>
    <cellStyle name="Złe 2 22 13" xfId="42514"/>
    <cellStyle name="Złe 2 22 14" xfId="42515"/>
    <cellStyle name="Złe 2 22 15" xfId="42516"/>
    <cellStyle name="Złe 2 22 16" xfId="42517"/>
    <cellStyle name="Złe 2 22 17" xfId="42518"/>
    <cellStyle name="Złe 2 22 18" xfId="42519"/>
    <cellStyle name="Złe 2 22 19" xfId="42520"/>
    <cellStyle name="Złe 2 22 2" xfId="42521"/>
    <cellStyle name="Złe 2 22 3" xfId="42522"/>
    <cellStyle name="Złe 2 22 4" xfId="42523"/>
    <cellStyle name="Złe 2 22 5" xfId="42524"/>
    <cellStyle name="Złe 2 22 6" xfId="42525"/>
    <cellStyle name="Złe 2 22 7" xfId="42526"/>
    <cellStyle name="Złe 2 22 8" xfId="42527"/>
    <cellStyle name="Złe 2 22 9" xfId="42528"/>
    <cellStyle name="Złe 2 23" xfId="42529"/>
    <cellStyle name="Złe 2 23 10" xfId="42530"/>
    <cellStyle name="Złe 2 23 11" xfId="42531"/>
    <cellStyle name="Złe 2 23 12" xfId="42532"/>
    <cellStyle name="Złe 2 23 13" xfId="42533"/>
    <cellStyle name="Złe 2 23 14" xfId="42534"/>
    <cellStyle name="Złe 2 23 15" xfId="42535"/>
    <cellStyle name="Złe 2 23 16" xfId="42536"/>
    <cellStyle name="Złe 2 23 17" xfId="42537"/>
    <cellStyle name="Złe 2 23 18" xfId="42538"/>
    <cellStyle name="Złe 2 23 19" xfId="42539"/>
    <cellStyle name="Złe 2 23 2" xfId="42540"/>
    <cellStyle name="Złe 2 23 3" xfId="42541"/>
    <cellStyle name="Złe 2 23 4" xfId="42542"/>
    <cellStyle name="Złe 2 23 5" xfId="42543"/>
    <cellStyle name="Złe 2 23 6" xfId="42544"/>
    <cellStyle name="Złe 2 23 7" xfId="42545"/>
    <cellStyle name="Złe 2 23 8" xfId="42546"/>
    <cellStyle name="Złe 2 23 9" xfId="42547"/>
    <cellStyle name="Złe 2 24" xfId="42548"/>
    <cellStyle name="Złe 2 24 10" xfId="42549"/>
    <cellStyle name="Złe 2 24 11" xfId="42550"/>
    <cellStyle name="Złe 2 24 12" xfId="42551"/>
    <cellStyle name="Złe 2 24 13" xfId="42552"/>
    <cellStyle name="Złe 2 24 14" xfId="42553"/>
    <cellStyle name="Złe 2 24 15" xfId="42554"/>
    <cellStyle name="Złe 2 24 16" xfId="42555"/>
    <cellStyle name="Złe 2 24 17" xfId="42556"/>
    <cellStyle name="Złe 2 24 18" xfId="42557"/>
    <cellStyle name="Złe 2 24 19" xfId="42558"/>
    <cellStyle name="Złe 2 24 2" xfId="42559"/>
    <cellStyle name="Złe 2 24 3" xfId="42560"/>
    <cellStyle name="Złe 2 24 4" xfId="42561"/>
    <cellStyle name="Złe 2 24 5" xfId="42562"/>
    <cellStyle name="Złe 2 24 6" xfId="42563"/>
    <cellStyle name="Złe 2 24 7" xfId="42564"/>
    <cellStyle name="Złe 2 24 8" xfId="42565"/>
    <cellStyle name="Złe 2 24 9" xfId="42566"/>
    <cellStyle name="Złe 2 25" xfId="42567"/>
    <cellStyle name="Złe 2 25 10" xfId="42568"/>
    <cellStyle name="Złe 2 25 11" xfId="42569"/>
    <cellStyle name="Złe 2 25 12" xfId="42570"/>
    <cellStyle name="Złe 2 25 13" xfId="42571"/>
    <cellStyle name="Złe 2 25 14" xfId="42572"/>
    <cellStyle name="Złe 2 25 15" xfId="42573"/>
    <cellStyle name="Złe 2 25 16" xfId="42574"/>
    <cellStyle name="Złe 2 25 17" xfId="42575"/>
    <cellStyle name="Złe 2 25 18" xfId="42576"/>
    <cellStyle name="Złe 2 25 19" xfId="42577"/>
    <cellStyle name="Złe 2 25 2" xfId="42578"/>
    <cellStyle name="Złe 2 25 3" xfId="42579"/>
    <cellStyle name="Złe 2 25 4" xfId="42580"/>
    <cellStyle name="Złe 2 25 5" xfId="42581"/>
    <cellStyle name="Złe 2 25 6" xfId="42582"/>
    <cellStyle name="Złe 2 25 7" xfId="42583"/>
    <cellStyle name="Złe 2 25 8" xfId="42584"/>
    <cellStyle name="Złe 2 25 9" xfId="42585"/>
    <cellStyle name="Złe 2 26" xfId="42586"/>
    <cellStyle name="Złe 2 26 10" xfId="42587"/>
    <cellStyle name="Złe 2 26 11" xfId="42588"/>
    <cellStyle name="Złe 2 26 12" xfId="42589"/>
    <cellStyle name="Złe 2 26 13" xfId="42590"/>
    <cellStyle name="Złe 2 26 14" xfId="42591"/>
    <cellStyle name="Złe 2 26 15" xfId="42592"/>
    <cellStyle name="Złe 2 26 16" xfId="42593"/>
    <cellStyle name="Złe 2 26 17" xfId="42594"/>
    <cellStyle name="Złe 2 26 18" xfId="42595"/>
    <cellStyle name="Złe 2 26 19" xfId="42596"/>
    <cellStyle name="Złe 2 26 2" xfId="42597"/>
    <cellStyle name="Złe 2 26 3" xfId="42598"/>
    <cellStyle name="Złe 2 26 4" xfId="42599"/>
    <cellStyle name="Złe 2 26 5" xfId="42600"/>
    <cellStyle name="Złe 2 26 6" xfId="42601"/>
    <cellStyle name="Złe 2 26 7" xfId="42602"/>
    <cellStyle name="Złe 2 26 8" xfId="42603"/>
    <cellStyle name="Złe 2 26 9" xfId="42604"/>
    <cellStyle name="Złe 2 27" xfId="42605"/>
    <cellStyle name="Złe 2 27 10" xfId="42606"/>
    <cellStyle name="Złe 2 27 11" xfId="42607"/>
    <cellStyle name="Złe 2 27 12" xfId="42608"/>
    <cellStyle name="Złe 2 27 13" xfId="42609"/>
    <cellStyle name="Złe 2 27 14" xfId="42610"/>
    <cellStyle name="Złe 2 27 15" xfId="42611"/>
    <cellStyle name="Złe 2 27 16" xfId="42612"/>
    <cellStyle name="Złe 2 27 17" xfId="42613"/>
    <cellStyle name="Złe 2 27 18" xfId="42614"/>
    <cellStyle name="Złe 2 27 19" xfId="42615"/>
    <cellStyle name="Złe 2 27 2" xfId="42616"/>
    <cellStyle name="Złe 2 27 3" xfId="42617"/>
    <cellStyle name="Złe 2 27 4" xfId="42618"/>
    <cellStyle name="Złe 2 27 5" xfId="42619"/>
    <cellStyle name="Złe 2 27 6" xfId="42620"/>
    <cellStyle name="Złe 2 27 7" xfId="42621"/>
    <cellStyle name="Złe 2 27 8" xfId="42622"/>
    <cellStyle name="Złe 2 27 9" xfId="42623"/>
    <cellStyle name="Złe 2 28" xfId="42624"/>
    <cellStyle name="Złe 2 28 10" xfId="42625"/>
    <cellStyle name="Złe 2 28 11" xfId="42626"/>
    <cellStyle name="Złe 2 28 12" xfId="42627"/>
    <cellStyle name="Złe 2 28 13" xfId="42628"/>
    <cellStyle name="Złe 2 28 14" xfId="42629"/>
    <cellStyle name="Złe 2 28 15" xfId="42630"/>
    <cellStyle name="Złe 2 28 16" xfId="42631"/>
    <cellStyle name="Złe 2 28 17" xfId="42632"/>
    <cellStyle name="Złe 2 28 18" xfId="42633"/>
    <cellStyle name="Złe 2 28 19" xfId="42634"/>
    <cellStyle name="Złe 2 28 2" xfId="42635"/>
    <cellStyle name="Złe 2 28 3" xfId="42636"/>
    <cellStyle name="Złe 2 28 4" xfId="42637"/>
    <cellStyle name="Złe 2 28 5" xfId="42638"/>
    <cellStyle name="Złe 2 28 6" xfId="42639"/>
    <cellStyle name="Złe 2 28 7" xfId="42640"/>
    <cellStyle name="Złe 2 28 8" xfId="42641"/>
    <cellStyle name="Złe 2 28 9" xfId="42642"/>
    <cellStyle name="Złe 2 29" xfId="42643"/>
    <cellStyle name="Złe 2 29 2" xfId="42644"/>
    <cellStyle name="Złe 2 3" xfId="42645"/>
    <cellStyle name="Złe 2 3 10" xfId="42646"/>
    <cellStyle name="Złe 2 3 11" xfId="42647"/>
    <cellStyle name="Złe 2 3 12" xfId="42648"/>
    <cellStyle name="Złe 2 3 13" xfId="42649"/>
    <cellStyle name="Złe 2 3 14" xfId="42650"/>
    <cellStyle name="Złe 2 3 15" xfId="42651"/>
    <cellStyle name="Złe 2 3 16" xfId="42652"/>
    <cellStyle name="Złe 2 3 17" xfId="42653"/>
    <cellStyle name="Złe 2 3 18" xfId="42654"/>
    <cellStyle name="Złe 2 3 19" xfId="42655"/>
    <cellStyle name="Złe 2 3 2" xfId="42656"/>
    <cellStyle name="Złe 2 3 3" xfId="42657"/>
    <cellStyle name="Złe 2 3 4" xfId="42658"/>
    <cellStyle name="Złe 2 3 5" xfId="42659"/>
    <cellStyle name="Złe 2 3 6" xfId="42660"/>
    <cellStyle name="Złe 2 3 7" xfId="42661"/>
    <cellStyle name="Złe 2 3 8" xfId="42662"/>
    <cellStyle name="Złe 2 3 9" xfId="42663"/>
    <cellStyle name="Złe 2 30" xfId="42664"/>
    <cellStyle name="Złe 2 30 2" xfId="42665"/>
    <cellStyle name="Złe 2 31" xfId="42666"/>
    <cellStyle name="Złe 2 31 2" xfId="42667"/>
    <cellStyle name="Złe 2 32" xfId="42668"/>
    <cellStyle name="Złe 2 32 2" xfId="42669"/>
    <cellStyle name="Złe 2 33" xfId="42670"/>
    <cellStyle name="Złe 2 34" xfId="42671"/>
    <cellStyle name="Złe 2 35" xfId="42672"/>
    <cellStyle name="Złe 2 36" xfId="42673"/>
    <cellStyle name="Złe 2 37" xfId="42674"/>
    <cellStyle name="Złe 2 38" xfId="42675"/>
    <cellStyle name="Złe 2 39" xfId="42676"/>
    <cellStyle name="Złe 2 4" xfId="42677"/>
    <cellStyle name="Złe 2 4 10" xfId="42678"/>
    <cellStyle name="Złe 2 4 11" xfId="42679"/>
    <cellStyle name="Złe 2 4 12" xfId="42680"/>
    <cellStyle name="Złe 2 4 13" xfId="42681"/>
    <cellStyle name="Złe 2 4 14" xfId="42682"/>
    <cellStyle name="Złe 2 4 15" xfId="42683"/>
    <cellStyle name="Złe 2 4 16" xfId="42684"/>
    <cellStyle name="Złe 2 4 17" xfId="42685"/>
    <cellStyle name="Złe 2 4 18" xfId="42686"/>
    <cellStyle name="Złe 2 4 19" xfId="42687"/>
    <cellStyle name="Złe 2 4 2" xfId="42688"/>
    <cellStyle name="Złe 2 4 3" xfId="42689"/>
    <cellStyle name="Złe 2 4 4" xfId="42690"/>
    <cellStyle name="Złe 2 4 5" xfId="42691"/>
    <cellStyle name="Złe 2 4 6" xfId="42692"/>
    <cellStyle name="Złe 2 4 7" xfId="42693"/>
    <cellStyle name="Złe 2 4 8" xfId="42694"/>
    <cellStyle name="Złe 2 4 9" xfId="42695"/>
    <cellStyle name="Złe 2 40" xfId="42696"/>
    <cellStyle name="Złe 2 41" xfId="42697"/>
    <cellStyle name="Złe 2 42" xfId="42698"/>
    <cellStyle name="Złe 2 43" xfId="42699"/>
    <cellStyle name="Złe 2 44" xfId="42700"/>
    <cellStyle name="Złe 2 45" xfId="42701"/>
    <cellStyle name="Złe 2 46" xfId="42702"/>
    <cellStyle name="Złe 2 47" xfId="42703"/>
    <cellStyle name="Złe 2 48" xfId="42704"/>
    <cellStyle name="Złe 2 49" xfId="42705"/>
    <cellStyle name="Złe 2 5" xfId="42706"/>
    <cellStyle name="Złe 2 5 10" xfId="42707"/>
    <cellStyle name="Złe 2 5 11" xfId="42708"/>
    <cellStyle name="Złe 2 5 12" xfId="42709"/>
    <cellStyle name="Złe 2 5 13" xfId="42710"/>
    <cellStyle name="Złe 2 5 14" xfId="42711"/>
    <cellStyle name="Złe 2 5 15" xfId="42712"/>
    <cellStyle name="Złe 2 5 16" xfId="42713"/>
    <cellStyle name="Złe 2 5 17" xfId="42714"/>
    <cellStyle name="Złe 2 5 18" xfId="42715"/>
    <cellStyle name="Złe 2 5 19" xfId="42716"/>
    <cellStyle name="Złe 2 5 2" xfId="42717"/>
    <cellStyle name="Złe 2 5 3" xfId="42718"/>
    <cellStyle name="Złe 2 5 4" xfId="42719"/>
    <cellStyle name="Złe 2 5 5" xfId="42720"/>
    <cellStyle name="Złe 2 5 6" xfId="42721"/>
    <cellStyle name="Złe 2 5 7" xfId="42722"/>
    <cellStyle name="Złe 2 5 8" xfId="42723"/>
    <cellStyle name="Złe 2 5 9" xfId="42724"/>
    <cellStyle name="Złe 2 50" xfId="42725"/>
    <cellStyle name="Złe 2 51" xfId="42726"/>
    <cellStyle name="Złe 2 52" xfId="42727"/>
    <cellStyle name="Złe 2 53" xfId="42728"/>
    <cellStyle name="Złe 2 54" xfId="42729"/>
    <cellStyle name="Złe 2 6" xfId="42730"/>
    <cellStyle name="Złe 2 6 10" xfId="42731"/>
    <cellStyle name="Złe 2 6 11" xfId="42732"/>
    <cellStyle name="Złe 2 6 12" xfId="42733"/>
    <cellStyle name="Złe 2 6 13" xfId="42734"/>
    <cellStyle name="Złe 2 6 14" xfId="42735"/>
    <cellStyle name="Złe 2 6 15" xfId="42736"/>
    <cellStyle name="Złe 2 6 16" xfId="42737"/>
    <cellStyle name="Złe 2 6 17" xfId="42738"/>
    <cellStyle name="Złe 2 6 18" xfId="42739"/>
    <cellStyle name="Złe 2 6 19" xfId="42740"/>
    <cellStyle name="Złe 2 6 2" xfId="42741"/>
    <cellStyle name="Złe 2 6 3" xfId="42742"/>
    <cellStyle name="Złe 2 6 4" xfId="42743"/>
    <cellStyle name="Złe 2 6 5" xfId="42744"/>
    <cellStyle name="Złe 2 6 6" xfId="42745"/>
    <cellStyle name="Złe 2 6 7" xfId="42746"/>
    <cellStyle name="Złe 2 6 8" xfId="42747"/>
    <cellStyle name="Złe 2 6 9" xfId="42748"/>
    <cellStyle name="Złe 2 7" xfId="42749"/>
    <cellStyle name="Złe 2 7 10" xfId="42750"/>
    <cellStyle name="Złe 2 7 11" xfId="42751"/>
    <cellStyle name="Złe 2 7 12" xfId="42752"/>
    <cellStyle name="Złe 2 7 13" xfId="42753"/>
    <cellStyle name="Złe 2 7 14" xfId="42754"/>
    <cellStyle name="Złe 2 7 15" xfId="42755"/>
    <cellStyle name="Złe 2 7 16" xfId="42756"/>
    <cellStyle name="Złe 2 7 17" xfId="42757"/>
    <cellStyle name="Złe 2 7 18" xfId="42758"/>
    <cellStyle name="Złe 2 7 19" xfId="42759"/>
    <cellStyle name="Złe 2 7 2" xfId="42760"/>
    <cellStyle name="Złe 2 7 3" xfId="42761"/>
    <cellStyle name="Złe 2 7 4" xfId="42762"/>
    <cellStyle name="Złe 2 7 5" xfId="42763"/>
    <cellStyle name="Złe 2 7 6" xfId="42764"/>
    <cellStyle name="Złe 2 7 7" xfId="42765"/>
    <cellStyle name="Złe 2 7 8" xfId="42766"/>
    <cellStyle name="Złe 2 7 9" xfId="42767"/>
    <cellStyle name="Złe 2 8" xfId="42768"/>
    <cellStyle name="Złe 2 8 10" xfId="42769"/>
    <cellStyle name="Złe 2 8 11" xfId="42770"/>
    <cellStyle name="Złe 2 8 12" xfId="42771"/>
    <cellStyle name="Złe 2 8 13" xfId="42772"/>
    <cellStyle name="Złe 2 8 14" xfId="42773"/>
    <cellStyle name="Złe 2 8 15" xfId="42774"/>
    <cellStyle name="Złe 2 8 16" xfId="42775"/>
    <cellStyle name="Złe 2 8 17" xfId="42776"/>
    <cellStyle name="Złe 2 8 18" xfId="42777"/>
    <cellStyle name="Złe 2 8 19" xfId="42778"/>
    <cellStyle name="Złe 2 8 2" xfId="42779"/>
    <cellStyle name="Złe 2 8 3" xfId="42780"/>
    <cellStyle name="Złe 2 8 4" xfId="42781"/>
    <cellStyle name="Złe 2 8 5" xfId="42782"/>
    <cellStyle name="Złe 2 8 6" xfId="42783"/>
    <cellStyle name="Złe 2 8 7" xfId="42784"/>
    <cellStyle name="Złe 2 8 8" xfId="42785"/>
    <cellStyle name="Złe 2 8 9" xfId="42786"/>
    <cellStyle name="Złe 2 9" xfId="42787"/>
    <cellStyle name="Złe 2 9 10" xfId="42788"/>
    <cellStyle name="Złe 2 9 11" xfId="42789"/>
    <cellStyle name="Złe 2 9 12" xfId="42790"/>
    <cellStyle name="Złe 2 9 13" xfId="42791"/>
    <cellStyle name="Złe 2 9 14" xfId="42792"/>
    <cellStyle name="Złe 2 9 15" xfId="42793"/>
    <cellStyle name="Złe 2 9 16" xfId="42794"/>
    <cellStyle name="Złe 2 9 17" xfId="42795"/>
    <cellStyle name="Złe 2 9 18" xfId="42796"/>
    <cellStyle name="Złe 2 9 19" xfId="42797"/>
    <cellStyle name="Złe 2 9 2" xfId="42798"/>
    <cellStyle name="Złe 2 9 3" xfId="42799"/>
    <cellStyle name="Złe 2 9 4" xfId="42800"/>
    <cellStyle name="Złe 2 9 5" xfId="42801"/>
    <cellStyle name="Złe 2 9 6" xfId="42802"/>
    <cellStyle name="Złe 2 9 7" xfId="42803"/>
    <cellStyle name="Złe 2 9 8" xfId="42804"/>
    <cellStyle name="Złe 2 9 9" xfId="42805"/>
    <cellStyle name="Złe 3" xfId="42806"/>
    <cellStyle name="Złe 3 10" xfId="42807"/>
    <cellStyle name="Złe 3 11" xfId="42808"/>
    <cellStyle name="Złe 3 12" xfId="42809"/>
    <cellStyle name="Złe 3 13" xfId="42810"/>
    <cellStyle name="Złe 3 14" xfId="42811"/>
    <cellStyle name="Złe 3 15" xfId="42812"/>
    <cellStyle name="Złe 3 16" xfId="42813"/>
    <cellStyle name="Złe 3 17" xfId="42814"/>
    <cellStyle name="Złe 3 18" xfId="42815"/>
    <cellStyle name="Złe 3 19" xfId="42816"/>
    <cellStyle name="Złe 3 2" xfId="42817"/>
    <cellStyle name="Złe 3 2 2" xfId="42818"/>
    <cellStyle name="Złe 3 20" xfId="42819"/>
    <cellStyle name="Złe 3 21" xfId="42820"/>
    <cellStyle name="Złe 3 22" xfId="42821"/>
    <cellStyle name="Złe 3 23" xfId="42822"/>
    <cellStyle name="Złe 3 3" xfId="42823"/>
    <cellStyle name="Złe 3 4" xfId="42824"/>
    <cellStyle name="Złe 3 5" xfId="42825"/>
    <cellStyle name="Złe 3 6" xfId="42826"/>
    <cellStyle name="Złe 3 7" xfId="42827"/>
    <cellStyle name="Złe 3 8" xfId="42828"/>
    <cellStyle name="Złe 3 9" xfId="42829"/>
    <cellStyle name="Złe 4" xfId="42830"/>
    <cellStyle name="Złe 4 2" xfId="42831"/>
    <cellStyle name="Złe 4 3" xfId="42832"/>
    <cellStyle name="Złe 4 4" xfId="42833"/>
    <cellStyle name="Złe 4 5" xfId="42834"/>
    <cellStyle name="Złe 4 6" xfId="42835"/>
    <cellStyle name="Złe 4 7" xfId="42836"/>
    <cellStyle name="Złe 4 8" xfId="42837"/>
    <cellStyle name="Złe 4 9" xfId="42838"/>
    <cellStyle name="Złe 5" xfId="42839"/>
    <cellStyle name="Złe 5 2" xfId="42840"/>
    <cellStyle name="Złe 5 3" xfId="42841"/>
    <cellStyle name="Złe 6" xfId="42842"/>
    <cellStyle name="Złe 6 2" xfId="42843"/>
    <cellStyle name="Złe 7" xfId="42844"/>
  </cellStyles>
  <dxfs count="0"/>
  <tableStyles count="0" defaultTableStyle="TableStyleMedium9" defaultPivotStyle="PivotStyleLight16"/>
  <colors>
    <mruColors>
      <color rgb="FFF7A8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XFB52"/>
  <sheetViews>
    <sheetView showGridLines="0" tabSelected="1" zoomScaleNormal="100" zoomScaleSheetLayoutView="85" workbookViewId="0">
      <pane xSplit="1" ySplit="3" topLeftCell="AN4" activePane="bottomRight" state="frozen"/>
      <selection pane="topRight" activeCell="B1" sqref="B1"/>
      <selection pane="bottomLeft" activeCell="A4" sqref="A4"/>
      <selection pane="bottomRight" activeCell="BC15" sqref="BC15"/>
    </sheetView>
  </sheetViews>
  <sheetFormatPr defaultColWidth="9" defaultRowHeight="28.5" customHeight="1"/>
  <cols>
    <col min="1" max="1" width="41.625" style="7" customWidth="1"/>
    <col min="2" max="7" width="9" style="6"/>
    <col min="8" max="8" width="9" style="381"/>
    <col min="9" max="9" width="9" style="382"/>
    <col min="10" max="11" width="10.125" style="6" bestFit="1" customWidth="1"/>
    <col min="12" max="12" width="10.125" style="6" customWidth="1"/>
    <col min="13" max="15" width="9.125" style="6" customWidth="1"/>
    <col min="16" max="16" width="10.125" style="6" bestFit="1" customWidth="1"/>
    <col min="17" max="20" width="10.125" style="6" customWidth="1"/>
    <col min="21" max="21" width="10.125" style="6" bestFit="1" customWidth="1"/>
    <col min="22" max="23" width="10.125" style="6" customWidth="1"/>
    <col min="24" max="24" width="10.125" style="286" customWidth="1"/>
    <col min="25" max="25" width="10.125" style="6" customWidth="1"/>
    <col min="26" max="26" width="10.125" style="6" bestFit="1" customWidth="1"/>
    <col min="27" max="28" width="10.125" style="6" customWidth="1"/>
    <col min="29" max="29" width="10.125" style="286" customWidth="1"/>
    <col min="30" max="30" width="10.125" style="6" customWidth="1"/>
    <col min="31" max="31" width="10.125" style="6" bestFit="1" customWidth="1"/>
    <col min="32" max="33" width="10.125" style="6" customWidth="1"/>
    <col min="34" max="34" width="10.125" style="286" customWidth="1"/>
    <col min="35" max="35" width="10.125" style="6" customWidth="1"/>
    <col min="36" max="36" width="10.125" style="648" bestFit="1" customWidth="1"/>
    <col min="37" max="37" width="4" customWidth="1"/>
    <col min="38" max="39" width="10.125" style="6" customWidth="1"/>
    <col min="40" max="40" width="10.125" style="286" customWidth="1"/>
    <col min="41" max="41" width="10.125" style="6" customWidth="1"/>
    <col min="42" max="42" width="10.125" style="6" bestFit="1" customWidth="1"/>
    <col min="43" max="44" width="10.125" style="6" customWidth="1"/>
    <col min="45" max="45" width="10.125" style="286" customWidth="1"/>
    <col min="46" max="46" width="10.125" style="6" customWidth="1"/>
    <col min="47" max="47" width="10.125" style="6" bestFit="1" customWidth="1"/>
    <col min="48" max="48" width="3.875" style="7" customWidth="1"/>
    <col min="49" max="50" width="10.125" style="6" customWidth="1"/>
    <col min="51" max="51" width="10.125" style="286" customWidth="1"/>
    <col min="52" max="52" width="10.125" style="6" customWidth="1"/>
    <col min="53" max="53" width="10.125" style="6" bestFit="1" customWidth="1"/>
    <col min="54" max="16384" width="9" style="7"/>
  </cols>
  <sheetData>
    <row r="1" spans="1:56" s="12" customFormat="1" ht="28.5" customHeight="1" thickBot="1">
      <c r="A1" s="321" t="s">
        <v>99</v>
      </c>
      <c r="B1" s="10"/>
      <c r="C1" s="10"/>
      <c r="D1" s="10"/>
      <c r="E1" s="10"/>
      <c r="F1" s="10"/>
      <c r="G1" s="10"/>
      <c r="H1" s="322"/>
      <c r="I1" s="11"/>
      <c r="J1" s="10"/>
      <c r="K1" s="10"/>
      <c r="L1" s="10"/>
      <c r="M1" s="10"/>
      <c r="N1" s="10"/>
      <c r="O1" s="10"/>
      <c r="P1" s="10"/>
      <c r="Q1" s="10"/>
      <c r="R1" s="10"/>
      <c r="S1" s="10"/>
      <c r="T1" s="323"/>
      <c r="U1" s="323"/>
      <c r="V1" s="323"/>
      <c r="W1" s="323"/>
      <c r="X1" s="324"/>
      <c r="Y1" s="323"/>
      <c r="Z1" s="323"/>
      <c r="AA1" s="323"/>
      <c r="AB1" s="323"/>
      <c r="AC1" s="324"/>
      <c r="AD1" s="323"/>
      <c r="AE1" s="323"/>
      <c r="AF1" s="323"/>
      <c r="AG1" s="336"/>
      <c r="AH1" s="442"/>
      <c r="AI1" s="323"/>
      <c r="AJ1" s="635"/>
      <c r="AL1" s="323"/>
      <c r="AM1" s="323"/>
      <c r="AN1" s="442"/>
      <c r="AO1" s="323"/>
      <c r="AP1" s="323"/>
      <c r="AQ1" s="323"/>
      <c r="AR1" s="323"/>
      <c r="AS1" s="442"/>
      <c r="AT1" s="323"/>
      <c r="AU1" s="323"/>
      <c r="AW1" s="323"/>
      <c r="AX1" s="323"/>
      <c r="AY1" s="442"/>
      <c r="AZ1" s="323"/>
      <c r="BA1" s="323"/>
    </row>
    <row r="2" spans="1:56" ht="28.5" customHeight="1">
      <c r="A2" s="325" t="s">
        <v>100</v>
      </c>
      <c r="B2" s="683">
        <v>2012</v>
      </c>
      <c r="C2" s="683"/>
      <c r="D2" s="683"/>
      <c r="E2" s="683"/>
      <c r="F2" s="684"/>
      <c r="G2" s="683">
        <v>2013</v>
      </c>
      <c r="H2" s="683"/>
      <c r="I2" s="683"/>
      <c r="J2" s="683"/>
      <c r="K2" s="684"/>
      <c r="L2" s="682">
        <v>2014</v>
      </c>
      <c r="M2" s="683"/>
      <c r="N2" s="683"/>
      <c r="O2" s="683"/>
      <c r="P2" s="684"/>
      <c r="Q2" s="682">
        <v>2015</v>
      </c>
      <c r="R2" s="683"/>
      <c r="S2" s="683"/>
      <c r="T2" s="683"/>
      <c r="U2" s="684"/>
      <c r="V2" s="682">
        <v>2016</v>
      </c>
      <c r="W2" s="683"/>
      <c r="X2" s="683"/>
      <c r="Y2" s="683"/>
      <c r="Z2" s="684"/>
      <c r="AA2" s="682">
        <v>2017</v>
      </c>
      <c r="AB2" s="683"/>
      <c r="AC2" s="683"/>
      <c r="AD2" s="683"/>
      <c r="AE2" s="684"/>
      <c r="AF2" s="682" t="s">
        <v>302</v>
      </c>
      <c r="AG2" s="683"/>
      <c r="AH2" s="683"/>
      <c r="AI2" s="683"/>
      <c r="AJ2" s="684"/>
      <c r="AL2" s="679" t="s">
        <v>303</v>
      </c>
      <c r="AM2" s="680"/>
      <c r="AN2" s="680"/>
      <c r="AO2" s="680"/>
      <c r="AP2" s="681"/>
      <c r="AQ2" s="679" t="s">
        <v>305</v>
      </c>
      <c r="AR2" s="680"/>
      <c r="AS2" s="680"/>
      <c r="AT2" s="680"/>
      <c r="AU2" s="681"/>
      <c r="AW2" s="686" t="s">
        <v>306</v>
      </c>
      <c r="AX2" s="687"/>
      <c r="AY2" s="687"/>
      <c r="AZ2" s="687"/>
      <c r="BA2" s="688"/>
    </row>
    <row r="3" spans="1:56" ht="16.5" customHeight="1" thickBot="1">
      <c r="A3" s="326" t="s">
        <v>101</v>
      </c>
      <c r="B3" s="436" t="s">
        <v>102</v>
      </c>
      <c r="C3" s="436" t="s">
        <v>103</v>
      </c>
      <c r="D3" s="436" t="s">
        <v>104</v>
      </c>
      <c r="E3" s="436" t="s">
        <v>105</v>
      </c>
      <c r="F3" s="437">
        <v>2012</v>
      </c>
      <c r="G3" s="438" t="s">
        <v>102</v>
      </c>
      <c r="H3" s="436" t="s">
        <v>103</v>
      </c>
      <c r="I3" s="436" t="s">
        <v>104</v>
      </c>
      <c r="J3" s="436" t="s">
        <v>105</v>
      </c>
      <c r="K3" s="437">
        <v>2013</v>
      </c>
      <c r="L3" s="438" t="s">
        <v>102</v>
      </c>
      <c r="M3" s="436" t="s">
        <v>103</v>
      </c>
      <c r="N3" s="436" t="s">
        <v>104</v>
      </c>
      <c r="O3" s="436" t="s">
        <v>105</v>
      </c>
      <c r="P3" s="439">
        <v>2014</v>
      </c>
      <c r="Q3" s="436" t="s">
        <v>102</v>
      </c>
      <c r="R3" s="436" t="s">
        <v>103</v>
      </c>
      <c r="S3" s="436" t="s">
        <v>104</v>
      </c>
      <c r="T3" s="436" t="s">
        <v>105</v>
      </c>
      <c r="U3" s="439">
        <v>2015</v>
      </c>
      <c r="V3" s="436" t="s">
        <v>201</v>
      </c>
      <c r="W3" s="436" t="s">
        <v>103</v>
      </c>
      <c r="X3" s="440" t="s">
        <v>104</v>
      </c>
      <c r="Y3" s="436" t="s">
        <v>105</v>
      </c>
      <c r="Z3" s="439" t="s">
        <v>202</v>
      </c>
      <c r="AA3" s="436" t="s">
        <v>102</v>
      </c>
      <c r="AB3" s="436" t="s">
        <v>103</v>
      </c>
      <c r="AC3" s="440" t="s">
        <v>104</v>
      </c>
      <c r="AD3" s="436" t="s">
        <v>105</v>
      </c>
      <c r="AE3" s="439">
        <v>2017</v>
      </c>
      <c r="AF3" s="327" t="s">
        <v>102</v>
      </c>
      <c r="AG3" s="327" t="s">
        <v>103</v>
      </c>
      <c r="AH3" s="279" t="s">
        <v>104</v>
      </c>
      <c r="AI3" s="327" t="s">
        <v>105</v>
      </c>
      <c r="AJ3" s="636">
        <v>2018</v>
      </c>
      <c r="AK3" s="7"/>
      <c r="AL3" s="328" t="s">
        <v>102</v>
      </c>
      <c r="AM3" s="327" t="s">
        <v>103</v>
      </c>
      <c r="AN3" s="279" t="s">
        <v>104</v>
      </c>
      <c r="AO3" s="327" t="s">
        <v>105</v>
      </c>
      <c r="AP3" s="329">
        <v>2018</v>
      </c>
      <c r="AQ3" s="328" t="s">
        <v>102</v>
      </c>
      <c r="AR3" s="327" t="s">
        <v>103</v>
      </c>
      <c r="AS3" s="279" t="s">
        <v>104</v>
      </c>
      <c r="AT3" s="327" t="s">
        <v>105</v>
      </c>
      <c r="AU3" s="329">
        <v>2019</v>
      </c>
      <c r="AW3" s="328" t="s">
        <v>102</v>
      </c>
      <c r="AX3" s="327" t="s">
        <v>103</v>
      </c>
      <c r="AY3" s="279" t="s">
        <v>104</v>
      </c>
      <c r="AZ3" s="327" t="s">
        <v>105</v>
      </c>
      <c r="BA3" s="329">
        <v>2019</v>
      </c>
    </row>
    <row r="4" spans="1:56" ht="34.5" customHeight="1" thickBot="1">
      <c r="A4" s="330" t="s">
        <v>71</v>
      </c>
      <c r="B4" s="331">
        <f>SUM(B5:B8)</f>
        <v>669.2</v>
      </c>
      <c r="C4" s="331">
        <f t="shared" ref="C4:O4" si="0">SUM(C5:C8)</f>
        <v>713.8</v>
      </c>
      <c r="D4" s="331">
        <f t="shared" si="0"/>
        <v>644.5</v>
      </c>
      <c r="E4" s="331">
        <f t="shared" si="0"/>
        <v>750.60000000000014</v>
      </c>
      <c r="F4" s="332">
        <f>SUM(F5:F8)</f>
        <v>2778.0999999999995</v>
      </c>
      <c r="G4" s="333">
        <f t="shared" si="0"/>
        <v>697.1</v>
      </c>
      <c r="H4" s="331">
        <f t="shared" si="0"/>
        <v>735.9</v>
      </c>
      <c r="I4" s="331">
        <f t="shared" si="0"/>
        <v>677.3</v>
      </c>
      <c r="J4" s="331">
        <f t="shared" si="0"/>
        <v>800.5</v>
      </c>
      <c r="K4" s="332">
        <f>SUM(K5:K8)</f>
        <v>2910.8</v>
      </c>
      <c r="L4" s="333">
        <f t="shared" si="0"/>
        <v>723.29999999999984</v>
      </c>
      <c r="M4" s="331">
        <f t="shared" si="0"/>
        <v>1745.9</v>
      </c>
      <c r="N4" s="331">
        <f t="shared" si="0"/>
        <v>2419.6</v>
      </c>
      <c r="O4" s="331">
        <f t="shared" si="0"/>
        <v>2521.1000000000004</v>
      </c>
      <c r="P4" s="334">
        <f>SUM(P5:P8)</f>
        <v>7409.9</v>
      </c>
      <c r="Q4" s="331">
        <f t="shared" ref="Q4:T4" si="1">SUM(Q5:Q8)</f>
        <v>2329</v>
      </c>
      <c r="R4" s="331">
        <f t="shared" si="1"/>
        <v>2469.1999999999998</v>
      </c>
      <c r="S4" s="331">
        <f t="shared" si="1"/>
        <v>2414.8999999999996</v>
      </c>
      <c r="T4" s="331">
        <f t="shared" si="1"/>
        <v>2609.9</v>
      </c>
      <c r="U4" s="334">
        <f>SUM(U5:U8)</f>
        <v>9823</v>
      </c>
      <c r="V4" s="331">
        <f t="shared" ref="V4:Y4" si="2">SUM(V5:V8)</f>
        <v>2364</v>
      </c>
      <c r="W4" s="331">
        <f t="shared" si="2"/>
        <v>2442.9</v>
      </c>
      <c r="X4" s="280">
        <f t="shared" si="2"/>
        <v>2387.8000000000002</v>
      </c>
      <c r="Y4" s="280">
        <f t="shared" si="2"/>
        <v>2535.1</v>
      </c>
      <c r="Z4" s="334">
        <f>SUM(Z5:Z8)</f>
        <v>9729.7999999999993</v>
      </c>
      <c r="AA4" s="331">
        <f t="shared" ref="AA4:AE4" si="3">SUM(AA5:AA8)</f>
        <v>2388.6</v>
      </c>
      <c r="AB4" s="331">
        <f t="shared" si="3"/>
        <v>2469.9</v>
      </c>
      <c r="AC4" s="331">
        <f t="shared" si="3"/>
        <v>2390.9</v>
      </c>
      <c r="AD4" s="331">
        <f t="shared" si="3"/>
        <v>2579.1999999999998</v>
      </c>
      <c r="AE4" s="334">
        <f t="shared" si="3"/>
        <v>9828.6</v>
      </c>
      <c r="AF4" s="331">
        <f>SUM(AF5:AF8)</f>
        <v>2360.6999999999998</v>
      </c>
      <c r="AG4" s="331">
        <f>SUM(AG5:AG8)</f>
        <v>2476.9</v>
      </c>
      <c r="AH4" s="331">
        <f>SUM(AH5:AH8)</f>
        <v>2435.4</v>
      </c>
      <c r="AI4" s="243">
        <f t="shared" ref="AI4:AJ4" si="4">SUM(AI5:AI8)</f>
        <v>2682</v>
      </c>
      <c r="AJ4" s="637">
        <f t="shared" si="4"/>
        <v>9955</v>
      </c>
      <c r="AK4" s="604"/>
      <c r="AL4" s="333">
        <f>SUM(AL5:AL8)</f>
        <v>2345.9</v>
      </c>
      <c r="AM4" s="331">
        <f>SUM(AM5:AM8)</f>
        <v>2603.1999999999998</v>
      </c>
      <c r="AN4" s="331">
        <f>SUM(AN5:AN8)</f>
        <v>2735</v>
      </c>
      <c r="AO4" s="243">
        <f t="shared" ref="AO4:AP4" si="5">SUM(AO5:AO8)</f>
        <v>3002</v>
      </c>
      <c r="AP4" s="334">
        <f t="shared" si="5"/>
        <v>10686.100000000002</v>
      </c>
      <c r="AQ4" s="333">
        <f>SUM(AQ5:AQ8)</f>
        <v>2782.4</v>
      </c>
      <c r="AR4" s="331"/>
      <c r="AS4" s="331"/>
      <c r="AT4" s="598"/>
      <c r="AU4" s="334">
        <f t="shared" ref="AU4" si="6">SUM(AU5:AU8)</f>
        <v>2782.4</v>
      </c>
      <c r="AW4" s="333">
        <f>SUM(AW5:AW8)</f>
        <v>2791.6</v>
      </c>
      <c r="AX4" s="331"/>
      <c r="AY4" s="331"/>
      <c r="AZ4" s="598"/>
      <c r="BA4" s="334">
        <f t="shared" ref="BA4" si="7">SUM(BA5:BA8)</f>
        <v>2791.6</v>
      </c>
      <c r="BD4" s="658"/>
    </row>
    <row r="5" spans="1:56" ht="24.75" customHeight="1">
      <c r="A5" s="335" t="s">
        <v>77</v>
      </c>
      <c r="B5" s="336">
        <v>424</v>
      </c>
      <c r="C5" s="336">
        <v>427.1</v>
      </c>
      <c r="D5" s="336">
        <v>434.4</v>
      </c>
      <c r="E5" s="336">
        <v>446.6</v>
      </c>
      <c r="F5" s="337">
        <f>SUM(B5:E5)</f>
        <v>1732.1</v>
      </c>
      <c r="G5" s="338">
        <v>451.7</v>
      </c>
      <c r="H5" s="336">
        <v>452</v>
      </c>
      <c r="I5" s="336">
        <v>460.3</v>
      </c>
      <c r="J5" s="336">
        <v>466.1</v>
      </c>
      <c r="K5" s="337">
        <f>SUM(G5:J5)</f>
        <v>1830.1</v>
      </c>
      <c r="L5" s="338">
        <v>467.79999999999995</v>
      </c>
      <c r="M5" s="336">
        <v>1204.5</v>
      </c>
      <c r="N5" s="336">
        <v>1710.7</v>
      </c>
      <c r="O5" s="336">
        <v>1701.7</v>
      </c>
      <c r="P5" s="339">
        <f>SUM(L5:O5)</f>
        <v>5084.7</v>
      </c>
      <c r="Q5" s="336">
        <v>1637.2</v>
      </c>
      <c r="R5" s="336">
        <v>1652</v>
      </c>
      <c r="S5" s="336">
        <v>1643.3</v>
      </c>
      <c r="T5" s="340">
        <v>1620.6</v>
      </c>
      <c r="U5" s="339">
        <v>6553.1</v>
      </c>
      <c r="V5" s="341">
        <v>1565.7</v>
      </c>
      <c r="W5" s="341">
        <v>1586.9</v>
      </c>
      <c r="X5" s="281">
        <v>1583.7</v>
      </c>
      <c r="Y5" s="340">
        <v>1589</v>
      </c>
      <c r="Z5" s="339">
        <f>SUM(V5:Y5)</f>
        <v>6325.3</v>
      </c>
      <c r="AA5" s="341">
        <v>1542.7</v>
      </c>
      <c r="AB5" s="341">
        <v>1533.3</v>
      </c>
      <c r="AC5" s="281">
        <v>1494</v>
      </c>
      <c r="AD5" s="281">
        <v>1497.9</v>
      </c>
      <c r="AE5" s="339">
        <f>SUM(AA5:AD5)</f>
        <v>6067.9</v>
      </c>
      <c r="AF5" s="341">
        <v>1470.2</v>
      </c>
      <c r="AG5" s="336">
        <v>1483.8</v>
      </c>
      <c r="AH5" s="336">
        <v>1481.7</v>
      </c>
      <c r="AI5" s="281">
        <v>1484.8</v>
      </c>
      <c r="AJ5" s="638">
        <f>SUM(AF5:AI5)</f>
        <v>5920.5</v>
      </c>
      <c r="AK5" s="604"/>
      <c r="AL5" s="659">
        <v>1352.2</v>
      </c>
      <c r="AM5" s="336">
        <v>1482.1</v>
      </c>
      <c r="AN5" s="336">
        <v>1630.5</v>
      </c>
      <c r="AO5" s="281">
        <v>1627.8000000000002</v>
      </c>
      <c r="AP5" s="339">
        <f>SUM(AL5:AO5)</f>
        <v>6092.6</v>
      </c>
      <c r="AQ5" s="281">
        <v>1606</v>
      </c>
      <c r="AR5" s="336"/>
      <c r="AS5" s="336"/>
      <c r="AT5" s="281"/>
      <c r="AU5" s="339">
        <f>SUM(AQ5:AT5)</f>
        <v>1606</v>
      </c>
      <c r="AW5" s="662">
        <v>1606</v>
      </c>
      <c r="AX5" s="336"/>
      <c r="AY5" s="336"/>
      <c r="AZ5" s="281"/>
      <c r="BA5" s="339">
        <f>SUM(AW5:AZ5)</f>
        <v>1606</v>
      </c>
      <c r="BD5" s="658"/>
    </row>
    <row r="6" spans="1:56" ht="20.100000000000001" customHeight="1">
      <c r="A6" s="335" t="s">
        <v>78</v>
      </c>
      <c r="B6" s="336">
        <v>234.6</v>
      </c>
      <c r="C6" s="336">
        <v>272.7</v>
      </c>
      <c r="D6" s="336">
        <v>198</v>
      </c>
      <c r="E6" s="336">
        <v>286.3</v>
      </c>
      <c r="F6" s="337">
        <f t="shared" ref="F6:F8" si="8">SUM(B6:E6)</f>
        <v>991.59999999999991</v>
      </c>
      <c r="G6" s="338">
        <v>223.8</v>
      </c>
      <c r="H6" s="336">
        <v>265.2</v>
      </c>
      <c r="I6" s="336">
        <v>204</v>
      </c>
      <c r="J6" s="336">
        <v>317.2</v>
      </c>
      <c r="K6" s="337">
        <f t="shared" ref="K6:K8" si="9">SUM(G6:J6)</f>
        <v>1010.2</v>
      </c>
      <c r="L6" s="338">
        <v>242.19999999999993</v>
      </c>
      <c r="M6" s="336">
        <v>479.1</v>
      </c>
      <c r="N6" s="336">
        <v>591.6</v>
      </c>
      <c r="O6" s="336">
        <v>641.1</v>
      </c>
      <c r="P6" s="339">
        <f t="shared" ref="P6:P8" si="10">SUM(L6:O6)</f>
        <v>1954</v>
      </c>
      <c r="Q6" s="336">
        <v>553.29999999999995</v>
      </c>
      <c r="R6" s="336">
        <v>688.7</v>
      </c>
      <c r="S6" s="336">
        <v>616.9</v>
      </c>
      <c r="T6" s="342">
        <v>738</v>
      </c>
      <c r="U6" s="339">
        <v>2596.9</v>
      </c>
      <c r="V6" s="341">
        <v>599.79999999999995</v>
      </c>
      <c r="W6" s="341">
        <v>645</v>
      </c>
      <c r="X6" s="281">
        <v>562.9</v>
      </c>
      <c r="Y6" s="342">
        <v>658.4</v>
      </c>
      <c r="Z6" s="339">
        <f t="shared" ref="Z6:Z28" si="11">SUM(V6:Y6)</f>
        <v>2466.1</v>
      </c>
      <c r="AA6" s="341">
        <v>562.1</v>
      </c>
      <c r="AB6" s="341">
        <v>652.29999999999995</v>
      </c>
      <c r="AC6" s="281">
        <v>588.4</v>
      </c>
      <c r="AD6" s="281">
        <v>735.8</v>
      </c>
      <c r="AE6" s="339">
        <f t="shared" ref="AE6:AE28" si="12">SUM(AA6:AD6)</f>
        <v>2538.6000000000004</v>
      </c>
      <c r="AF6" s="341">
        <v>635.9</v>
      </c>
      <c r="AG6" s="336">
        <v>708.5</v>
      </c>
      <c r="AH6" s="336">
        <v>677.7</v>
      </c>
      <c r="AI6" s="281">
        <v>860.1</v>
      </c>
      <c r="AJ6" s="638">
        <f t="shared" ref="AJ6:AJ8" si="13">SUM(AF6:AI6)</f>
        <v>2882.2000000000003</v>
      </c>
      <c r="AK6" s="605"/>
      <c r="AL6" s="659">
        <v>635.9</v>
      </c>
      <c r="AM6" s="336">
        <v>738.5</v>
      </c>
      <c r="AN6" s="336">
        <v>741.6</v>
      </c>
      <c r="AO6" s="281">
        <v>927.80000000000018</v>
      </c>
      <c r="AP6" s="339">
        <f t="shared" ref="AP6:AP8" si="14">SUM(AL6:AO6)</f>
        <v>3043.8</v>
      </c>
      <c r="AQ6" s="281">
        <v>772.7</v>
      </c>
      <c r="AR6" s="336"/>
      <c r="AS6" s="336"/>
      <c r="AT6" s="281"/>
      <c r="AU6" s="339">
        <f t="shared" ref="AU6:AU8" si="15">SUM(AQ6:AT6)</f>
        <v>772.7</v>
      </c>
      <c r="AW6" s="663">
        <v>772.7</v>
      </c>
      <c r="AX6" s="336"/>
      <c r="AY6" s="336"/>
      <c r="AZ6" s="281"/>
      <c r="BA6" s="339">
        <f t="shared" ref="BA6:BA8" si="16">SUM(AW6:AZ6)</f>
        <v>772.7</v>
      </c>
      <c r="BD6" s="658"/>
    </row>
    <row r="7" spans="1:56" ht="20.100000000000001" customHeight="1">
      <c r="A7" s="335" t="s">
        <v>79</v>
      </c>
      <c r="B7" s="336">
        <v>2.7</v>
      </c>
      <c r="C7" s="336">
        <v>6.2</v>
      </c>
      <c r="D7" s="336">
        <v>2.6</v>
      </c>
      <c r="E7" s="336">
        <v>7.2</v>
      </c>
      <c r="F7" s="337">
        <f t="shared" si="8"/>
        <v>18.7</v>
      </c>
      <c r="G7" s="338">
        <v>13.1</v>
      </c>
      <c r="H7" s="336">
        <v>11.8</v>
      </c>
      <c r="I7" s="336">
        <v>7.1</v>
      </c>
      <c r="J7" s="336">
        <v>9.6999999999999993</v>
      </c>
      <c r="K7" s="337">
        <f t="shared" si="9"/>
        <v>41.7</v>
      </c>
      <c r="L7" s="338">
        <v>7.8999999999999986</v>
      </c>
      <c r="M7" s="336">
        <v>55.4</v>
      </c>
      <c r="N7" s="336">
        <v>104.1</v>
      </c>
      <c r="O7" s="336">
        <v>159.9</v>
      </c>
      <c r="P7" s="339">
        <f t="shared" si="10"/>
        <v>327.29999999999995</v>
      </c>
      <c r="Q7" s="336">
        <v>118.4</v>
      </c>
      <c r="R7" s="336">
        <v>106.9</v>
      </c>
      <c r="S7" s="336">
        <v>131.19999999999999</v>
      </c>
      <c r="T7" s="342">
        <v>226.89999999999998</v>
      </c>
      <c r="U7" s="339">
        <v>583.4</v>
      </c>
      <c r="V7" s="341">
        <v>172.8</v>
      </c>
      <c r="W7" s="341">
        <v>191.1</v>
      </c>
      <c r="X7" s="281">
        <v>221.3</v>
      </c>
      <c r="Y7" s="342">
        <v>265.60000000000002</v>
      </c>
      <c r="Z7" s="339">
        <f t="shared" si="11"/>
        <v>850.80000000000007</v>
      </c>
      <c r="AA7" s="341">
        <v>248.6</v>
      </c>
      <c r="AB7" s="341">
        <v>243.3</v>
      </c>
      <c r="AC7" s="281">
        <v>264.5</v>
      </c>
      <c r="AD7" s="281">
        <v>298.8</v>
      </c>
      <c r="AE7" s="339">
        <f t="shared" si="12"/>
        <v>1055.2</v>
      </c>
      <c r="AF7" s="341">
        <v>208.6</v>
      </c>
      <c r="AG7" s="336">
        <v>239</v>
      </c>
      <c r="AH7" s="336">
        <v>237.6</v>
      </c>
      <c r="AI7" s="281">
        <v>286.2</v>
      </c>
      <c r="AJ7" s="638">
        <f t="shared" si="13"/>
        <v>971.40000000000009</v>
      </c>
      <c r="AK7" s="605"/>
      <c r="AL7" s="659">
        <v>317.5</v>
      </c>
      <c r="AM7" s="336">
        <v>341.7</v>
      </c>
      <c r="AN7" s="336">
        <v>328.6</v>
      </c>
      <c r="AO7" s="281">
        <v>398.20000000000005</v>
      </c>
      <c r="AP7" s="339">
        <f t="shared" si="14"/>
        <v>1386</v>
      </c>
      <c r="AQ7" s="281">
        <v>347.4</v>
      </c>
      <c r="AR7" s="336"/>
      <c r="AS7" s="336"/>
      <c r="AT7" s="281"/>
      <c r="AU7" s="339">
        <f t="shared" si="15"/>
        <v>347.4</v>
      </c>
      <c r="AW7" s="663">
        <v>347.4</v>
      </c>
      <c r="AX7" s="336"/>
      <c r="AY7" s="336"/>
      <c r="AZ7" s="281"/>
      <c r="BA7" s="339">
        <f t="shared" si="16"/>
        <v>347.4</v>
      </c>
      <c r="BD7" s="658"/>
    </row>
    <row r="8" spans="1:56" ht="20.100000000000001" customHeight="1" thickBot="1">
      <c r="A8" s="335" t="s">
        <v>80</v>
      </c>
      <c r="B8" s="336">
        <v>7.9</v>
      </c>
      <c r="C8" s="336">
        <v>7.8</v>
      </c>
      <c r="D8" s="336">
        <v>9.5</v>
      </c>
      <c r="E8" s="336">
        <v>10.5</v>
      </c>
      <c r="F8" s="337">
        <f t="shared" si="8"/>
        <v>35.700000000000003</v>
      </c>
      <c r="G8" s="338">
        <v>8.5</v>
      </c>
      <c r="H8" s="336">
        <v>6.9</v>
      </c>
      <c r="I8" s="336">
        <v>5.9</v>
      </c>
      <c r="J8" s="336">
        <v>7.5</v>
      </c>
      <c r="K8" s="337">
        <f t="shared" si="9"/>
        <v>28.8</v>
      </c>
      <c r="L8" s="338">
        <v>5.4</v>
      </c>
      <c r="M8" s="336">
        <v>6.9</v>
      </c>
      <c r="N8" s="336">
        <v>13.2</v>
      </c>
      <c r="O8" s="336">
        <v>18.399999999999999</v>
      </c>
      <c r="P8" s="339">
        <f t="shared" si="10"/>
        <v>43.9</v>
      </c>
      <c r="Q8" s="336">
        <v>20.100000000000001</v>
      </c>
      <c r="R8" s="336">
        <v>21.6</v>
      </c>
      <c r="S8" s="336">
        <v>23.5</v>
      </c>
      <c r="T8" s="342">
        <v>24.399999999999991</v>
      </c>
      <c r="U8" s="339">
        <v>89.6</v>
      </c>
      <c r="V8" s="341">
        <v>25.7</v>
      </c>
      <c r="W8" s="341">
        <v>19.899999999999999</v>
      </c>
      <c r="X8" s="281">
        <v>19.899999999999999</v>
      </c>
      <c r="Y8" s="342">
        <v>22.1</v>
      </c>
      <c r="Z8" s="339">
        <f t="shared" si="11"/>
        <v>87.6</v>
      </c>
      <c r="AA8" s="341">
        <v>35.200000000000003</v>
      </c>
      <c r="AB8" s="341">
        <v>41</v>
      </c>
      <c r="AC8" s="281">
        <v>44</v>
      </c>
      <c r="AD8" s="281">
        <v>46.7</v>
      </c>
      <c r="AE8" s="339">
        <f t="shared" si="12"/>
        <v>166.9</v>
      </c>
      <c r="AF8" s="341">
        <v>46</v>
      </c>
      <c r="AG8" s="336">
        <f>45.6</f>
        <v>45.6</v>
      </c>
      <c r="AH8" s="336">
        <v>38.4</v>
      </c>
      <c r="AI8" s="281">
        <v>50.9</v>
      </c>
      <c r="AJ8" s="638">
        <f t="shared" si="13"/>
        <v>180.9</v>
      </c>
      <c r="AK8" s="605"/>
      <c r="AL8" s="659">
        <v>40.299999999999997</v>
      </c>
      <c r="AM8" s="336">
        <v>40.9</v>
      </c>
      <c r="AN8" s="336">
        <v>34.299999999999997</v>
      </c>
      <c r="AO8" s="281">
        <v>48.199999999999989</v>
      </c>
      <c r="AP8" s="339">
        <f t="shared" si="14"/>
        <v>163.69999999999999</v>
      </c>
      <c r="AQ8" s="281">
        <v>56.3</v>
      </c>
      <c r="AR8" s="336"/>
      <c r="AS8" s="336"/>
      <c r="AT8" s="281"/>
      <c r="AU8" s="339">
        <f t="shared" si="15"/>
        <v>56.3</v>
      </c>
      <c r="AW8" s="664">
        <v>65.5</v>
      </c>
      <c r="AX8" s="336"/>
      <c r="AY8" s="336"/>
      <c r="AZ8" s="281"/>
      <c r="BA8" s="339">
        <f t="shared" si="16"/>
        <v>65.5</v>
      </c>
      <c r="BD8" s="658"/>
    </row>
    <row r="9" spans="1:56" s="347" customFormat="1" ht="20.100000000000001" customHeight="1" thickBot="1">
      <c r="A9" s="330" t="s">
        <v>70</v>
      </c>
      <c r="B9" s="343">
        <f t="shared" ref="B9:Z9" si="17">SUM(B10:B17)</f>
        <v>-464.5</v>
      </c>
      <c r="C9" s="343">
        <f t="shared" si="17"/>
        <v>-499.7</v>
      </c>
      <c r="D9" s="343">
        <f t="shared" si="17"/>
        <v>-444.9</v>
      </c>
      <c r="E9" s="343">
        <f t="shared" si="17"/>
        <v>-562.4</v>
      </c>
      <c r="F9" s="344">
        <f t="shared" si="17"/>
        <v>-1971.5000000000002</v>
      </c>
      <c r="G9" s="345">
        <f t="shared" si="17"/>
        <v>-512.92000000000007</v>
      </c>
      <c r="H9" s="343">
        <f t="shared" si="17"/>
        <v>-542.4</v>
      </c>
      <c r="I9" s="343">
        <f t="shared" si="17"/>
        <v>-510.7</v>
      </c>
      <c r="J9" s="343">
        <f t="shared" si="17"/>
        <v>-591.70000000000005</v>
      </c>
      <c r="K9" s="344">
        <f t="shared" si="17"/>
        <v>-2157.7199999999998</v>
      </c>
      <c r="L9" s="345">
        <f t="shared" si="17"/>
        <v>-507.40000000000003</v>
      </c>
      <c r="M9" s="343">
        <f t="shared" si="17"/>
        <v>-1351.8000000000002</v>
      </c>
      <c r="N9" s="343">
        <f t="shared" si="17"/>
        <v>-1992.5000000000002</v>
      </c>
      <c r="O9" s="343">
        <f t="shared" si="17"/>
        <v>-2125.3999999999996</v>
      </c>
      <c r="P9" s="346">
        <f t="shared" si="17"/>
        <v>-5977.1</v>
      </c>
      <c r="Q9" s="343">
        <f t="shared" si="17"/>
        <v>-1909</v>
      </c>
      <c r="R9" s="343">
        <f t="shared" si="17"/>
        <v>-1899.4999999999998</v>
      </c>
      <c r="S9" s="343">
        <f t="shared" si="17"/>
        <v>-1900.1</v>
      </c>
      <c r="T9" s="343">
        <f t="shared" si="17"/>
        <v>-2159.2999999999997</v>
      </c>
      <c r="U9" s="346">
        <f t="shared" si="17"/>
        <v>-7867.9000000000005</v>
      </c>
      <c r="V9" s="343">
        <f t="shared" si="17"/>
        <v>-1948</v>
      </c>
      <c r="W9" s="343">
        <f t="shared" si="17"/>
        <v>-2042</v>
      </c>
      <c r="X9" s="282">
        <f t="shared" si="17"/>
        <v>-1938.6999999999998</v>
      </c>
      <c r="Y9" s="282">
        <f t="shared" si="17"/>
        <v>-2140.6</v>
      </c>
      <c r="Z9" s="346">
        <f t="shared" si="17"/>
        <v>-8069.2999999999993</v>
      </c>
      <c r="AA9" s="343">
        <f>SUM(AA10:AA17)</f>
        <v>-1938.1999999999996</v>
      </c>
      <c r="AB9" s="343">
        <f>SUM(AB10:AB17)</f>
        <v>-1962.8000000000002</v>
      </c>
      <c r="AC9" s="343">
        <f>SUM(AC10:AC17)</f>
        <v>-1975.7</v>
      </c>
      <c r="AD9" s="343">
        <f t="shared" ref="AD9:AE9" si="18">SUM(AD10:AD17)</f>
        <v>-2139.1999999999998</v>
      </c>
      <c r="AE9" s="346">
        <f t="shared" si="18"/>
        <v>-8015.9</v>
      </c>
      <c r="AF9" s="343">
        <f>SUM(AF10:AF17)</f>
        <v>-1903.1000000000001</v>
      </c>
      <c r="AG9" s="343">
        <f>SUM(AG10:AG17)</f>
        <v>-1986.5000000000002</v>
      </c>
      <c r="AH9" s="343">
        <f>SUM(AH10:AH17)</f>
        <v>-2044</v>
      </c>
      <c r="AI9" s="243">
        <f t="shared" ref="AI9:AJ9" si="19">SUM(AI10:AI17)</f>
        <v>-2266</v>
      </c>
      <c r="AJ9" s="639">
        <f t="shared" si="19"/>
        <v>-8199.6</v>
      </c>
      <c r="AK9" s="606"/>
      <c r="AL9" s="345">
        <f>SUM(AL10:AL17)</f>
        <v>-1917.1000000000001</v>
      </c>
      <c r="AM9" s="343">
        <f>SUM(AM10:AM17)</f>
        <v>-2127</v>
      </c>
      <c r="AN9" s="343">
        <f>SUM(AN10:AN17)</f>
        <v>-2345.8000000000002</v>
      </c>
      <c r="AO9" s="243">
        <f t="shared" ref="AO9:AP9" si="20">SUM(AO10:AO17)</f>
        <v>-2588.9</v>
      </c>
      <c r="AP9" s="346">
        <f t="shared" si="20"/>
        <v>-8978.7999999999993</v>
      </c>
      <c r="AQ9" s="345">
        <f>SUM(AQ10:AQ17)</f>
        <v>-2317.1</v>
      </c>
      <c r="AR9" s="343"/>
      <c r="AS9" s="343"/>
      <c r="AT9" s="598"/>
      <c r="AU9" s="346">
        <f t="shared" ref="AU9" si="21">SUM(AU10:AU17)</f>
        <v>-2317.1</v>
      </c>
      <c r="AW9" s="345">
        <f>SUM(AW10:AW17)</f>
        <v>-2317.0000000000005</v>
      </c>
      <c r="AX9" s="343"/>
      <c r="AY9" s="343"/>
      <c r="AZ9" s="598"/>
      <c r="BA9" s="346">
        <f t="shared" ref="BA9" si="22">SUM(BA10:BA17)</f>
        <v>-2317.0000000000005</v>
      </c>
      <c r="BC9" s="7"/>
      <c r="BD9" s="658"/>
    </row>
    <row r="10" spans="1:56" ht="20.100000000000001" customHeight="1">
      <c r="A10" s="335" t="s">
        <v>83</v>
      </c>
      <c r="B10" s="348">
        <v>-49.7</v>
      </c>
      <c r="C10" s="348">
        <v>-55.1</v>
      </c>
      <c r="D10" s="348">
        <v>-58.6</v>
      </c>
      <c r="E10" s="348">
        <v>-59.3</v>
      </c>
      <c r="F10" s="349">
        <f>SUM(B10:E10)</f>
        <v>-222.7</v>
      </c>
      <c r="G10" s="350">
        <v>-60.7</v>
      </c>
      <c r="H10" s="348">
        <v>-62</v>
      </c>
      <c r="I10" s="348">
        <v>-62.2</v>
      </c>
      <c r="J10" s="348">
        <v>-71.400000000000006</v>
      </c>
      <c r="K10" s="349">
        <f>SUM(G10:J10)</f>
        <v>-256.3</v>
      </c>
      <c r="L10" s="350">
        <v>-71.300000000000011</v>
      </c>
      <c r="M10" s="348">
        <v>-288</v>
      </c>
      <c r="N10" s="348">
        <v>-495.9</v>
      </c>
      <c r="O10" s="348">
        <v>-557.20000000000005</v>
      </c>
      <c r="P10" s="351">
        <f>SUM(L10:O10)</f>
        <v>-1412.4</v>
      </c>
      <c r="Q10" s="348">
        <v>-482.3</v>
      </c>
      <c r="R10" s="348">
        <v>-522.4</v>
      </c>
      <c r="S10" s="348">
        <v>-551.20000000000005</v>
      </c>
      <c r="T10" s="342">
        <v>-585.09999999999991</v>
      </c>
      <c r="U10" s="351">
        <v>-2141</v>
      </c>
      <c r="V10" s="352">
        <v>-550.29999999999995</v>
      </c>
      <c r="W10" s="352">
        <v>-456.6</v>
      </c>
      <c r="X10" s="283">
        <v>-459.2</v>
      </c>
      <c r="Y10" s="342">
        <v>-472.6</v>
      </c>
      <c r="Z10" s="351">
        <f>SUM(V10:Y10)</f>
        <v>-1938.6999999999998</v>
      </c>
      <c r="AA10" s="352">
        <v>-468.2</v>
      </c>
      <c r="AB10" s="352">
        <v>-483.5</v>
      </c>
      <c r="AC10" s="283">
        <v>-528.5</v>
      </c>
      <c r="AD10" s="283">
        <v>-533.79999999999995</v>
      </c>
      <c r="AE10" s="351">
        <f t="shared" si="12"/>
        <v>-2014</v>
      </c>
      <c r="AF10" s="352">
        <v>-504.5</v>
      </c>
      <c r="AG10" s="348">
        <v>-521.1</v>
      </c>
      <c r="AH10" s="348">
        <v>-550.29999999999995</v>
      </c>
      <c r="AI10" s="283">
        <v>-560.1</v>
      </c>
      <c r="AJ10" s="640">
        <f t="shared" ref="AJ10:AJ18" si="23">SUM(AF10:AI10)</f>
        <v>-2136</v>
      </c>
      <c r="AK10" s="605"/>
      <c r="AL10" s="660">
        <v>-504.5</v>
      </c>
      <c r="AM10" s="348">
        <v>-578.5</v>
      </c>
      <c r="AN10" s="348">
        <v>-674.8</v>
      </c>
      <c r="AO10" s="283">
        <v>-691.10000000000014</v>
      </c>
      <c r="AP10" s="351">
        <f t="shared" ref="AP10:AP18" si="24">SUM(AL10:AO10)</f>
        <v>-2448.9</v>
      </c>
      <c r="AQ10" s="660">
        <v>-651.29999999999995</v>
      </c>
      <c r="AR10" s="348"/>
      <c r="AS10" s="348"/>
      <c r="AT10" s="283"/>
      <c r="AU10" s="351">
        <f t="shared" ref="AU10:AU18" si="25">SUM(AQ10:AT10)</f>
        <v>-651.29999999999995</v>
      </c>
      <c r="AW10" s="660">
        <v>-563.79999999999995</v>
      </c>
      <c r="AX10" s="348"/>
      <c r="AY10" s="348"/>
      <c r="AZ10" s="283"/>
      <c r="BA10" s="351">
        <f t="shared" ref="BA10:BA18" si="26">SUM(AW10:AZ10)</f>
        <v>-563.79999999999995</v>
      </c>
      <c r="BD10" s="658"/>
    </row>
    <row r="11" spans="1:56" ht="18.75" customHeight="1">
      <c r="A11" s="335" t="s">
        <v>75</v>
      </c>
      <c r="B11" s="348">
        <v>-54.4</v>
      </c>
      <c r="C11" s="348">
        <v>-56.7</v>
      </c>
      <c r="D11" s="348">
        <v>-60.2</v>
      </c>
      <c r="E11" s="348">
        <v>-71.7</v>
      </c>
      <c r="F11" s="349">
        <f>SUM(B11:E11)</f>
        <v>-243</v>
      </c>
      <c r="G11" s="350">
        <v>-60.7</v>
      </c>
      <c r="H11" s="348">
        <v>-62.3</v>
      </c>
      <c r="I11" s="348">
        <v>-64.8</v>
      </c>
      <c r="J11" s="348">
        <v>-68.599999999999994</v>
      </c>
      <c r="K11" s="349">
        <f>SUM(G11:J11)</f>
        <v>-256.39999999999998</v>
      </c>
      <c r="L11" s="350">
        <v>-62.5</v>
      </c>
      <c r="M11" s="348">
        <v>-311.3</v>
      </c>
      <c r="N11" s="348">
        <v>-478.3</v>
      </c>
      <c r="O11" s="348">
        <v>-443.8</v>
      </c>
      <c r="P11" s="351">
        <f>SUM(L11:O11)</f>
        <v>-1295.9000000000001</v>
      </c>
      <c r="Q11" s="348">
        <v>-467.9</v>
      </c>
      <c r="R11" s="348">
        <v>-393.5</v>
      </c>
      <c r="S11" s="348">
        <v>-401.2</v>
      </c>
      <c r="T11" s="342">
        <v>-436.70000000000005</v>
      </c>
      <c r="U11" s="351">
        <v>-1699.3</v>
      </c>
      <c r="V11" s="352">
        <v>-423.7</v>
      </c>
      <c r="W11" s="352">
        <v>-527.5</v>
      </c>
      <c r="X11" s="283">
        <v>-507.9</v>
      </c>
      <c r="Y11" s="342">
        <v>-512.4</v>
      </c>
      <c r="Z11" s="351">
        <f>SUM(V11:Y11)</f>
        <v>-1971.5</v>
      </c>
      <c r="AA11" s="352">
        <v>-472.3</v>
      </c>
      <c r="AB11" s="352">
        <v>-446.7</v>
      </c>
      <c r="AC11" s="283">
        <v>-429.2</v>
      </c>
      <c r="AD11" s="283">
        <v>-434.8</v>
      </c>
      <c r="AE11" s="351">
        <f t="shared" si="12"/>
        <v>-1783</v>
      </c>
      <c r="AF11" s="352">
        <v>-454.5</v>
      </c>
      <c r="AG11" s="348">
        <v>-439.1</v>
      </c>
      <c r="AH11" s="348">
        <v>-452.5</v>
      </c>
      <c r="AI11" s="283">
        <v>-430.6</v>
      </c>
      <c r="AJ11" s="640">
        <f t="shared" si="23"/>
        <v>-1776.6999999999998</v>
      </c>
      <c r="AK11" s="605"/>
      <c r="AL11" s="660">
        <v>-454.5</v>
      </c>
      <c r="AM11" s="348">
        <v>-470.8</v>
      </c>
      <c r="AN11" s="348">
        <v>-523.5</v>
      </c>
      <c r="AO11" s="283">
        <v>-521.90000000000009</v>
      </c>
      <c r="AP11" s="351">
        <f t="shared" si="24"/>
        <v>-1970.7</v>
      </c>
      <c r="AQ11" s="660">
        <v>-440.1</v>
      </c>
      <c r="AR11" s="348"/>
      <c r="AS11" s="348"/>
      <c r="AT11" s="283"/>
      <c r="AU11" s="351">
        <f t="shared" si="25"/>
        <v>-440.1</v>
      </c>
      <c r="AW11" s="660">
        <v>-547.1</v>
      </c>
      <c r="AX11" s="348"/>
      <c r="AY11" s="348"/>
      <c r="AZ11" s="283"/>
      <c r="BA11" s="351">
        <f t="shared" si="26"/>
        <v>-547.1</v>
      </c>
      <c r="BD11" s="658"/>
    </row>
    <row r="12" spans="1:56" ht="18.75" customHeight="1">
      <c r="A12" s="335" t="s">
        <v>84</v>
      </c>
      <c r="B12" s="348">
        <v>-5.5</v>
      </c>
      <c r="C12" s="348">
        <v>-7.6</v>
      </c>
      <c r="D12" s="348">
        <v>-7</v>
      </c>
      <c r="E12" s="348">
        <v>-16.100000000000001</v>
      </c>
      <c r="F12" s="349">
        <f>SUM(B12:E12)</f>
        <v>-36.200000000000003</v>
      </c>
      <c r="G12" s="350">
        <v>-25.8</v>
      </c>
      <c r="H12" s="348">
        <v>-16.8</v>
      </c>
      <c r="I12" s="348">
        <v>-10.7</v>
      </c>
      <c r="J12" s="348">
        <v>-10.6</v>
      </c>
      <c r="K12" s="349">
        <f>SUM(G12:J12)</f>
        <v>-63.9</v>
      </c>
      <c r="L12" s="350">
        <v>-10.300000000000011</v>
      </c>
      <c r="M12" s="348">
        <v>-189.7</v>
      </c>
      <c r="N12" s="348">
        <v>-348.6</v>
      </c>
      <c r="O12" s="348">
        <v>-376.6</v>
      </c>
      <c r="P12" s="351">
        <f>SUM(L12:O12)</f>
        <v>-925.2</v>
      </c>
      <c r="Q12" s="348">
        <v>-332.5</v>
      </c>
      <c r="R12" s="348">
        <v>-291.7</v>
      </c>
      <c r="S12" s="348">
        <v>-314.89999999999998</v>
      </c>
      <c r="T12" s="342">
        <v>-393.59999999999991</v>
      </c>
      <c r="U12" s="351">
        <v>-1332.8</v>
      </c>
      <c r="V12" s="352">
        <v>-326.8</v>
      </c>
      <c r="W12" s="352">
        <v>-317.3</v>
      </c>
      <c r="X12" s="283">
        <v>-330.5</v>
      </c>
      <c r="Y12" s="342">
        <v>-380.1</v>
      </c>
      <c r="Z12" s="351">
        <f>SUM(V12:Y12)</f>
        <v>-1354.7</v>
      </c>
      <c r="AA12" s="352">
        <v>-323.60000000000002</v>
      </c>
      <c r="AB12" s="352">
        <v>-318.8</v>
      </c>
      <c r="AC12" s="283">
        <v>-323.3</v>
      </c>
      <c r="AD12" s="283">
        <v>-357.9</v>
      </c>
      <c r="AE12" s="351">
        <f t="shared" si="12"/>
        <v>-1323.6</v>
      </c>
      <c r="AF12" s="352">
        <v>-258.5</v>
      </c>
      <c r="AG12" s="348">
        <v>-275.2</v>
      </c>
      <c r="AH12" s="348">
        <v>-277.3</v>
      </c>
      <c r="AI12" s="283">
        <v>-331.7</v>
      </c>
      <c r="AJ12" s="640">
        <f t="shared" si="23"/>
        <v>-1142.7</v>
      </c>
      <c r="AK12" s="605"/>
      <c r="AL12" s="660">
        <v>-272.5</v>
      </c>
      <c r="AM12" s="348">
        <v>-282.5</v>
      </c>
      <c r="AN12" s="348">
        <v>-281.10000000000002</v>
      </c>
      <c r="AO12" s="283">
        <v>-338.1</v>
      </c>
      <c r="AP12" s="351">
        <f t="shared" si="24"/>
        <v>-1174.2</v>
      </c>
      <c r="AQ12" s="660">
        <v>-289.39999999999998</v>
      </c>
      <c r="AR12" s="348"/>
      <c r="AS12" s="348"/>
      <c r="AT12" s="283"/>
      <c r="AU12" s="351">
        <f t="shared" si="25"/>
        <v>-289.39999999999998</v>
      </c>
      <c r="AW12" s="660">
        <v>-289.39999999999998</v>
      </c>
      <c r="AX12" s="348"/>
      <c r="AY12" s="348"/>
      <c r="AZ12" s="283"/>
      <c r="BA12" s="351">
        <f t="shared" si="26"/>
        <v>-289.39999999999998</v>
      </c>
      <c r="BD12" s="658"/>
    </row>
    <row r="13" spans="1:56" ht="20.100000000000001" customHeight="1">
      <c r="A13" s="335" t="s">
        <v>81</v>
      </c>
      <c r="B13" s="348">
        <v>-206.8</v>
      </c>
      <c r="C13" s="348">
        <v>-226.6</v>
      </c>
      <c r="D13" s="348">
        <v>-171.5</v>
      </c>
      <c r="E13" s="348">
        <v>-219</v>
      </c>
      <c r="F13" s="349">
        <f>SUM(B13:E13)</f>
        <v>-823.9</v>
      </c>
      <c r="G13" s="350">
        <v>-207.5</v>
      </c>
      <c r="H13" s="348">
        <v>-239.5</v>
      </c>
      <c r="I13" s="348">
        <v>-219.3</v>
      </c>
      <c r="J13" s="348">
        <v>-260.7</v>
      </c>
      <c r="K13" s="349">
        <f>SUM(G13:J13)</f>
        <v>-927</v>
      </c>
      <c r="L13" s="350">
        <v>-210.60000000000002</v>
      </c>
      <c r="M13" s="348">
        <v>-260.89999999999998</v>
      </c>
      <c r="N13" s="348">
        <v>-262.39999999999998</v>
      </c>
      <c r="O13" s="348">
        <v>-295.60000000000002</v>
      </c>
      <c r="P13" s="351">
        <f>SUM(L13:O13)</f>
        <v>-1029.5</v>
      </c>
      <c r="Q13" s="348">
        <v>-235.5</v>
      </c>
      <c r="R13" s="348">
        <v>-274</v>
      </c>
      <c r="S13" s="348">
        <v>-257.3</v>
      </c>
      <c r="T13" s="342">
        <v>-299.10000000000014</v>
      </c>
      <c r="U13" s="351">
        <v>-1065.9000000000001</v>
      </c>
      <c r="V13" s="352">
        <v>-248.5</v>
      </c>
      <c r="W13" s="352">
        <v>-316.3</v>
      </c>
      <c r="X13" s="283">
        <v>-252.1</v>
      </c>
      <c r="Y13" s="342">
        <v>-297.3</v>
      </c>
      <c r="Z13" s="351">
        <f>SUM(V13:Y13)</f>
        <v>-1114.2</v>
      </c>
      <c r="AA13" s="352">
        <v>-264.3</v>
      </c>
      <c r="AB13" s="352">
        <v>-298.39999999999998</v>
      </c>
      <c r="AC13" s="283">
        <v>-269.7</v>
      </c>
      <c r="AD13" s="283">
        <v>-321.2</v>
      </c>
      <c r="AE13" s="351">
        <f t="shared" si="12"/>
        <v>-1153.6000000000001</v>
      </c>
      <c r="AF13" s="352">
        <v>-269.39999999999998</v>
      </c>
      <c r="AG13" s="348">
        <v>-316.8</v>
      </c>
      <c r="AH13" s="348">
        <v>-323.5</v>
      </c>
      <c r="AI13" s="283">
        <v>-406.8</v>
      </c>
      <c r="AJ13" s="640">
        <f t="shared" si="23"/>
        <v>-1316.5</v>
      </c>
      <c r="AK13" s="605"/>
      <c r="AL13" s="660">
        <v>-269.39999999999998</v>
      </c>
      <c r="AM13" s="348">
        <v>-323</v>
      </c>
      <c r="AN13" s="348">
        <v>-338.9</v>
      </c>
      <c r="AO13" s="283">
        <v>-424</v>
      </c>
      <c r="AP13" s="351">
        <f t="shared" si="24"/>
        <v>-1355.3</v>
      </c>
      <c r="AQ13" s="660">
        <v>-369</v>
      </c>
      <c r="AR13" s="348"/>
      <c r="AS13" s="348"/>
      <c r="AT13" s="283"/>
      <c r="AU13" s="351">
        <f t="shared" si="25"/>
        <v>-369</v>
      </c>
      <c r="AW13" s="660">
        <v>-366.9</v>
      </c>
      <c r="AX13" s="348"/>
      <c r="AY13" s="348"/>
      <c r="AZ13" s="283"/>
      <c r="BA13" s="351">
        <f t="shared" si="26"/>
        <v>-366.9</v>
      </c>
      <c r="BD13" s="658"/>
    </row>
    <row r="14" spans="1:56" ht="25.5">
      <c r="A14" s="335" t="s">
        <v>82</v>
      </c>
      <c r="B14" s="348">
        <v>-71.5</v>
      </c>
      <c r="C14" s="348">
        <v>-71.8</v>
      </c>
      <c r="D14" s="348">
        <v>-73.7</v>
      </c>
      <c r="E14" s="348">
        <v>-95.7</v>
      </c>
      <c r="F14" s="349">
        <f>SUM(B14:E14)</f>
        <v>-312.7</v>
      </c>
      <c r="G14" s="350">
        <v>-79</v>
      </c>
      <c r="H14" s="348">
        <v>-81.3</v>
      </c>
      <c r="I14" s="348">
        <v>-79.3</v>
      </c>
      <c r="J14" s="348">
        <v>-92.4</v>
      </c>
      <c r="K14" s="349">
        <f>SUM(G14:J14)</f>
        <v>-332</v>
      </c>
      <c r="L14" s="350">
        <v>-75.400000000000006</v>
      </c>
      <c r="M14" s="348">
        <v>-132.19999999999999</v>
      </c>
      <c r="N14" s="348">
        <v>-186.8</v>
      </c>
      <c r="O14" s="348">
        <v>-218.3</v>
      </c>
      <c r="P14" s="351">
        <f>SUM(L14:O14)</f>
        <v>-612.70000000000005</v>
      </c>
      <c r="Q14" s="348">
        <v>-189.2</v>
      </c>
      <c r="R14" s="348">
        <v>-193.2</v>
      </c>
      <c r="S14" s="348">
        <v>-200.1</v>
      </c>
      <c r="T14" s="342">
        <v>-220.1</v>
      </c>
      <c r="U14" s="351">
        <v>-802.6</v>
      </c>
      <c r="V14" s="352">
        <v>-200.5</v>
      </c>
      <c r="W14" s="352">
        <v>-202.2</v>
      </c>
      <c r="X14" s="283">
        <v>-202.6</v>
      </c>
      <c r="Y14" s="342">
        <v>-222.5</v>
      </c>
      <c r="Z14" s="351">
        <f>SUM(V14:Y14)</f>
        <v>-827.8</v>
      </c>
      <c r="AA14" s="352">
        <v>-211.1</v>
      </c>
      <c r="AB14" s="352">
        <v>-215.9</v>
      </c>
      <c r="AC14" s="283">
        <v>-224</v>
      </c>
      <c r="AD14" s="283">
        <v>-243.3</v>
      </c>
      <c r="AE14" s="351">
        <f t="shared" si="12"/>
        <v>-894.3</v>
      </c>
      <c r="AF14" s="352">
        <v>-205.2</v>
      </c>
      <c r="AG14" s="348">
        <v>-214.9</v>
      </c>
      <c r="AH14" s="348">
        <v>-217.1</v>
      </c>
      <c r="AI14" s="283">
        <v>-265.60000000000002</v>
      </c>
      <c r="AJ14" s="640">
        <f t="shared" si="23"/>
        <v>-902.80000000000007</v>
      </c>
      <c r="AK14" s="605"/>
      <c r="AL14" s="660">
        <v>-205.2</v>
      </c>
      <c r="AM14" s="348">
        <v>-223.5</v>
      </c>
      <c r="AN14" s="348">
        <v>-236.5</v>
      </c>
      <c r="AO14" s="283">
        <v>-268.69999999999993</v>
      </c>
      <c r="AP14" s="351">
        <f t="shared" si="24"/>
        <v>-933.9</v>
      </c>
      <c r="AQ14" s="660">
        <v>-249.5</v>
      </c>
      <c r="AR14" s="348"/>
      <c r="AS14" s="348"/>
      <c r="AT14" s="283"/>
      <c r="AU14" s="351">
        <f t="shared" si="25"/>
        <v>-249.5</v>
      </c>
      <c r="AW14" s="660">
        <v>-244.8</v>
      </c>
      <c r="AX14" s="348"/>
      <c r="AY14" s="348"/>
      <c r="AZ14" s="283"/>
      <c r="BA14" s="351">
        <f t="shared" si="26"/>
        <v>-244.8</v>
      </c>
      <c r="BD14" s="658"/>
    </row>
    <row r="15" spans="1:56" ht="20.100000000000001" customHeight="1">
      <c r="A15" s="335" t="s">
        <v>1</v>
      </c>
      <c r="B15" s="348">
        <v>-40.6</v>
      </c>
      <c r="C15" s="348">
        <v>-40.299999999999997</v>
      </c>
      <c r="D15" s="348">
        <v>-38.9</v>
      </c>
      <c r="E15" s="348">
        <v>-58.6</v>
      </c>
      <c r="F15" s="349">
        <f t="shared" ref="F15:F18" si="27">SUM(B15:E15)</f>
        <v>-178.4</v>
      </c>
      <c r="G15" s="350">
        <v>-43.1</v>
      </c>
      <c r="H15" s="348">
        <v>-41.9</v>
      </c>
      <c r="I15" s="348">
        <v>-40.4</v>
      </c>
      <c r="J15" s="348">
        <v>-53.2</v>
      </c>
      <c r="K15" s="349">
        <f t="shared" ref="K15:K18" si="28">SUM(G15:J15)</f>
        <v>-178.60000000000002</v>
      </c>
      <c r="L15" s="350">
        <v>-44.600000000000009</v>
      </c>
      <c r="M15" s="348">
        <v>-108.2</v>
      </c>
      <c r="N15" s="348">
        <v>-118</v>
      </c>
      <c r="O15" s="348">
        <v>-150.9</v>
      </c>
      <c r="P15" s="351">
        <f t="shared" ref="P15:P18" si="29">SUM(L15:O15)</f>
        <v>-421.70000000000005</v>
      </c>
      <c r="Q15" s="348">
        <v>-129.1</v>
      </c>
      <c r="R15" s="348">
        <v>-140.80000000000001</v>
      </c>
      <c r="S15" s="348">
        <v>-122.3</v>
      </c>
      <c r="T15" s="342">
        <v>-158.00000000000006</v>
      </c>
      <c r="U15" s="351">
        <v>-550.20000000000005</v>
      </c>
      <c r="V15" s="352">
        <v>-137.9</v>
      </c>
      <c r="W15" s="352">
        <v>-138.19999999999999</v>
      </c>
      <c r="X15" s="283">
        <v>-130.5</v>
      </c>
      <c r="Y15" s="342">
        <v>-163.9</v>
      </c>
      <c r="Z15" s="351">
        <f t="shared" si="11"/>
        <v>-570.5</v>
      </c>
      <c r="AA15" s="352">
        <v>-127.8</v>
      </c>
      <c r="AB15" s="352">
        <v>-133.69999999999999</v>
      </c>
      <c r="AC15" s="283">
        <v>-127.4</v>
      </c>
      <c r="AD15" s="283">
        <v>-164.2</v>
      </c>
      <c r="AE15" s="351">
        <f t="shared" si="12"/>
        <v>-553.09999999999991</v>
      </c>
      <c r="AF15" s="352">
        <v>-143.80000000000001</v>
      </c>
      <c r="AG15" s="348">
        <v>-146</v>
      </c>
      <c r="AH15" s="348">
        <v>-137</v>
      </c>
      <c r="AI15" s="283">
        <v>-184.2</v>
      </c>
      <c r="AJ15" s="640">
        <f t="shared" si="23"/>
        <v>-611</v>
      </c>
      <c r="AK15" s="607"/>
      <c r="AL15" s="660">
        <v>-143.80000000000001</v>
      </c>
      <c r="AM15" s="348">
        <v>-169.3</v>
      </c>
      <c r="AN15" s="348">
        <v>-187.1</v>
      </c>
      <c r="AO15" s="283">
        <v>-238.7</v>
      </c>
      <c r="AP15" s="351">
        <f t="shared" si="24"/>
        <v>-738.90000000000009</v>
      </c>
      <c r="AQ15" s="660">
        <v>-212.6</v>
      </c>
      <c r="AR15" s="348"/>
      <c r="AS15" s="348"/>
      <c r="AT15" s="283"/>
      <c r="AU15" s="351">
        <f t="shared" si="25"/>
        <v>-212.6</v>
      </c>
      <c r="AW15" s="660">
        <v>-212.6</v>
      </c>
      <c r="AX15" s="348"/>
      <c r="AY15" s="348"/>
      <c r="AZ15" s="283"/>
      <c r="BA15" s="351">
        <f t="shared" si="26"/>
        <v>-212.6</v>
      </c>
      <c r="BD15" s="658"/>
    </row>
    <row r="16" spans="1:56" ht="24.75" customHeight="1">
      <c r="A16" s="335" t="s">
        <v>85</v>
      </c>
      <c r="B16" s="348">
        <v>-5.9</v>
      </c>
      <c r="C16" s="348">
        <v>-8.4</v>
      </c>
      <c r="D16" s="348">
        <v>-5.3</v>
      </c>
      <c r="E16" s="348">
        <v>-7.8</v>
      </c>
      <c r="F16" s="349">
        <f t="shared" si="27"/>
        <v>-27.400000000000002</v>
      </c>
      <c r="G16" s="350">
        <v>-6.42</v>
      </c>
      <c r="H16" s="348">
        <v>-9.3000000000000007</v>
      </c>
      <c r="I16" s="348">
        <v>-5.3</v>
      </c>
      <c r="J16" s="348">
        <v>-7.2</v>
      </c>
      <c r="K16" s="349">
        <f t="shared" si="28"/>
        <v>-28.22</v>
      </c>
      <c r="L16" s="350">
        <v>-6.6999999999999993</v>
      </c>
      <c r="M16" s="348">
        <v>-18.100000000000001</v>
      </c>
      <c r="N16" s="348">
        <v>-15.3</v>
      </c>
      <c r="O16" s="348">
        <v>-27.5</v>
      </c>
      <c r="P16" s="351">
        <f t="shared" si="29"/>
        <v>-67.599999999999994</v>
      </c>
      <c r="Q16" s="348">
        <v>-18.7</v>
      </c>
      <c r="R16" s="348">
        <v>-27.8</v>
      </c>
      <c r="S16" s="348">
        <v>-8.5</v>
      </c>
      <c r="T16" s="342">
        <v>-7.6000000000000014</v>
      </c>
      <c r="U16" s="351">
        <v>-62.6</v>
      </c>
      <c r="V16" s="352">
        <v>-9.6</v>
      </c>
      <c r="W16" s="352">
        <v>-16.3</v>
      </c>
      <c r="X16" s="283">
        <v>-5.7</v>
      </c>
      <c r="Y16" s="342">
        <v>-15.3</v>
      </c>
      <c r="Z16" s="351">
        <f t="shared" si="11"/>
        <v>-46.9</v>
      </c>
      <c r="AA16" s="352">
        <v>-19.3</v>
      </c>
      <c r="AB16" s="352">
        <v>-16.3</v>
      </c>
      <c r="AC16" s="283">
        <v>-21.3</v>
      </c>
      <c r="AD16" s="283">
        <v>-10.5</v>
      </c>
      <c r="AE16" s="351">
        <f t="shared" si="12"/>
        <v>-67.400000000000006</v>
      </c>
      <c r="AF16" s="352">
        <v>-11.9</v>
      </c>
      <c r="AG16" s="348">
        <v>-18.2</v>
      </c>
      <c r="AH16" s="348">
        <v>-32.9</v>
      </c>
      <c r="AI16" s="283">
        <v>-19</v>
      </c>
      <c r="AJ16" s="640">
        <f t="shared" si="23"/>
        <v>-82</v>
      </c>
      <c r="AK16" s="605"/>
      <c r="AL16" s="660">
        <v>-11.9</v>
      </c>
      <c r="AM16" s="348">
        <v>-17.600000000000001</v>
      </c>
      <c r="AN16" s="348">
        <v>-34.799999999999997</v>
      </c>
      <c r="AO16" s="283">
        <v>-19.600000000000009</v>
      </c>
      <c r="AP16" s="351">
        <f t="shared" si="24"/>
        <v>-83.9</v>
      </c>
      <c r="AQ16" s="660">
        <v>-34.6</v>
      </c>
      <c r="AR16" s="348"/>
      <c r="AS16" s="348"/>
      <c r="AT16" s="283"/>
      <c r="AU16" s="351">
        <f t="shared" si="25"/>
        <v>-34.6</v>
      </c>
      <c r="AW16" s="660">
        <v>-34.6</v>
      </c>
      <c r="AX16" s="348"/>
      <c r="AY16" s="348"/>
      <c r="AZ16" s="283"/>
      <c r="BA16" s="351">
        <f t="shared" si="26"/>
        <v>-34.6</v>
      </c>
      <c r="BD16" s="658"/>
    </row>
    <row r="17" spans="1:56" ht="18.75" customHeight="1" thickBot="1">
      <c r="A17" s="335" t="s">
        <v>86</v>
      </c>
      <c r="B17" s="348">
        <v>-30.1</v>
      </c>
      <c r="C17" s="348">
        <v>-33.200000000000003</v>
      </c>
      <c r="D17" s="348">
        <v>-29.7</v>
      </c>
      <c r="E17" s="348">
        <v>-34.200000000000003</v>
      </c>
      <c r="F17" s="349">
        <f t="shared" si="27"/>
        <v>-127.2</v>
      </c>
      <c r="G17" s="350">
        <v>-29.7</v>
      </c>
      <c r="H17" s="348">
        <v>-29.3</v>
      </c>
      <c r="I17" s="348">
        <v>-28.7</v>
      </c>
      <c r="J17" s="348">
        <v>-27.6</v>
      </c>
      <c r="K17" s="349">
        <f t="shared" si="28"/>
        <v>-115.30000000000001</v>
      </c>
      <c r="L17" s="350">
        <v>-26.000000000000007</v>
      </c>
      <c r="M17" s="348">
        <v>-43.4</v>
      </c>
      <c r="N17" s="348">
        <v>-87.2</v>
      </c>
      <c r="O17" s="348">
        <v>-55.5</v>
      </c>
      <c r="P17" s="351">
        <f t="shared" si="29"/>
        <v>-212.10000000000002</v>
      </c>
      <c r="Q17" s="348">
        <v>-53.8</v>
      </c>
      <c r="R17" s="348">
        <v>-56.1</v>
      </c>
      <c r="S17" s="348">
        <v>-44.6</v>
      </c>
      <c r="T17" s="342">
        <v>-59.099999999999994</v>
      </c>
      <c r="U17" s="351">
        <v>-213.5</v>
      </c>
      <c r="V17" s="352">
        <v>-50.7</v>
      </c>
      <c r="W17" s="352">
        <v>-67.599999999999994</v>
      </c>
      <c r="X17" s="283">
        <v>-50.2</v>
      </c>
      <c r="Y17" s="342">
        <v>-76.5</v>
      </c>
      <c r="Z17" s="351">
        <f t="shared" si="11"/>
        <v>-245</v>
      </c>
      <c r="AA17" s="352">
        <v>-51.6</v>
      </c>
      <c r="AB17" s="352">
        <v>-49.5</v>
      </c>
      <c r="AC17" s="283">
        <v>-52.3</v>
      </c>
      <c r="AD17" s="283">
        <v>-73.5</v>
      </c>
      <c r="AE17" s="351">
        <f t="shared" si="12"/>
        <v>-226.89999999999998</v>
      </c>
      <c r="AF17" s="352">
        <v>-55.3</v>
      </c>
      <c r="AG17" s="348">
        <v>-55.2</v>
      </c>
      <c r="AH17" s="348">
        <v>-53.4</v>
      </c>
      <c r="AI17" s="283">
        <v>-68</v>
      </c>
      <c r="AJ17" s="640">
        <f t="shared" si="23"/>
        <v>-231.9</v>
      </c>
      <c r="AK17" s="605"/>
      <c r="AL17" s="660">
        <v>-55.3</v>
      </c>
      <c r="AM17" s="348">
        <v>-61.8</v>
      </c>
      <c r="AN17" s="348">
        <v>-69.099999999999994</v>
      </c>
      <c r="AO17" s="283">
        <v>-86.800000000000011</v>
      </c>
      <c r="AP17" s="351">
        <f t="shared" si="24"/>
        <v>-273</v>
      </c>
      <c r="AQ17" s="660">
        <v>-70.599999999999994</v>
      </c>
      <c r="AR17" s="348"/>
      <c r="AS17" s="348"/>
      <c r="AT17" s="283"/>
      <c r="AU17" s="351">
        <f t="shared" si="25"/>
        <v>-70.599999999999994</v>
      </c>
      <c r="AW17" s="660">
        <v>-57.8</v>
      </c>
      <c r="AX17" s="348"/>
      <c r="AY17" s="348"/>
      <c r="AZ17" s="283"/>
      <c r="BA17" s="351">
        <f t="shared" si="26"/>
        <v>-57.8</v>
      </c>
      <c r="BD17" s="658"/>
    </row>
    <row r="18" spans="1:56" s="353" customFormat="1" ht="20.100000000000001" customHeight="1" thickBot="1">
      <c r="A18" s="330" t="s">
        <v>204</v>
      </c>
      <c r="B18" s="343">
        <v>-1.7</v>
      </c>
      <c r="C18" s="343">
        <v>-1.1000000000000001</v>
      </c>
      <c r="D18" s="343">
        <v>-2</v>
      </c>
      <c r="E18" s="343">
        <v>-12.7</v>
      </c>
      <c r="F18" s="384">
        <f t="shared" si="27"/>
        <v>-17.5</v>
      </c>
      <c r="G18" s="345">
        <v>0.5</v>
      </c>
      <c r="H18" s="343">
        <v>1.5</v>
      </c>
      <c r="I18" s="343">
        <v>36.799999999999997</v>
      </c>
      <c r="J18" s="343">
        <v>-2</v>
      </c>
      <c r="K18" s="384">
        <f t="shared" si="28"/>
        <v>36.799999999999997</v>
      </c>
      <c r="L18" s="345">
        <v>3.6</v>
      </c>
      <c r="M18" s="343">
        <v>3.5</v>
      </c>
      <c r="N18" s="343">
        <v>4.7</v>
      </c>
      <c r="O18" s="343">
        <v>-2.2000000000000002</v>
      </c>
      <c r="P18" s="385">
        <f t="shared" si="29"/>
        <v>9.6000000000000014</v>
      </c>
      <c r="Q18" s="343">
        <v>8.6999999999999993</v>
      </c>
      <c r="R18" s="343">
        <v>13.8</v>
      </c>
      <c r="S18" s="343">
        <v>14.4</v>
      </c>
      <c r="T18" s="343">
        <v>-6.2</v>
      </c>
      <c r="U18" s="385">
        <v>30.7</v>
      </c>
      <c r="V18" s="386">
        <v>6.8</v>
      </c>
      <c r="W18" s="386">
        <v>6.6</v>
      </c>
      <c r="X18" s="387">
        <v>0</v>
      </c>
      <c r="Y18" s="343">
        <v>-4.5999999999999996</v>
      </c>
      <c r="Z18" s="385">
        <f t="shared" si="11"/>
        <v>8.7999999999999989</v>
      </c>
      <c r="AA18" s="386">
        <v>6.8</v>
      </c>
      <c r="AB18" s="386">
        <v>9.9</v>
      </c>
      <c r="AC18" s="387">
        <v>6.7</v>
      </c>
      <c r="AD18" s="343">
        <v>-2.1</v>
      </c>
      <c r="AE18" s="385">
        <f t="shared" si="12"/>
        <v>21.299999999999997</v>
      </c>
      <c r="AF18" s="386">
        <v>6.7</v>
      </c>
      <c r="AG18" s="386">
        <v>-1.9</v>
      </c>
      <c r="AH18" s="496">
        <v>4.5999999999999996</v>
      </c>
      <c r="AI18" s="343">
        <v>0</v>
      </c>
      <c r="AJ18" s="641">
        <f t="shared" si="23"/>
        <v>9.4</v>
      </c>
      <c r="AK18" s="608"/>
      <c r="AL18" s="661">
        <v>6.7</v>
      </c>
      <c r="AM18" s="386">
        <v>-0.6</v>
      </c>
      <c r="AN18" s="497">
        <v>7.3</v>
      </c>
      <c r="AO18" s="343">
        <v>6.2999999999999989</v>
      </c>
      <c r="AP18" s="385">
        <f t="shared" si="24"/>
        <v>19.7</v>
      </c>
      <c r="AQ18" s="661">
        <v>16.600000000000001</v>
      </c>
      <c r="AR18" s="386"/>
      <c r="AS18" s="497"/>
      <c r="AT18" s="343"/>
      <c r="AU18" s="385">
        <f t="shared" si="25"/>
        <v>16.600000000000001</v>
      </c>
      <c r="AW18" s="661">
        <v>16.600000000000001</v>
      </c>
      <c r="AX18" s="386"/>
      <c r="AY18" s="497"/>
      <c r="AZ18" s="343"/>
      <c r="BA18" s="385">
        <f t="shared" si="26"/>
        <v>16.600000000000001</v>
      </c>
      <c r="BC18" s="7"/>
      <c r="BD18" s="658"/>
    </row>
    <row r="19" spans="1:56" s="347" customFormat="1" ht="20.100000000000001" customHeight="1" thickBot="1">
      <c r="A19" s="330" t="s">
        <v>49</v>
      </c>
      <c r="B19" s="343">
        <f t="shared" ref="B19:AF19" si="30">B4+B9+B18</f>
        <v>203.00000000000006</v>
      </c>
      <c r="C19" s="343">
        <f t="shared" si="30"/>
        <v>212.99999999999997</v>
      </c>
      <c r="D19" s="343">
        <f t="shared" si="30"/>
        <v>197.60000000000002</v>
      </c>
      <c r="E19" s="343">
        <f t="shared" si="30"/>
        <v>175.50000000000017</v>
      </c>
      <c r="F19" s="354">
        <f t="shared" si="30"/>
        <v>789.09999999999923</v>
      </c>
      <c r="G19" s="333">
        <f t="shared" si="30"/>
        <v>184.67999999999995</v>
      </c>
      <c r="H19" s="331">
        <f t="shared" si="30"/>
        <v>195</v>
      </c>
      <c r="I19" s="331">
        <f t="shared" si="30"/>
        <v>203.39999999999998</v>
      </c>
      <c r="J19" s="331">
        <f t="shared" si="30"/>
        <v>206.79999999999995</v>
      </c>
      <c r="K19" s="354">
        <f t="shared" si="30"/>
        <v>789.88000000000034</v>
      </c>
      <c r="L19" s="333">
        <f t="shared" si="30"/>
        <v>219.4999999999998</v>
      </c>
      <c r="M19" s="331">
        <f t="shared" si="30"/>
        <v>397.59999999999991</v>
      </c>
      <c r="N19" s="331">
        <f t="shared" si="30"/>
        <v>431.79999999999967</v>
      </c>
      <c r="O19" s="331">
        <f t="shared" si="30"/>
        <v>393.50000000000074</v>
      </c>
      <c r="P19" s="355">
        <f t="shared" si="30"/>
        <v>1442.3999999999992</v>
      </c>
      <c r="Q19" s="331">
        <f t="shared" si="30"/>
        <v>428.7</v>
      </c>
      <c r="R19" s="331">
        <f t="shared" si="30"/>
        <v>583.5</v>
      </c>
      <c r="S19" s="331">
        <f t="shared" si="30"/>
        <v>529.1999999999997</v>
      </c>
      <c r="T19" s="331">
        <f t="shared" si="30"/>
        <v>444.40000000000038</v>
      </c>
      <c r="U19" s="355">
        <f t="shared" si="30"/>
        <v>1985.7999999999995</v>
      </c>
      <c r="V19" s="331">
        <f t="shared" si="30"/>
        <v>422.8</v>
      </c>
      <c r="W19" s="331">
        <f t="shared" si="30"/>
        <v>407.50000000000011</v>
      </c>
      <c r="X19" s="280">
        <f t="shared" si="30"/>
        <v>449.10000000000036</v>
      </c>
      <c r="Y19" s="280">
        <f t="shared" si="30"/>
        <v>389.9</v>
      </c>
      <c r="Z19" s="355">
        <f t="shared" si="30"/>
        <v>1669.3</v>
      </c>
      <c r="AA19" s="331">
        <f t="shared" si="30"/>
        <v>457.20000000000033</v>
      </c>
      <c r="AB19" s="331">
        <f t="shared" si="30"/>
        <v>516.99999999999989</v>
      </c>
      <c r="AC19" s="331">
        <f t="shared" si="30"/>
        <v>421.90000000000003</v>
      </c>
      <c r="AD19" s="331">
        <f t="shared" si="30"/>
        <v>437.9</v>
      </c>
      <c r="AE19" s="355">
        <f t="shared" si="30"/>
        <v>1834.0000000000007</v>
      </c>
      <c r="AF19" s="386">
        <f t="shared" si="30"/>
        <v>464.29999999999967</v>
      </c>
      <c r="AG19" s="331">
        <f>AG4+AG9+AG18</f>
        <v>488.49999999999989</v>
      </c>
      <c r="AH19" s="331">
        <f>AH4+AH9+AH18</f>
        <v>396.00000000000011</v>
      </c>
      <c r="AI19" s="243">
        <f>AI4+AI9+AI18</f>
        <v>416</v>
      </c>
      <c r="AJ19" s="624">
        <f t="shared" ref="AJ19" si="31">AJ4+AJ9+AJ18</f>
        <v>1764.7999999999997</v>
      </c>
      <c r="AK19" s="609"/>
      <c r="AL19" s="333">
        <f t="shared" ref="AL19" si="32">AL4+AL9+AL18</f>
        <v>435.49999999999994</v>
      </c>
      <c r="AM19" s="331">
        <f>AM4+AM9+AM18</f>
        <v>475.5999999999998</v>
      </c>
      <c r="AN19" s="331">
        <f>AN4+AN9+AN18</f>
        <v>396.49999999999983</v>
      </c>
      <c r="AO19" s="243">
        <f t="shared" ref="AO19:AP19" si="33">AO4+AO9+AO18</f>
        <v>419.39999999999992</v>
      </c>
      <c r="AP19" s="355">
        <f t="shared" si="33"/>
        <v>1727.000000000003</v>
      </c>
      <c r="AQ19" s="333">
        <f>AQ4+AQ9+AQ18</f>
        <v>481.9000000000002</v>
      </c>
      <c r="AR19" s="331"/>
      <c r="AS19" s="331"/>
      <c r="AT19" s="598"/>
      <c r="AU19" s="355">
        <f t="shared" ref="AU19" si="34">AU4+AU9+AU18</f>
        <v>481.9000000000002</v>
      </c>
      <c r="AW19" s="333">
        <f>AW4+AW9+AW18</f>
        <v>491.19999999999948</v>
      </c>
      <c r="AX19" s="331"/>
      <c r="AY19" s="331"/>
      <c r="AZ19" s="598"/>
      <c r="BA19" s="355">
        <f t="shared" ref="BA19" si="35">BA4+BA9+BA18</f>
        <v>491.19999999999948</v>
      </c>
      <c r="BC19" s="7"/>
      <c r="BD19" s="658"/>
    </row>
    <row r="20" spans="1:56" ht="20.100000000000001" customHeight="1">
      <c r="A20" s="335" t="s">
        <v>203</v>
      </c>
      <c r="B20" s="348">
        <v>12.5</v>
      </c>
      <c r="C20" s="348">
        <v>-8.5</v>
      </c>
      <c r="D20" s="348">
        <v>5.3</v>
      </c>
      <c r="E20" s="348">
        <v>5</v>
      </c>
      <c r="F20" s="349">
        <f>SUM(B20:E20)</f>
        <v>14.3</v>
      </c>
      <c r="G20" s="350">
        <v>3.9</v>
      </c>
      <c r="H20" s="348">
        <v>0.7</v>
      </c>
      <c r="I20" s="348">
        <v>7.4</v>
      </c>
      <c r="J20" s="348">
        <v>4.0999999999999996</v>
      </c>
      <c r="K20" s="349">
        <f>SUM(G20:J20)</f>
        <v>16.100000000000001</v>
      </c>
      <c r="L20" s="350">
        <v>1.2000000000000028</v>
      </c>
      <c r="M20" s="348">
        <v>23.9</v>
      </c>
      <c r="N20" s="348">
        <v>1.5</v>
      </c>
      <c r="O20" s="348">
        <v>-11.4</v>
      </c>
      <c r="P20" s="351">
        <f>SUM(L20:O20)</f>
        <v>15.200000000000001</v>
      </c>
      <c r="Q20" s="348">
        <v>28.9</v>
      </c>
      <c r="R20" s="348">
        <v>-11.9</v>
      </c>
      <c r="S20" s="348">
        <v>-5.2</v>
      </c>
      <c r="T20" s="342">
        <v>-3.2</v>
      </c>
      <c r="U20" s="351">
        <v>8.6000000000000014</v>
      </c>
      <c r="V20" s="352">
        <v>-35.200000000000003</v>
      </c>
      <c r="W20" s="352">
        <v>-21.4</v>
      </c>
      <c r="X20" s="283">
        <v>13.1</v>
      </c>
      <c r="Y20" s="342">
        <v>-26.3</v>
      </c>
      <c r="Z20" s="351">
        <f t="shared" si="11"/>
        <v>-69.8</v>
      </c>
      <c r="AA20" s="352">
        <v>30.5</v>
      </c>
      <c r="AB20" s="352">
        <v>-14.4</v>
      </c>
      <c r="AC20" s="283">
        <v>-28</v>
      </c>
      <c r="AD20" s="283">
        <v>19.100000000000001</v>
      </c>
      <c r="AE20" s="351">
        <f t="shared" si="12"/>
        <v>7.2000000000000028</v>
      </c>
      <c r="AF20" s="352">
        <v>-3.4</v>
      </c>
      <c r="AG20" s="348">
        <v>-34.4</v>
      </c>
      <c r="AH20" s="348">
        <v>12.7</v>
      </c>
      <c r="AI20" s="283">
        <v>4.7</v>
      </c>
      <c r="AJ20" s="640">
        <f t="shared" ref="AJ20:AJ22" si="36">SUM(AF20:AI20)</f>
        <v>-20.399999999999999</v>
      </c>
      <c r="AK20" s="605"/>
      <c r="AL20" s="660">
        <v>-3.4</v>
      </c>
      <c r="AM20" s="348">
        <v>-45.9</v>
      </c>
      <c r="AN20" s="348">
        <v>11.7</v>
      </c>
      <c r="AO20" s="283">
        <v>4.6000000000000014</v>
      </c>
      <c r="AP20" s="351">
        <f t="shared" ref="AP20:AP22" si="37">SUM(AL20:AO20)</f>
        <v>-32.999999999999993</v>
      </c>
      <c r="AQ20" s="660">
        <v>1.3</v>
      </c>
      <c r="AR20" s="348"/>
      <c r="AS20" s="348"/>
      <c r="AT20" s="283"/>
      <c r="AU20" s="351">
        <f t="shared" ref="AU20:AU22" si="38">SUM(AQ20:AT20)</f>
        <v>1.3</v>
      </c>
      <c r="AW20" s="660">
        <v>-12.2</v>
      </c>
      <c r="AX20" s="348"/>
      <c r="AY20" s="348"/>
      <c r="AZ20" s="283"/>
      <c r="BA20" s="351">
        <f t="shared" ref="BA20:BA22" si="39">SUM(AW20:AZ20)</f>
        <v>-12.2</v>
      </c>
      <c r="BD20" s="658"/>
    </row>
    <row r="21" spans="1:56" ht="20.100000000000001" customHeight="1">
      <c r="A21" s="335" t="s">
        <v>87</v>
      </c>
      <c r="B21" s="348">
        <v>30.1</v>
      </c>
      <c r="C21" s="348">
        <v>-92.4</v>
      </c>
      <c r="D21" s="348">
        <v>-5.2</v>
      </c>
      <c r="E21" s="348">
        <v>-43.1</v>
      </c>
      <c r="F21" s="349">
        <f t="shared" ref="F21" si="40">SUM(B21:E21)</f>
        <v>-110.6</v>
      </c>
      <c r="G21" s="350">
        <v>-80.099999999999994</v>
      </c>
      <c r="H21" s="348">
        <v>-102.4</v>
      </c>
      <c r="I21" s="348">
        <v>-10.7</v>
      </c>
      <c r="J21" s="348">
        <v>-22.8</v>
      </c>
      <c r="K21" s="349">
        <f t="shared" ref="K21" si="41">SUM(G21:J21)</f>
        <v>-216</v>
      </c>
      <c r="L21" s="350">
        <v>-108.70000000000005</v>
      </c>
      <c r="M21" s="348">
        <v>-273.39999999999998</v>
      </c>
      <c r="N21" s="348">
        <v>-384.7</v>
      </c>
      <c r="O21" s="348">
        <v>-379.2</v>
      </c>
      <c r="P21" s="351">
        <f t="shared" ref="P21" si="42">SUM(L21:O21)</f>
        <v>-1146</v>
      </c>
      <c r="Q21" s="348">
        <v>-261.3</v>
      </c>
      <c r="R21" s="348">
        <v>-222.1</v>
      </c>
      <c r="S21" s="348">
        <v>88.8</v>
      </c>
      <c r="T21" s="342">
        <v>-270</v>
      </c>
      <c r="U21" s="351">
        <v>-664.59999999999991</v>
      </c>
      <c r="V21" s="352">
        <v>-182.7</v>
      </c>
      <c r="W21" s="352">
        <v>-133.19999999999999</v>
      </c>
      <c r="X21" s="283">
        <v>-127.3</v>
      </c>
      <c r="Y21" s="342">
        <v>-122.9</v>
      </c>
      <c r="Z21" s="351">
        <f t="shared" si="11"/>
        <v>-566.1</v>
      </c>
      <c r="AA21" s="352">
        <v>-185.5</v>
      </c>
      <c r="AB21" s="352">
        <v>-113.3</v>
      </c>
      <c r="AC21" s="283">
        <v>-104.8</v>
      </c>
      <c r="AD21" s="283">
        <v>-105.4</v>
      </c>
      <c r="AE21" s="351">
        <f t="shared" si="12"/>
        <v>-509</v>
      </c>
      <c r="AF21" s="352">
        <v>-72.599999999999994</v>
      </c>
      <c r="AG21" s="348">
        <v>-98.8</v>
      </c>
      <c r="AH21" s="348">
        <v>-100.9</v>
      </c>
      <c r="AI21" s="625">
        <v>-113.3</v>
      </c>
      <c r="AJ21" s="640">
        <f t="shared" si="36"/>
        <v>-385.59999999999997</v>
      </c>
      <c r="AK21" s="605"/>
      <c r="AL21" s="660">
        <v>-72.599999999999994</v>
      </c>
      <c r="AM21" s="348">
        <v>-98.9</v>
      </c>
      <c r="AN21" s="348">
        <v>-101.6</v>
      </c>
      <c r="AO21" s="283">
        <v>-113.59999999999997</v>
      </c>
      <c r="AP21" s="351">
        <f t="shared" si="37"/>
        <v>-386.7</v>
      </c>
      <c r="AQ21" s="660">
        <v>-102.7</v>
      </c>
      <c r="AR21" s="348"/>
      <c r="AS21" s="348"/>
      <c r="AT21" s="283"/>
      <c r="AU21" s="351">
        <f t="shared" si="38"/>
        <v>-102.7</v>
      </c>
      <c r="AW21" s="660">
        <v>-102.7</v>
      </c>
      <c r="AX21" s="348"/>
      <c r="AY21" s="348"/>
      <c r="AZ21" s="283"/>
      <c r="BA21" s="351">
        <f t="shared" si="39"/>
        <v>-102.7</v>
      </c>
      <c r="BD21" s="658"/>
    </row>
    <row r="22" spans="1:56" ht="26.25" customHeight="1">
      <c r="A22" s="335" t="s">
        <v>182</v>
      </c>
      <c r="B22" s="348">
        <v>0.7</v>
      </c>
      <c r="C22" s="348">
        <v>0.8</v>
      </c>
      <c r="D22" s="348">
        <v>0.5</v>
      </c>
      <c r="E22" s="348">
        <v>0.8</v>
      </c>
      <c r="F22" s="349">
        <f t="shared" ref="F22" si="43">SUM(B22:E22)</f>
        <v>2.8</v>
      </c>
      <c r="G22" s="350">
        <v>0.8</v>
      </c>
      <c r="H22" s="348">
        <v>0.8</v>
      </c>
      <c r="I22" s="348">
        <v>0.7</v>
      </c>
      <c r="J22" s="348">
        <v>0.6</v>
      </c>
      <c r="K22" s="349">
        <f t="shared" ref="K22" si="44">SUM(G22:J22)</f>
        <v>2.9</v>
      </c>
      <c r="L22" s="350">
        <v>0.60000000000000009</v>
      </c>
      <c r="M22" s="348">
        <v>0.7</v>
      </c>
      <c r="N22" s="348">
        <v>0.7</v>
      </c>
      <c r="O22" s="348">
        <v>0.6</v>
      </c>
      <c r="P22" s="351">
        <f t="shared" ref="P22" si="45">SUM(L22:O22)</f>
        <v>2.6</v>
      </c>
      <c r="Q22" s="348">
        <v>0.5</v>
      </c>
      <c r="R22" s="348">
        <v>0.9</v>
      </c>
      <c r="S22" s="348">
        <v>0.5</v>
      </c>
      <c r="T22" s="342">
        <v>0.70000000000000018</v>
      </c>
      <c r="U22" s="351">
        <v>2.6</v>
      </c>
      <c r="V22" s="352">
        <v>0.8</v>
      </c>
      <c r="W22" s="352">
        <v>-0.8</v>
      </c>
      <c r="X22" s="319">
        <v>0</v>
      </c>
      <c r="Y22" s="319">
        <v>0</v>
      </c>
      <c r="Z22" s="356">
        <f t="shared" ref="Z22" si="46">SUM(V22:Y22)</f>
        <v>0</v>
      </c>
      <c r="AA22" s="319">
        <v>0</v>
      </c>
      <c r="AB22" s="319">
        <v>0</v>
      </c>
      <c r="AC22" s="319">
        <v>0</v>
      </c>
      <c r="AD22" s="319">
        <v>0</v>
      </c>
      <c r="AE22" s="356">
        <f t="shared" ref="AE22:AE23" si="47">SUM(AA22:AD22)</f>
        <v>0</v>
      </c>
      <c r="AF22" s="319">
        <v>0</v>
      </c>
      <c r="AG22" s="319">
        <v>0</v>
      </c>
      <c r="AH22" s="319">
        <v>0</v>
      </c>
      <c r="AI22" s="319">
        <v>0</v>
      </c>
      <c r="AJ22" s="642">
        <f t="shared" si="36"/>
        <v>0</v>
      </c>
      <c r="AK22" s="610"/>
      <c r="AL22" s="443">
        <v>0</v>
      </c>
      <c r="AM22" s="319">
        <v>0</v>
      </c>
      <c r="AN22" s="319">
        <v>0</v>
      </c>
      <c r="AO22" s="319">
        <v>0</v>
      </c>
      <c r="AP22" s="356">
        <f t="shared" si="37"/>
        <v>0</v>
      </c>
      <c r="AQ22" s="443">
        <v>0</v>
      </c>
      <c r="AR22" s="319"/>
      <c r="AS22" s="319"/>
      <c r="AT22" s="319"/>
      <c r="AU22" s="356">
        <f t="shared" si="38"/>
        <v>0</v>
      </c>
      <c r="AW22" s="443">
        <v>0</v>
      </c>
      <c r="AX22" s="319"/>
      <c r="AY22" s="319"/>
      <c r="AZ22" s="319"/>
      <c r="BA22" s="356">
        <f t="shared" si="39"/>
        <v>0</v>
      </c>
      <c r="BD22" s="658"/>
    </row>
    <row r="23" spans="1:56" ht="26.25" customHeight="1" thickBot="1">
      <c r="A23" s="335" t="s">
        <v>275</v>
      </c>
      <c r="B23" s="348"/>
      <c r="C23" s="348"/>
      <c r="D23" s="348"/>
      <c r="E23" s="348"/>
      <c r="F23" s="349"/>
      <c r="G23" s="350"/>
      <c r="H23" s="348"/>
      <c r="I23" s="348"/>
      <c r="J23" s="348"/>
      <c r="K23" s="349"/>
      <c r="L23" s="350"/>
      <c r="M23" s="348"/>
      <c r="N23" s="348"/>
      <c r="O23" s="348"/>
      <c r="P23" s="351"/>
      <c r="Q23" s="348"/>
      <c r="R23" s="348"/>
      <c r="S23" s="348"/>
      <c r="T23" s="342"/>
      <c r="U23" s="351"/>
      <c r="V23" s="352"/>
      <c r="W23" s="352"/>
      <c r="X23" s="319"/>
      <c r="Y23" s="319"/>
      <c r="Z23" s="356"/>
      <c r="AA23" s="319"/>
      <c r="AB23" s="319"/>
      <c r="AC23" s="319"/>
      <c r="AD23" s="319">
        <v>2.8</v>
      </c>
      <c r="AE23" s="356">
        <f t="shared" si="47"/>
        <v>2.8</v>
      </c>
      <c r="AF23" s="319">
        <v>5.2</v>
      </c>
      <c r="AG23" s="472">
        <v>-0.1</v>
      </c>
      <c r="AH23" s="472">
        <v>-3.5</v>
      </c>
      <c r="AI23" s="283">
        <v>-2.8</v>
      </c>
      <c r="AJ23" s="642">
        <f t="shared" ref="AJ23" si="48">SUM(AF23:AI23)</f>
        <v>-1.1999999999999993</v>
      </c>
      <c r="AK23" s="605"/>
      <c r="AL23" s="443">
        <v>5.2</v>
      </c>
      <c r="AM23" s="472">
        <v>-0.1</v>
      </c>
      <c r="AN23" s="472">
        <v>-3.5</v>
      </c>
      <c r="AO23" s="319">
        <v>-2.8</v>
      </c>
      <c r="AP23" s="356">
        <f t="shared" ref="AP23" si="49">SUM(AL23:AO23)</f>
        <v>-1.1999999999999993</v>
      </c>
      <c r="AQ23" s="443">
        <v>-1.7</v>
      </c>
      <c r="AR23" s="472"/>
      <c r="AS23" s="472"/>
      <c r="AT23" s="319"/>
      <c r="AU23" s="356">
        <f>SUM(AQ23:AT23)</f>
        <v>-1.7</v>
      </c>
      <c r="AW23" s="443">
        <v>-1.7</v>
      </c>
      <c r="AX23" s="472"/>
      <c r="AY23" s="472"/>
      <c r="AZ23" s="319"/>
      <c r="BA23" s="356">
        <f>SUM(AW23:AZ23)</f>
        <v>-1.7</v>
      </c>
      <c r="BD23" s="658"/>
    </row>
    <row r="24" spans="1:56" s="347" customFormat="1" ht="20.100000000000001" customHeight="1" thickBot="1">
      <c r="A24" s="330" t="s">
        <v>199</v>
      </c>
      <c r="B24" s="331">
        <f t="shared" ref="B24:AC24" si="50">B19+B20+B21+B22+B23</f>
        <v>246.30000000000004</v>
      </c>
      <c r="C24" s="331">
        <f t="shared" si="50"/>
        <v>112.89999999999996</v>
      </c>
      <c r="D24" s="331">
        <f t="shared" si="50"/>
        <v>198.20000000000005</v>
      </c>
      <c r="E24" s="331">
        <f t="shared" si="50"/>
        <v>138.20000000000019</v>
      </c>
      <c r="F24" s="354">
        <f t="shared" si="50"/>
        <v>695.59999999999911</v>
      </c>
      <c r="G24" s="333">
        <f t="shared" si="50"/>
        <v>109.27999999999996</v>
      </c>
      <c r="H24" s="331">
        <f t="shared" si="50"/>
        <v>94.09999999999998</v>
      </c>
      <c r="I24" s="331">
        <f t="shared" si="50"/>
        <v>200.79999999999998</v>
      </c>
      <c r="J24" s="331">
        <f t="shared" si="50"/>
        <v>188.69999999999993</v>
      </c>
      <c r="K24" s="354">
        <f t="shared" si="50"/>
        <v>592.88000000000034</v>
      </c>
      <c r="L24" s="333">
        <f t="shared" si="50"/>
        <v>112.59999999999977</v>
      </c>
      <c r="M24" s="331">
        <f t="shared" si="50"/>
        <v>148.7999999999999</v>
      </c>
      <c r="N24" s="331">
        <f t="shared" si="50"/>
        <v>49.299999999999685</v>
      </c>
      <c r="O24" s="331">
        <f t="shared" si="50"/>
        <v>3.5000000000007732</v>
      </c>
      <c r="P24" s="355">
        <f t="shared" si="50"/>
        <v>314.19999999999925</v>
      </c>
      <c r="Q24" s="331">
        <f t="shared" si="50"/>
        <v>196.79999999999995</v>
      </c>
      <c r="R24" s="331">
        <f t="shared" si="50"/>
        <v>350.4</v>
      </c>
      <c r="S24" s="331">
        <f t="shared" si="50"/>
        <v>613.29999999999961</v>
      </c>
      <c r="T24" s="331">
        <f t="shared" si="50"/>
        <v>171.90000000000038</v>
      </c>
      <c r="U24" s="355">
        <f t="shared" si="50"/>
        <v>1332.3999999999994</v>
      </c>
      <c r="V24" s="331">
        <f t="shared" si="50"/>
        <v>205.70000000000005</v>
      </c>
      <c r="W24" s="331">
        <f t="shared" si="50"/>
        <v>252.10000000000014</v>
      </c>
      <c r="X24" s="280">
        <f t="shared" si="50"/>
        <v>334.90000000000038</v>
      </c>
      <c r="Y24" s="280">
        <f t="shared" si="50"/>
        <v>240.69999999999996</v>
      </c>
      <c r="Z24" s="355">
        <f t="shared" si="50"/>
        <v>1033.4000000000001</v>
      </c>
      <c r="AA24" s="331">
        <f t="shared" si="50"/>
        <v>302.20000000000033</v>
      </c>
      <c r="AB24" s="331">
        <f t="shared" si="50"/>
        <v>389.2999999999999</v>
      </c>
      <c r="AC24" s="331">
        <f t="shared" si="50"/>
        <v>289.10000000000002</v>
      </c>
      <c r="AD24" s="331">
        <f>AD19+AD20+AD21+AD22+AD23</f>
        <v>354.40000000000003</v>
      </c>
      <c r="AE24" s="355">
        <f t="shared" ref="AE24:AI24" si="51">AE19+AE20+AE21+AE22+AE23</f>
        <v>1335.0000000000007</v>
      </c>
      <c r="AF24" s="331">
        <f t="shared" si="51"/>
        <v>393.49999999999972</v>
      </c>
      <c r="AG24" s="331">
        <f>AG19+AG20+AG21+AG22+AG23</f>
        <v>355.19999999999987</v>
      </c>
      <c r="AH24" s="331">
        <f>AH19+AH20+AH21+AH22+AH23</f>
        <v>304.30000000000007</v>
      </c>
      <c r="AI24" s="243">
        <f t="shared" si="51"/>
        <v>304.59999999999997</v>
      </c>
      <c r="AJ24" s="624">
        <f>AJ19+AJ20+AJ21+AJ22+AJ23</f>
        <v>1357.5999999999997</v>
      </c>
      <c r="AK24" s="609"/>
      <c r="AL24" s="333">
        <f t="shared" ref="AL24:AN24" si="52">AL19+AL20+AL21+AL22+AL23</f>
        <v>364.7</v>
      </c>
      <c r="AM24" s="331">
        <f t="shared" si="52"/>
        <v>330.69999999999982</v>
      </c>
      <c r="AN24" s="331">
        <f t="shared" si="52"/>
        <v>303.0999999999998</v>
      </c>
      <c r="AO24" s="243">
        <f>AO19+AO20+AO21+AO22+AO23</f>
        <v>307.59999999999997</v>
      </c>
      <c r="AP24" s="355">
        <f>AP19+AP20+AP21+AP22+AP23</f>
        <v>1306.1000000000029</v>
      </c>
      <c r="AQ24" s="333">
        <f>AQ19+AQ20+AQ21+AQ22+AQ23</f>
        <v>378.80000000000024</v>
      </c>
      <c r="AR24" s="331"/>
      <c r="AS24" s="331"/>
      <c r="AT24" s="598"/>
      <c r="AU24" s="355">
        <f>AU19+AU20+AU21+AU22+AU23</f>
        <v>378.80000000000024</v>
      </c>
      <c r="AW24" s="333">
        <f>AW19+AW20+AW21+AW23+AW22</f>
        <v>374.59999999999951</v>
      </c>
      <c r="AX24" s="331"/>
      <c r="AY24" s="331"/>
      <c r="AZ24" s="598"/>
      <c r="BA24" s="355">
        <f>BA19+BA20+BA21+BA22+BA23</f>
        <v>374.59999999999951</v>
      </c>
      <c r="BC24" s="7"/>
      <c r="BD24" s="658"/>
    </row>
    <row r="25" spans="1:56" ht="20.100000000000001" customHeight="1" thickBot="1">
      <c r="A25" s="335" t="s">
        <v>2</v>
      </c>
      <c r="B25" s="348">
        <v>-41.2</v>
      </c>
      <c r="C25" s="348">
        <v>-13.4</v>
      </c>
      <c r="D25" s="348">
        <v>-26.2</v>
      </c>
      <c r="E25" s="348">
        <v>-16.600000000000001</v>
      </c>
      <c r="F25" s="349">
        <f>SUM(B25:E25)</f>
        <v>-97.4</v>
      </c>
      <c r="G25" s="350">
        <v>-14.1</v>
      </c>
      <c r="H25" s="348">
        <v>-13.4</v>
      </c>
      <c r="I25" s="348">
        <v>-24.4</v>
      </c>
      <c r="J25" s="348">
        <v>-15.5</v>
      </c>
      <c r="K25" s="349">
        <f>SUM(G25:J25)</f>
        <v>-67.400000000000006</v>
      </c>
      <c r="L25" s="350">
        <v>-14.400000000000002</v>
      </c>
      <c r="M25" s="348">
        <v>-16.7</v>
      </c>
      <c r="N25" s="348">
        <v>-1.1000000000000001</v>
      </c>
      <c r="O25" s="348">
        <v>10.5</v>
      </c>
      <c r="P25" s="351">
        <f>SUM(L25:O25)</f>
        <v>-21.700000000000003</v>
      </c>
      <c r="Q25" s="348">
        <v>-26</v>
      </c>
      <c r="R25" s="348">
        <v>-45.9</v>
      </c>
      <c r="S25" s="348">
        <v>-110.8</v>
      </c>
      <c r="T25" s="352">
        <v>13.7</v>
      </c>
      <c r="U25" s="351">
        <v>-169</v>
      </c>
      <c r="V25" s="352">
        <v>-27.2</v>
      </c>
      <c r="W25" s="352">
        <v>-21.2</v>
      </c>
      <c r="X25" s="283">
        <v>-65.099999999999994</v>
      </c>
      <c r="Y25" s="352">
        <v>101.1</v>
      </c>
      <c r="Z25" s="351">
        <f t="shared" si="11"/>
        <v>-12.400000000000006</v>
      </c>
      <c r="AA25" s="352">
        <v>-30.8</v>
      </c>
      <c r="AB25" s="352">
        <v>-107.6</v>
      </c>
      <c r="AC25" s="283">
        <v>-54.2</v>
      </c>
      <c r="AD25" s="352">
        <v>-197.2</v>
      </c>
      <c r="AE25" s="351">
        <f t="shared" si="12"/>
        <v>-389.8</v>
      </c>
      <c r="AF25" s="352">
        <v>-78</v>
      </c>
      <c r="AG25" s="352">
        <v>-102.1</v>
      </c>
      <c r="AH25" s="495">
        <v>-77.3</v>
      </c>
      <c r="AI25" s="352">
        <v>-246.74845572261776</v>
      </c>
      <c r="AJ25" s="640">
        <f>SUM(AF25:AI25)</f>
        <v>-504.14845572261777</v>
      </c>
      <c r="AK25" s="605"/>
      <c r="AL25" s="660">
        <v>-72.5</v>
      </c>
      <c r="AM25" s="352">
        <v>-99.3</v>
      </c>
      <c r="AN25" s="498">
        <v>-76</v>
      </c>
      <c r="AO25" s="352">
        <v>-242.2</v>
      </c>
      <c r="AP25" s="351">
        <f>SUM(AL25:AO25)</f>
        <v>-490</v>
      </c>
      <c r="AQ25" s="660">
        <v>-78</v>
      </c>
      <c r="AR25" s="352"/>
      <c r="AS25" s="498"/>
      <c r="AT25" s="352"/>
      <c r="AU25" s="351">
        <f>SUM(AQ25:AT25)</f>
        <v>-78</v>
      </c>
      <c r="AW25" s="660">
        <v>-77.3</v>
      </c>
      <c r="AX25" s="352"/>
      <c r="AY25" s="498"/>
      <c r="AZ25" s="352"/>
      <c r="BA25" s="351">
        <f>SUM(AW25:AZ25)</f>
        <v>-77.3</v>
      </c>
      <c r="BD25" s="658"/>
    </row>
    <row r="26" spans="1:56" s="347" customFormat="1" ht="20.100000000000001" customHeight="1" thickBot="1">
      <c r="A26" s="330" t="s">
        <v>200</v>
      </c>
      <c r="B26" s="331">
        <f t="shared" ref="B26:Z26" si="53">B24+B25</f>
        <v>205.10000000000002</v>
      </c>
      <c r="C26" s="331">
        <f t="shared" si="53"/>
        <v>99.499999999999957</v>
      </c>
      <c r="D26" s="331">
        <f t="shared" si="53"/>
        <v>172.00000000000006</v>
      </c>
      <c r="E26" s="331">
        <f t="shared" si="53"/>
        <v>121.60000000000019</v>
      </c>
      <c r="F26" s="354">
        <f>F24+F25</f>
        <v>598.19999999999914</v>
      </c>
      <c r="G26" s="333">
        <f t="shared" si="53"/>
        <v>95.179999999999964</v>
      </c>
      <c r="H26" s="331">
        <f t="shared" si="53"/>
        <v>80.699999999999974</v>
      </c>
      <c r="I26" s="331">
        <f t="shared" si="53"/>
        <v>176.39999999999998</v>
      </c>
      <c r="J26" s="331">
        <f t="shared" si="53"/>
        <v>173.19999999999993</v>
      </c>
      <c r="K26" s="354">
        <f t="shared" si="53"/>
        <v>525.48000000000036</v>
      </c>
      <c r="L26" s="333">
        <f t="shared" si="53"/>
        <v>98.199999999999761</v>
      </c>
      <c r="M26" s="331">
        <f t="shared" si="53"/>
        <v>132.09999999999991</v>
      </c>
      <c r="N26" s="331">
        <f t="shared" si="53"/>
        <v>48.199999999999683</v>
      </c>
      <c r="O26" s="331">
        <f t="shared" si="53"/>
        <v>14.000000000000773</v>
      </c>
      <c r="P26" s="355">
        <f t="shared" si="53"/>
        <v>292.49999999999926</v>
      </c>
      <c r="Q26" s="331">
        <f t="shared" si="53"/>
        <v>170.79999999999995</v>
      </c>
      <c r="R26" s="331">
        <f t="shared" si="53"/>
        <v>304.5</v>
      </c>
      <c r="S26" s="331">
        <f t="shared" si="53"/>
        <v>502.4999999999996</v>
      </c>
      <c r="T26" s="331">
        <f t="shared" si="53"/>
        <v>185.60000000000036</v>
      </c>
      <c r="U26" s="355">
        <f t="shared" si="53"/>
        <v>1163.3999999999994</v>
      </c>
      <c r="V26" s="331">
        <f t="shared" si="53"/>
        <v>178.50000000000006</v>
      </c>
      <c r="W26" s="331">
        <f t="shared" si="53"/>
        <v>230.90000000000015</v>
      </c>
      <c r="X26" s="280">
        <f t="shared" si="53"/>
        <v>269.80000000000041</v>
      </c>
      <c r="Y26" s="280">
        <f t="shared" si="53"/>
        <v>341.79999999999995</v>
      </c>
      <c r="Z26" s="355">
        <f t="shared" si="53"/>
        <v>1021.0000000000001</v>
      </c>
      <c r="AA26" s="331">
        <f t="shared" ref="AA26:AJ26" si="54">AA24+AA25</f>
        <v>271.40000000000032</v>
      </c>
      <c r="AB26" s="331">
        <f t="shared" si="54"/>
        <v>281.69999999999993</v>
      </c>
      <c r="AC26" s="331">
        <f t="shared" si="54"/>
        <v>234.90000000000003</v>
      </c>
      <c r="AD26" s="331">
        <f t="shared" si="54"/>
        <v>157.20000000000005</v>
      </c>
      <c r="AE26" s="355">
        <f t="shared" si="54"/>
        <v>945.20000000000073</v>
      </c>
      <c r="AF26" s="331">
        <f t="shared" si="54"/>
        <v>315.49999999999972</v>
      </c>
      <c r="AG26" s="331">
        <f t="shared" si="54"/>
        <v>253.09999999999988</v>
      </c>
      <c r="AH26" s="331">
        <f t="shared" si="54"/>
        <v>227.00000000000006</v>
      </c>
      <c r="AI26" s="243">
        <f t="shared" si="54"/>
        <v>57.851544277382203</v>
      </c>
      <c r="AJ26" s="624">
        <f t="shared" si="54"/>
        <v>853.45154427738191</v>
      </c>
      <c r="AK26" s="609"/>
      <c r="AL26" s="333">
        <f t="shared" ref="AL26:AP26" si="55">AL24+AL25</f>
        <v>292.2</v>
      </c>
      <c r="AM26" s="331">
        <f t="shared" si="55"/>
        <v>231.39999999999981</v>
      </c>
      <c r="AN26" s="331">
        <f t="shared" si="55"/>
        <v>227.0999999999998</v>
      </c>
      <c r="AO26" s="243">
        <f t="shared" si="55"/>
        <v>65.399999999999977</v>
      </c>
      <c r="AP26" s="355">
        <f t="shared" si="55"/>
        <v>816.10000000000286</v>
      </c>
      <c r="AQ26" s="333">
        <f>AQ24+AQ25</f>
        <v>300.80000000000024</v>
      </c>
      <c r="AR26" s="331"/>
      <c r="AS26" s="331"/>
      <c r="AT26" s="598"/>
      <c r="AU26" s="355">
        <f t="shared" ref="AU26" si="56">AU24+AU25</f>
        <v>300.80000000000024</v>
      </c>
      <c r="AW26" s="333">
        <f t="shared" ref="AW26" si="57">AW24+AW25</f>
        <v>297.2999999999995</v>
      </c>
      <c r="AX26" s="331"/>
      <c r="AY26" s="331"/>
      <c r="AZ26" s="598"/>
      <c r="BA26" s="355">
        <f t="shared" ref="BA26" si="58">BA24+BA25</f>
        <v>297.2999999999995</v>
      </c>
      <c r="BC26" s="7"/>
      <c r="BD26" s="658"/>
    </row>
    <row r="27" spans="1:56" ht="25.5">
      <c r="A27" s="335" t="s">
        <v>170</v>
      </c>
      <c r="B27" s="348">
        <f>B26</f>
        <v>205.10000000000002</v>
      </c>
      <c r="C27" s="348">
        <f t="shared" ref="C27:U27" si="59">C26</f>
        <v>99.499999999999957</v>
      </c>
      <c r="D27" s="348">
        <f t="shared" si="59"/>
        <v>172.00000000000006</v>
      </c>
      <c r="E27" s="348">
        <f t="shared" si="59"/>
        <v>121.60000000000019</v>
      </c>
      <c r="F27" s="349">
        <f t="shared" si="59"/>
        <v>598.19999999999914</v>
      </c>
      <c r="G27" s="350">
        <f t="shared" si="59"/>
        <v>95.179999999999964</v>
      </c>
      <c r="H27" s="348">
        <f t="shared" si="59"/>
        <v>80.699999999999974</v>
      </c>
      <c r="I27" s="348">
        <f t="shared" si="59"/>
        <v>176.39999999999998</v>
      </c>
      <c r="J27" s="348">
        <f t="shared" si="59"/>
        <v>173.19999999999993</v>
      </c>
      <c r="K27" s="349">
        <f t="shared" si="59"/>
        <v>525.48000000000036</v>
      </c>
      <c r="L27" s="350">
        <f t="shared" si="59"/>
        <v>98.199999999999761</v>
      </c>
      <c r="M27" s="348">
        <f t="shared" si="59"/>
        <v>132.09999999999991</v>
      </c>
      <c r="N27" s="348">
        <f t="shared" si="59"/>
        <v>48.199999999999683</v>
      </c>
      <c r="O27" s="348">
        <f t="shared" si="59"/>
        <v>14.000000000000773</v>
      </c>
      <c r="P27" s="351">
        <f t="shared" si="59"/>
        <v>292.49999999999926</v>
      </c>
      <c r="Q27" s="348">
        <f t="shared" si="59"/>
        <v>170.79999999999995</v>
      </c>
      <c r="R27" s="348">
        <f t="shared" si="59"/>
        <v>304.5</v>
      </c>
      <c r="S27" s="348">
        <f t="shared" si="59"/>
        <v>502.4999999999996</v>
      </c>
      <c r="T27" s="357">
        <f t="shared" si="59"/>
        <v>185.60000000000036</v>
      </c>
      <c r="U27" s="351">
        <f t="shared" si="59"/>
        <v>1163.3999999999994</v>
      </c>
      <c r="V27" s="352">
        <v>175.5</v>
      </c>
      <c r="W27" s="352">
        <v>237.7</v>
      </c>
      <c r="X27" s="283">
        <v>278.2</v>
      </c>
      <c r="Y27" s="357">
        <v>349.9</v>
      </c>
      <c r="Z27" s="351">
        <f t="shared" si="11"/>
        <v>1041.3</v>
      </c>
      <c r="AA27" s="352">
        <v>279.39999999999998</v>
      </c>
      <c r="AB27" s="352">
        <v>291.2</v>
      </c>
      <c r="AC27" s="283">
        <v>242.9</v>
      </c>
      <c r="AD27" s="283">
        <v>167.1</v>
      </c>
      <c r="AE27" s="351">
        <f t="shared" si="12"/>
        <v>980.59999999999991</v>
      </c>
      <c r="AF27" s="348"/>
      <c r="AG27" s="352"/>
      <c r="AH27" s="495"/>
      <c r="AI27" s="283"/>
      <c r="AJ27" s="640">
        <f t="shared" ref="AJ27:AJ28" si="60">SUM(AF27:AI27)</f>
        <v>0</v>
      </c>
      <c r="AK27" s="605"/>
      <c r="AL27" s="444">
        <v>300.8</v>
      </c>
      <c r="AM27" s="352">
        <v>235.8</v>
      </c>
      <c r="AN27" s="352">
        <v>226.1</v>
      </c>
      <c r="AO27" s="283">
        <v>70.900000000000006</v>
      </c>
      <c r="AP27" s="351">
        <f t="shared" ref="AP27:AP28" si="61">SUM(AL27:AO27)</f>
        <v>833.6</v>
      </c>
      <c r="AQ27" s="444"/>
      <c r="AR27" s="352"/>
      <c r="AS27" s="352"/>
      <c r="AT27" s="283"/>
      <c r="AU27" s="351">
        <f t="shared" ref="AU27:AU28" si="62">SUM(AQ27:AT27)</f>
        <v>0</v>
      </c>
      <c r="AW27" s="444">
        <v>291.89999999999998</v>
      </c>
      <c r="AX27" s="352"/>
      <c r="AY27" s="352"/>
      <c r="AZ27" s="283"/>
      <c r="BA27" s="351">
        <f t="shared" ref="BA27:BA28" si="63">SUM(AW27:AZ27)</f>
        <v>291.89999999999998</v>
      </c>
      <c r="BD27" s="658"/>
    </row>
    <row r="28" spans="1:56" ht="25.5">
      <c r="A28" s="335" t="s">
        <v>205</v>
      </c>
      <c r="B28" s="348"/>
      <c r="C28" s="348"/>
      <c r="D28" s="348"/>
      <c r="E28" s="348"/>
      <c r="F28" s="349"/>
      <c r="G28" s="350"/>
      <c r="H28" s="348"/>
      <c r="I28" s="348"/>
      <c r="J28" s="348"/>
      <c r="K28" s="349"/>
      <c r="L28" s="350"/>
      <c r="M28" s="348"/>
      <c r="N28" s="348"/>
      <c r="O28" s="348"/>
      <c r="P28" s="351"/>
      <c r="Q28" s="348"/>
      <c r="R28" s="348"/>
      <c r="S28" s="348"/>
      <c r="T28" s="357"/>
      <c r="U28" s="351"/>
      <c r="V28" s="352">
        <v>3</v>
      </c>
      <c r="W28" s="352">
        <v>-6.8</v>
      </c>
      <c r="X28" s="283">
        <v>-8.4</v>
      </c>
      <c r="Y28" s="357">
        <v>-8.1</v>
      </c>
      <c r="Z28" s="351">
        <f t="shared" si="11"/>
        <v>-20.299999999999997</v>
      </c>
      <c r="AA28" s="352">
        <v>-8</v>
      </c>
      <c r="AB28" s="352">
        <v>-9.5</v>
      </c>
      <c r="AC28" s="283">
        <v>-8</v>
      </c>
      <c r="AD28" s="283">
        <v>-9.9</v>
      </c>
      <c r="AE28" s="351">
        <f t="shared" si="12"/>
        <v>-35.4</v>
      </c>
      <c r="AF28" s="348"/>
      <c r="AG28" s="352"/>
      <c r="AH28" s="495"/>
      <c r="AI28" s="283"/>
      <c r="AJ28" s="640">
        <f t="shared" si="60"/>
        <v>0</v>
      </c>
      <c r="AK28" s="605"/>
      <c r="AL28" s="444">
        <v>-8.6</v>
      </c>
      <c r="AM28" s="352">
        <v>-4.4000000000000004</v>
      </c>
      <c r="AN28" s="352">
        <v>1</v>
      </c>
      <c r="AO28" s="283">
        <v>-5.5</v>
      </c>
      <c r="AP28" s="351">
        <f t="shared" si="61"/>
        <v>-17.5</v>
      </c>
      <c r="AQ28" s="444"/>
      <c r="AR28" s="352"/>
      <c r="AS28" s="352"/>
      <c r="AT28" s="283"/>
      <c r="AU28" s="351">
        <f t="shared" si="62"/>
        <v>0</v>
      </c>
      <c r="AW28" s="444">
        <v>5.4</v>
      </c>
      <c r="AX28" s="352"/>
      <c r="AY28" s="352"/>
      <c r="AZ28" s="283"/>
      <c r="BA28" s="351">
        <f t="shared" si="63"/>
        <v>5.4</v>
      </c>
      <c r="BD28" s="658"/>
    </row>
    <row r="29" spans="1:56" s="347" customFormat="1" ht="20.100000000000001" customHeight="1" thickBot="1">
      <c r="A29" s="358" t="s">
        <v>171</v>
      </c>
      <c r="B29" s="359">
        <f t="shared" ref="B29:L29" si="64">ROUND(B26/348.352836,2)</f>
        <v>0.59</v>
      </c>
      <c r="C29" s="359">
        <f t="shared" si="64"/>
        <v>0.28999999999999998</v>
      </c>
      <c r="D29" s="359">
        <f t="shared" si="64"/>
        <v>0.49</v>
      </c>
      <c r="E29" s="359">
        <f t="shared" si="64"/>
        <v>0.35</v>
      </c>
      <c r="F29" s="360">
        <f t="shared" si="64"/>
        <v>1.72</v>
      </c>
      <c r="G29" s="361">
        <f t="shared" si="64"/>
        <v>0.27</v>
      </c>
      <c r="H29" s="359">
        <f t="shared" si="64"/>
        <v>0.23</v>
      </c>
      <c r="I29" s="359">
        <f t="shared" si="64"/>
        <v>0.51</v>
      </c>
      <c r="J29" s="359">
        <f t="shared" si="64"/>
        <v>0.5</v>
      </c>
      <c r="K29" s="360">
        <f t="shared" si="64"/>
        <v>1.51</v>
      </c>
      <c r="L29" s="362">
        <f t="shared" si="64"/>
        <v>0.28000000000000003</v>
      </c>
      <c r="M29" s="359">
        <f>ROUND(M26/524.348714,2)</f>
        <v>0.25</v>
      </c>
      <c r="N29" s="359">
        <f>ROUND(N26/639.546016,2)</f>
        <v>0.08</v>
      </c>
      <c r="O29" s="359">
        <f>ROUND(O26/639.546016,2)</f>
        <v>0.02</v>
      </c>
      <c r="P29" s="363">
        <f>ROUND(P26/539.024535,2)</f>
        <v>0.54</v>
      </c>
      <c r="Q29" s="359">
        <f t="shared" ref="Q29:Z29" si="65">ROUND(Q26/639.546016,2)</f>
        <v>0.27</v>
      </c>
      <c r="R29" s="359">
        <f t="shared" si="65"/>
        <v>0.48</v>
      </c>
      <c r="S29" s="359">
        <f t="shared" si="65"/>
        <v>0.79</v>
      </c>
      <c r="T29" s="364">
        <f t="shared" si="65"/>
        <v>0.28999999999999998</v>
      </c>
      <c r="U29" s="363">
        <f t="shared" si="65"/>
        <v>1.82</v>
      </c>
      <c r="V29" s="365">
        <f t="shared" si="65"/>
        <v>0.28000000000000003</v>
      </c>
      <c r="W29" s="365">
        <f>ROUNDUP(W26/639.546016,2)</f>
        <v>0.37</v>
      </c>
      <c r="X29" s="284">
        <f t="shared" si="65"/>
        <v>0.42</v>
      </c>
      <c r="Y29" s="284">
        <f>ROUNDUP(Y26/639.546016,2)</f>
        <v>0.54</v>
      </c>
      <c r="Z29" s="363">
        <f t="shared" si="65"/>
        <v>1.6</v>
      </c>
      <c r="AA29" s="365">
        <f t="shared" ref="AA29:AJ29" si="66">ROUND(AA26/639.546016,2)</f>
        <v>0.42</v>
      </c>
      <c r="AB29" s="365">
        <f t="shared" si="66"/>
        <v>0.44</v>
      </c>
      <c r="AC29" s="365">
        <f t="shared" si="66"/>
        <v>0.37</v>
      </c>
      <c r="AD29" s="365">
        <f t="shared" si="66"/>
        <v>0.25</v>
      </c>
      <c r="AE29" s="363">
        <f t="shared" si="66"/>
        <v>1.48</v>
      </c>
      <c r="AF29" s="365">
        <f t="shared" si="66"/>
        <v>0.49</v>
      </c>
      <c r="AG29" s="365">
        <f t="shared" si="66"/>
        <v>0.4</v>
      </c>
      <c r="AH29" s="365">
        <f t="shared" si="66"/>
        <v>0.35</v>
      </c>
      <c r="AI29" s="626">
        <f t="shared" si="66"/>
        <v>0.09</v>
      </c>
      <c r="AJ29" s="643">
        <f t="shared" si="66"/>
        <v>1.33</v>
      </c>
      <c r="AK29" s="611"/>
      <c r="AL29" s="445">
        <f t="shared" ref="AL29:AP29" si="67">ROUND(AL26/639.546016,2)</f>
        <v>0.46</v>
      </c>
      <c r="AM29" s="365">
        <f t="shared" si="67"/>
        <v>0.36</v>
      </c>
      <c r="AN29" s="365">
        <v>0.35</v>
      </c>
      <c r="AO29" s="626">
        <v>0.11</v>
      </c>
      <c r="AP29" s="363">
        <f t="shared" si="67"/>
        <v>1.28</v>
      </c>
      <c r="AQ29" s="445"/>
      <c r="AR29" s="365"/>
      <c r="AS29" s="365"/>
      <c r="AT29" s="626"/>
      <c r="AU29" s="363">
        <f t="shared" ref="AU29" si="68">ROUND(AU26/639.546016,2)</f>
        <v>0.47</v>
      </c>
      <c r="AW29" s="445">
        <f>ROUND(AW26/639.546016,2)</f>
        <v>0.46</v>
      </c>
      <c r="AX29" s="365"/>
      <c r="AY29" s="365"/>
      <c r="AZ29" s="626"/>
      <c r="BA29" s="363">
        <f t="shared" ref="BA29" si="69">ROUND(BA26/639.546016,2)</f>
        <v>0.46</v>
      </c>
      <c r="BC29" s="7"/>
      <c r="BD29" s="658"/>
    </row>
    <row r="30" spans="1:56" s="347" customFormat="1" ht="20.100000000000001" customHeight="1">
      <c r="A30" s="366" t="s">
        <v>0</v>
      </c>
      <c r="B30" s="366">
        <f t="shared" ref="B30:AE30" si="70">B19-B11</f>
        <v>257.40000000000003</v>
      </c>
      <c r="C30" s="367">
        <f t="shared" si="70"/>
        <v>269.7</v>
      </c>
      <c r="D30" s="367">
        <f t="shared" si="70"/>
        <v>257.8</v>
      </c>
      <c r="E30" s="367">
        <f t="shared" si="70"/>
        <v>247.20000000000016</v>
      </c>
      <c r="F30" s="368">
        <f t="shared" si="70"/>
        <v>1032.0999999999992</v>
      </c>
      <c r="G30" s="366">
        <f t="shared" si="70"/>
        <v>245.37999999999994</v>
      </c>
      <c r="H30" s="367">
        <f t="shared" si="70"/>
        <v>257.3</v>
      </c>
      <c r="I30" s="367">
        <f t="shared" si="70"/>
        <v>268.2</v>
      </c>
      <c r="J30" s="367">
        <f t="shared" si="70"/>
        <v>275.39999999999998</v>
      </c>
      <c r="K30" s="368">
        <f t="shared" si="70"/>
        <v>1046.2800000000002</v>
      </c>
      <c r="L30" s="366">
        <f t="shared" si="70"/>
        <v>281.99999999999977</v>
      </c>
      <c r="M30" s="367">
        <f t="shared" si="70"/>
        <v>708.89999999999986</v>
      </c>
      <c r="N30" s="367">
        <f t="shared" si="70"/>
        <v>910.09999999999968</v>
      </c>
      <c r="O30" s="367">
        <f t="shared" si="70"/>
        <v>837.30000000000075</v>
      </c>
      <c r="P30" s="368">
        <f t="shared" si="70"/>
        <v>2738.2999999999993</v>
      </c>
      <c r="Q30" s="366">
        <f t="shared" si="70"/>
        <v>896.59999999999991</v>
      </c>
      <c r="R30" s="367">
        <f t="shared" si="70"/>
        <v>977</v>
      </c>
      <c r="S30" s="367">
        <f t="shared" si="70"/>
        <v>930.39999999999964</v>
      </c>
      <c r="T30" s="367">
        <f t="shared" si="70"/>
        <v>881.10000000000036</v>
      </c>
      <c r="U30" s="369">
        <f t="shared" si="70"/>
        <v>3685.0999999999995</v>
      </c>
      <c r="V30" s="366">
        <f t="shared" si="70"/>
        <v>846.5</v>
      </c>
      <c r="W30" s="370">
        <f t="shared" si="70"/>
        <v>935.00000000000011</v>
      </c>
      <c r="X30" s="218">
        <f t="shared" si="70"/>
        <v>957.00000000000034</v>
      </c>
      <c r="Y30" s="218">
        <f t="shared" si="70"/>
        <v>902.3</v>
      </c>
      <c r="Z30" s="369">
        <f t="shared" si="70"/>
        <v>3640.8</v>
      </c>
      <c r="AA30" s="366">
        <f t="shared" si="70"/>
        <v>929.50000000000034</v>
      </c>
      <c r="AB30" s="370">
        <f t="shared" si="70"/>
        <v>963.69999999999982</v>
      </c>
      <c r="AC30" s="370">
        <f t="shared" si="70"/>
        <v>851.1</v>
      </c>
      <c r="AD30" s="370">
        <f t="shared" si="70"/>
        <v>872.7</v>
      </c>
      <c r="AE30" s="369">
        <f t="shared" si="70"/>
        <v>3617.0000000000009</v>
      </c>
      <c r="AF30" s="366">
        <f t="shared" ref="AF30" si="71">AF19-AF11</f>
        <v>918.79999999999973</v>
      </c>
      <c r="AG30" s="218">
        <f>AG19-AG11</f>
        <v>927.59999999999991</v>
      </c>
      <c r="AH30" s="218">
        <f>AH19-AH11</f>
        <v>848.50000000000011</v>
      </c>
      <c r="AI30" s="476">
        <f t="shared" ref="AI30:AJ30" si="72">AI19-AI11</f>
        <v>846.6</v>
      </c>
      <c r="AJ30" s="644">
        <f t="shared" si="72"/>
        <v>3541.4999999999995</v>
      </c>
      <c r="AK30" s="612"/>
      <c r="AL30" s="441">
        <f t="shared" ref="AL30:AQ30" si="73">AL19-AL11</f>
        <v>890</v>
      </c>
      <c r="AM30" s="218">
        <f t="shared" si="73"/>
        <v>946.39999999999986</v>
      </c>
      <c r="AN30" s="218">
        <f t="shared" si="73"/>
        <v>919.99999999999977</v>
      </c>
      <c r="AO30" s="476">
        <f t="shared" si="73"/>
        <v>941.3</v>
      </c>
      <c r="AP30" s="369">
        <f t="shared" si="73"/>
        <v>3697.700000000003</v>
      </c>
      <c r="AQ30" s="441">
        <f t="shared" si="73"/>
        <v>922.00000000000023</v>
      </c>
      <c r="AR30" s="218"/>
      <c r="AS30" s="218"/>
      <c r="AT30" s="476"/>
      <c r="AU30" s="369">
        <f>AU19-AU11</f>
        <v>922.00000000000023</v>
      </c>
      <c r="AW30" s="441">
        <f>AW19-AW11</f>
        <v>1038.2999999999995</v>
      </c>
      <c r="AX30" s="655"/>
      <c r="AY30" s="655"/>
      <c r="AZ30" s="656"/>
      <c r="BA30" s="369">
        <f>BA19-BA11</f>
        <v>1038.2999999999995</v>
      </c>
      <c r="BC30" s="7"/>
      <c r="BD30" s="658"/>
    </row>
    <row r="31" spans="1:56" s="347" customFormat="1" ht="20.100000000000001" customHeight="1" thickBot="1">
      <c r="A31" s="371" t="s">
        <v>3</v>
      </c>
      <c r="B31" s="372">
        <f t="shared" ref="B31:AE31" si="74">B30/B4</f>
        <v>0.38463837417812313</v>
      </c>
      <c r="C31" s="373">
        <f t="shared" si="74"/>
        <v>0.377836929111796</v>
      </c>
      <c r="D31" s="373">
        <f t="shared" si="74"/>
        <v>0.4</v>
      </c>
      <c r="E31" s="373">
        <f t="shared" si="74"/>
        <v>0.32933653077537983</v>
      </c>
      <c r="F31" s="374">
        <f t="shared" si="74"/>
        <v>0.37151290450307745</v>
      </c>
      <c r="G31" s="372">
        <f t="shared" si="74"/>
        <v>0.35200114761153339</v>
      </c>
      <c r="H31" s="373">
        <f t="shared" si="74"/>
        <v>0.34963989672509854</v>
      </c>
      <c r="I31" s="373">
        <f t="shared" si="74"/>
        <v>0.39598405433338257</v>
      </c>
      <c r="J31" s="373">
        <f t="shared" si="74"/>
        <v>0.34403497813866329</v>
      </c>
      <c r="K31" s="375">
        <f t="shared" si="74"/>
        <v>0.35944757454995196</v>
      </c>
      <c r="L31" s="372">
        <f t="shared" si="74"/>
        <v>0.38987971795935272</v>
      </c>
      <c r="M31" s="373">
        <f t="shared" si="74"/>
        <v>0.40603700097370976</v>
      </c>
      <c r="N31" s="373">
        <f t="shared" si="74"/>
        <v>0.37613655149611497</v>
      </c>
      <c r="O31" s="373">
        <f t="shared" si="74"/>
        <v>0.33211693308476481</v>
      </c>
      <c r="P31" s="374">
        <f t="shared" si="74"/>
        <v>0.36954614772129168</v>
      </c>
      <c r="Q31" s="373">
        <f t="shared" si="74"/>
        <v>0.38497209102619145</v>
      </c>
      <c r="R31" s="373">
        <f t="shared" si="74"/>
        <v>0.39567471245747615</v>
      </c>
      <c r="S31" s="373">
        <f t="shared" si="74"/>
        <v>0.3852747525777464</v>
      </c>
      <c r="T31" s="373">
        <f t="shared" si="74"/>
        <v>0.33759914172956829</v>
      </c>
      <c r="U31" s="374">
        <f t="shared" si="74"/>
        <v>0.37515015779293487</v>
      </c>
      <c r="V31" s="373">
        <f t="shared" si="74"/>
        <v>0.35807952622673433</v>
      </c>
      <c r="W31" s="373">
        <f t="shared" si="74"/>
        <v>0.3827418232428671</v>
      </c>
      <c r="X31" s="376">
        <f t="shared" si="74"/>
        <v>0.4007873356227491</v>
      </c>
      <c r="Y31" s="376">
        <f t="shared" si="74"/>
        <v>0.35592284328034396</v>
      </c>
      <c r="Z31" s="374">
        <f t="shared" si="74"/>
        <v>0.37419063084544396</v>
      </c>
      <c r="AA31" s="373">
        <f t="shared" si="74"/>
        <v>0.38914008205643491</v>
      </c>
      <c r="AB31" s="373">
        <f t="shared" si="74"/>
        <v>0.39017773998947319</v>
      </c>
      <c r="AC31" s="373">
        <f t="shared" si="74"/>
        <v>0.35597473754653058</v>
      </c>
      <c r="AD31" s="373">
        <f t="shared" si="74"/>
        <v>0.33836073200992561</v>
      </c>
      <c r="AE31" s="374">
        <f t="shared" si="74"/>
        <v>0.36800765114054906</v>
      </c>
      <c r="AF31" s="373">
        <f t="shared" ref="AF31:AJ31" si="75">AF30/AF4</f>
        <v>0.3892065912653026</v>
      </c>
      <c r="AG31" s="373">
        <f t="shared" si="75"/>
        <v>0.37450038354394599</v>
      </c>
      <c r="AH31" s="373">
        <f t="shared" ref="AH31" si="76">AH30/AH4</f>
        <v>0.34840272645150699</v>
      </c>
      <c r="AI31" s="376">
        <f t="shared" si="75"/>
        <v>0.3156599552572707</v>
      </c>
      <c r="AJ31" s="645">
        <f t="shared" si="75"/>
        <v>0.35575087895529878</v>
      </c>
      <c r="AK31" s="613"/>
      <c r="AL31" s="372">
        <f t="shared" ref="AL31:AQ31" si="77">AL30/AL4</f>
        <v>0.37938531054179631</v>
      </c>
      <c r="AM31" s="373">
        <f t="shared" si="77"/>
        <v>0.36355255070682235</v>
      </c>
      <c r="AN31" s="373">
        <f t="shared" si="77"/>
        <v>0.33638025594149901</v>
      </c>
      <c r="AO31" s="376">
        <f t="shared" si="77"/>
        <v>0.31355762824783479</v>
      </c>
      <c r="AP31" s="374">
        <f t="shared" si="77"/>
        <v>0.3460289535003418</v>
      </c>
      <c r="AQ31" s="372">
        <f t="shared" si="77"/>
        <v>0.33136860264519846</v>
      </c>
      <c r="AR31" s="373"/>
      <c r="AS31" s="373"/>
      <c r="AT31" s="376"/>
      <c r="AU31" s="374">
        <f>AU30/AU4</f>
        <v>0.33136860264519846</v>
      </c>
      <c r="AW31" s="372">
        <f>AW30/AW4</f>
        <v>0.37193724029230529</v>
      </c>
      <c r="AX31" s="373"/>
      <c r="AY31" s="373"/>
      <c r="AZ31" s="376"/>
      <c r="BA31" s="374">
        <f>BA30/BA4</f>
        <v>0.37193724029230529</v>
      </c>
      <c r="BC31" s="7"/>
      <c r="BD31" s="658"/>
    </row>
    <row r="32" spans="1:56" ht="15" customHeight="1">
      <c r="A32" s="377"/>
      <c r="B32" s="378"/>
      <c r="C32" s="378"/>
      <c r="D32" s="378"/>
      <c r="E32" s="378"/>
      <c r="F32" s="378"/>
      <c r="G32" s="378"/>
      <c r="H32" s="379"/>
      <c r="I32" s="380"/>
      <c r="J32" s="380"/>
      <c r="T32" s="10"/>
      <c r="U32" s="10"/>
      <c r="V32" s="10"/>
      <c r="W32" s="10"/>
      <c r="X32" s="285"/>
      <c r="Y32" s="10"/>
      <c r="Z32" s="10"/>
      <c r="AA32" s="10"/>
      <c r="AB32" s="10"/>
      <c r="AC32" s="285"/>
      <c r="AD32" s="10"/>
      <c r="AE32" s="10"/>
      <c r="AF32" s="10"/>
      <c r="AG32" s="10"/>
      <c r="AH32" s="285"/>
      <c r="AI32" s="10"/>
      <c r="AJ32" s="646"/>
      <c r="AK32" s="7"/>
      <c r="AL32" s="10"/>
      <c r="AM32" s="475"/>
      <c r="AN32" s="285"/>
      <c r="AO32" s="10"/>
      <c r="AP32" s="475"/>
      <c r="AQ32" s="10"/>
      <c r="AR32" s="475"/>
      <c r="AS32" s="285"/>
      <c r="AT32" s="10"/>
      <c r="AU32" s="475"/>
      <c r="AW32" s="10"/>
      <c r="AX32" s="475"/>
      <c r="AY32" s="285"/>
      <c r="AZ32" s="10"/>
      <c r="BA32" s="475"/>
    </row>
    <row r="33" spans="1:16382" ht="20.100000000000001" customHeight="1">
      <c r="A33" s="678" t="s">
        <v>238</v>
      </c>
      <c r="B33" s="678"/>
      <c r="C33" s="678"/>
      <c r="D33" s="678"/>
      <c r="E33" s="678"/>
      <c r="F33" s="678"/>
      <c r="G33" s="678"/>
      <c r="H33" s="678"/>
      <c r="I33" s="678"/>
      <c r="J33" s="678"/>
      <c r="K33" s="678"/>
      <c r="L33" s="678"/>
      <c r="M33" s="678"/>
      <c r="N33" s="678"/>
      <c r="O33" s="678"/>
      <c r="P33" s="678"/>
      <c r="Q33" s="678"/>
      <c r="R33" s="678"/>
      <c r="S33" s="678"/>
      <c r="T33" s="678"/>
      <c r="U33" s="678"/>
      <c r="V33" s="678"/>
      <c r="W33" s="678"/>
      <c r="X33" s="678"/>
      <c r="Y33" s="678"/>
      <c r="Z33" s="678"/>
      <c r="AA33" s="678"/>
      <c r="AB33" s="678"/>
      <c r="AC33" s="678"/>
      <c r="AD33" s="678"/>
      <c r="AE33" s="678"/>
      <c r="AF33" s="678"/>
      <c r="AG33" s="12"/>
      <c r="AH33" s="278"/>
      <c r="AI33" s="12"/>
      <c r="AJ33" s="647"/>
      <c r="AK33" s="7"/>
      <c r="AL33" s="12"/>
      <c r="AM33" s="12"/>
      <c r="AN33" s="278"/>
      <c r="AO33" s="12"/>
      <c r="AP33" s="12"/>
      <c r="AQ33" s="12"/>
      <c r="AR33" s="12"/>
      <c r="AS33" s="278"/>
      <c r="AT33" s="12"/>
      <c r="AU33" s="12"/>
      <c r="AV33" s="434"/>
      <c r="AW33" s="12"/>
      <c r="AX33" s="678"/>
      <c r="AY33" s="678"/>
      <c r="AZ33" s="678"/>
      <c r="BA33" s="678"/>
      <c r="BB33" s="678"/>
      <c r="BC33" s="678"/>
      <c r="BD33" s="678"/>
      <c r="BE33" s="678"/>
      <c r="BF33" s="678"/>
      <c r="BG33" s="678"/>
      <c r="BH33" s="678"/>
      <c r="BI33" s="678"/>
      <c r="BJ33" s="678"/>
      <c r="BK33" s="678"/>
      <c r="BL33" s="678"/>
      <c r="BM33" s="678"/>
      <c r="BN33" s="678"/>
      <c r="BO33" s="678"/>
      <c r="BP33" s="678"/>
      <c r="BQ33" s="678"/>
      <c r="BR33" s="678"/>
      <c r="BS33" s="678"/>
      <c r="BT33" s="678"/>
      <c r="BU33" s="678"/>
      <c r="BV33" s="678"/>
      <c r="BW33" s="678"/>
      <c r="BX33" s="678"/>
      <c r="BY33" s="678"/>
      <c r="BZ33" s="678"/>
      <c r="CA33" s="678"/>
      <c r="CB33" s="678"/>
      <c r="CC33" s="678"/>
      <c r="CD33" s="678"/>
      <c r="CE33" s="678"/>
      <c r="CF33" s="678"/>
      <c r="CG33" s="678"/>
      <c r="CH33" s="678"/>
      <c r="CI33" s="678"/>
      <c r="CJ33" s="678"/>
      <c r="CK33" s="678"/>
      <c r="CL33" s="678"/>
      <c r="CM33" s="678"/>
      <c r="CN33" s="678"/>
      <c r="CO33" s="678"/>
      <c r="CP33" s="678"/>
      <c r="CQ33" s="678"/>
      <c r="CR33" s="678"/>
      <c r="CS33" s="678"/>
      <c r="CT33" s="678"/>
      <c r="CU33" s="678"/>
      <c r="CV33" s="678"/>
      <c r="CW33" s="678"/>
      <c r="CX33" s="678"/>
      <c r="CY33" s="678"/>
      <c r="CZ33" s="678"/>
      <c r="DA33" s="678"/>
      <c r="DB33" s="678"/>
      <c r="DC33" s="678"/>
      <c r="DD33" s="678"/>
      <c r="DE33" s="678"/>
      <c r="DF33" s="678"/>
      <c r="DG33" s="678"/>
      <c r="DH33" s="678"/>
      <c r="DI33" s="678"/>
      <c r="DJ33" s="678"/>
      <c r="DK33" s="678"/>
      <c r="DL33" s="678"/>
      <c r="DM33" s="678"/>
      <c r="DN33" s="678"/>
      <c r="DO33" s="678"/>
      <c r="DP33" s="678"/>
      <c r="DQ33" s="678"/>
      <c r="DR33" s="678"/>
      <c r="DS33" s="678"/>
      <c r="DT33" s="678"/>
      <c r="DU33" s="678"/>
      <c r="DV33" s="678"/>
      <c r="DW33" s="678"/>
      <c r="DX33" s="678"/>
      <c r="DY33" s="678"/>
      <c r="DZ33" s="678"/>
      <c r="EA33" s="678"/>
      <c r="EB33" s="678"/>
      <c r="EC33" s="678"/>
      <c r="ED33" s="678"/>
      <c r="EE33" s="678"/>
      <c r="EF33" s="678"/>
      <c r="EG33" s="678"/>
      <c r="EH33" s="678"/>
      <c r="EI33" s="678"/>
      <c r="EJ33" s="678"/>
      <c r="EK33" s="678"/>
      <c r="EL33" s="678"/>
      <c r="EM33" s="678"/>
      <c r="EN33" s="678"/>
      <c r="EO33" s="678"/>
      <c r="EP33" s="678"/>
      <c r="EQ33" s="678"/>
      <c r="ER33" s="678"/>
      <c r="ES33" s="678"/>
      <c r="ET33" s="678"/>
      <c r="EU33" s="678"/>
      <c r="EV33" s="678"/>
      <c r="EW33" s="678"/>
      <c r="EX33" s="678"/>
      <c r="EY33" s="678"/>
      <c r="EZ33" s="678"/>
      <c r="FA33" s="678"/>
      <c r="FB33" s="678"/>
      <c r="FC33" s="678"/>
      <c r="FD33" s="678"/>
      <c r="FE33" s="678"/>
      <c r="FF33" s="678"/>
      <c r="FG33" s="678"/>
      <c r="FH33" s="678"/>
      <c r="FI33" s="678"/>
      <c r="FJ33" s="678"/>
      <c r="FK33" s="678"/>
      <c r="FL33" s="678"/>
      <c r="FM33" s="678"/>
      <c r="FN33" s="678"/>
      <c r="FO33" s="678"/>
      <c r="FP33" s="678"/>
      <c r="FQ33" s="678"/>
      <c r="FR33" s="678"/>
      <c r="FS33" s="678"/>
      <c r="FT33" s="678"/>
      <c r="FU33" s="678"/>
      <c r="FV33" s="678"/>
      <c r="FW33" s="678"/>
      <c r="FX33" s="678"/>
      <c r="FY33" s="678"/>
      <c r="FZ33" s="678"/>
      <c r="GA33" s="678"/>
      <c r="GB33" s="678"/>
      <c r="GC33" s="678"/>
      <c r="GD33" s="678"/>
      <c r="GE33" s="678"/>
      <c r="GF33" s="678"/>
      <c r="GG33" s="678"/>
      <c r="GH33" s="678"/>
      <c r="GI33" s="678"/>
      <c r="GJ33" s="678"/>
      <c r="GK33" s="678"/>
      <c r="GL33" s="678"/>
      <c r="GM33" s="678"/>
      <c r="GN33" s="678"/>
      <c r="GO33" s="678"/>
      <c r="GP33" s="678"/>
      <c r="GQ33" s="678"/>
      <c r="GR33" s="678"/>
      <c r="GS33" s="678"/>
      <c r="GT33" s="678"/>
      <c r="GU33" s="678"/>
      <c r="GV33" s="678"/>
      <c r="GW33" s="678"/>
      <c r="GX33" s="678"/>
      <c r="GY33" s="678"/>
      <c r="GZ33" s="678"/>
      <c r="HA33" s="678"/>
      <c r="HB33" s="678"/>
      <c r="HC33" s="678"/>
      <c r="HD33" s="678"/>
      <c r="HE33" s="678"/>
      <c r="HF33" s="678"/>
      <c r="HG33" s="678"/>
      <c r="HH33" s="678"/>
      <c r="HI33" s="678"/>
      <c r="HJ33" s="678"/>
      <c r="HK33" s="678"/>
      <c r="HL33" s="678"/>
      <c r="HM33" s="678"/>
      <c r="HN33" s="678"/>
      <c r="HO33" s="678"/>
      <c r="HP33" s="678"/>
      <c r="HQ33" s="678"/>
      <c r="HR33" s="678"/>
      <c r="HS33" s="678"/>
      <c r="HT33" s="678"/>
      <c r="HU33" s="678"/>
      <c r="HV33" s="678"/>
      <c r="HW33" s="678"/>
      <c r="HX33" s="678"/>
      <c r="HY33" s="678"/>
      <c r="HZ33" s="678"/>
      <c r="IA33" s="678"/>
      <c r="IB33" s="678"/>
      <c r="IC33" s="678"/>
      <c r="ID33" s="678"/>
      <c r="IE33" s="678"/>
      <c r="IF33" s="678"/>
      <c r="IG33" s="678"/>
      <c r="IH33" s="678"/>
      <c r="II33" s="678"/>
      <c r="IJ33" s="678"/>
      <c r="IK33" s="678"/>
      <c r="IL33" s="678"/>
      <c r="IM33" s="678"/>
      <c r="IN33" s="678"/>
      <c r="IO33" s="678"/>
      <c r="IP33" s="678"/>
      <c r="IQ33" s="678"/>
      <c r="IR33" s="678"/>
      <c r="IS33" s="678"/>
      <c r="IT33" s="678"/>
      <c r="IU33" s="678"/>
      <c r="IV33" s="678"/>
      <c r="IW33" s="678"/>
      <c r="IX33" s="678"/>
      <c r="IY33" s="678"/>
      <c r="IZ33" s="678"/>
      <c r="JA33" s="678"/>
      <c r="JB33" s="678"/>
      <c r="JC33" s="678"/>
      <c r="JD33" s="678"/>
      <c r="JE33" s="678"/>
      <c r="JF33" s="678"/>
      <c r="JG33" s="678"/>
      <c r="JH33" s="678"/>
      <c r="JI33" s="678"/>
      <c r="JJ33" s="678"/>
      <c r="JK33" s="678"/>
      <c r="JL33" s="678"/>
      <c r="JM33" s="678"/>
      <c r="JN33" s="678"/>
      <c r="JO33" s="678"/>
      <c r="JP33" s="678"/>
      <c r="JQ33" s="678"/>
      <c r="JR33" s="678"/>
      <c r="JS33" s="678"/>
      <c r="JT33" s="678"/>
      <c r="JU33" s="678"/>
      <c r="JV33" s="678"/>
      <c r="JW33" s="678"/>
      <c r="JX33" s="678"/>
      <c r="JY33" s="678"/>
      <c r="JZ33" s="678"/>
      <c r="KA33" s="678"/>
      <c r="KB33" s="678"/>
      <c r="KC33" s="678"/>
      <c r="KD33" s="678"/>
      <c r="KE33" s="678"/>
      <c r="KF33" s="678"/>
      <c r="KG33" s="678"/>
      <c r="KH33" s="678"/>
      <c r="KI33" s="678"/>
      <c r="KJ33" s="678"/>
      <c r="KK33" s="678"/>
      <c r="KL33" s="678"/>
      <c r="KM33" s="678"/>
      <c r="KN33" s="678"/>
      <c r="KO33" s="678"/>
      <c r="KP33" s="678"/>
      <c r="KQ33" s="678"/>
      <c r="KR33" s="678"/>
      <c r="KS33" s="678"/>
      <c r="KT33" s="678"/>
      <c r="KU33" s="678"/>
      <c r="KV33" s="678"/>
      <c r="KW33" s="678"/>
      <c r="KX33" s="678"/>
      <c r="KY33" s="678"/>
      <c r="KZ33" s="678"/>
      <c r="LA33" s="678"/>
      <c r="LB33" s="678"/>
      <c r="LC33" s="678"/>
      <c r="LD33" s="678"/>
      <c r="LE33" s="678"/>
      <c r="LF33" s="678"/>
      <c r="LG33" s="678"/>
      <c r="LH33" s="678"/>
      <c r="LI33" s="678"/>
      <c r="LJ33" s="678"/>
      <c r="LK33" s="678"/>
      <c r="LL33" s="678"/>
      <c r="LM33" s="678"/>
      <c r="LN33" s="678"/>
      <c r="LO33" s="678"/>
      <c r="LP33" s="678"/>
      <c r="LQ33" s="678"/>
      <c r="LR33" s="678"/>
      <c r="LS33" s="678"/>
      <c r="LT33" s="678"/>
      <c r="LU33" s="678"/>
      <c r="LV33" s="678"/>
      <c r="LW33" s="678"/>
      <c r="LX33" s="678"/>
      <c r="LY33" s="678"/>
      <c r="LZ33" s="678"/>
      <c r="MA33" s="678"/>
      <c r="MB33" s="678"/>
      <c r="MC33" s="678"/>
      <c r="MD33" s="678"/>
      <c r="ME33" s="678"/>
      <c r="MF33" s="678"/>
      <c r="MG33" s="678"/>
      <c r="MH33" s="678"/>
      <c r="MI33" s="678"/>
      <c r="MJ33" s="678"/>
      <c r="MK33" s="678"/>
      <c r="ML33" s="678"/>
      <c r="MM33" s="678"/>
      <c r="MN33" s="678"/>
      <c r="MO33" s="678"/>
      <c r="MP33" s="678"/>
      <c r="MQ33" s="678"/>
      <c r="MR33" s="678"/>
      <c r="MS33" s="678"/>
      <c r="MT33" s="678"/>
      <c r="MU33" s="678"/>
      <c r="MV33" s="678"/>
      <c r="MW33" s="678"/>
      <c r="MX33" s="678"/>
      <c r="MY33" s="678"/>
      <c r="MZ33" s="678"/>
      <c r="NA33" s="678"/>
      <c r="NB33" s="678"/>
      <c r="NC33" s="678"/>
      <c r="ND33" s="678"/>
      <c r="NE33" s="678"/>
      <c r="NF33" s="678"/>
      <c r="NG33" s="678"/>
      <c r="NH33" s="678"/>
      <c r="NI33" s="678"/>
      <c r="NJ33" s="678"/>
      <c r="NK33" s="678"/>
      <c r="NL33" s="678"/>
      <c r="NM33" s="678"/>
      <c r="NN33" s="678"/>
      <c r="NO33" s="678"/>
      <c r="NP33" s="678"/>
      <c r="NQ33" s="678"/>
      <c r="NR33" s="678"/>
      <c r="NS33" s="678"/>
      <c r="NT33" s="678"/>
      <c r="NU33" s="678"/>
      <c r="NV33" s="678"/>
      <c r="NW33" s="678"/>
      <c r="NX33" s="678"/>
      <c r="NY33" s="678"/>
      <c r="NZ33" s="678"/>
      <c r="OA33" s="678"/>
      <c r="OB33" s="678"/>
      <c r="OC33" s="678"/>
      <c r="OD33" s="678"/>
      <c r="OE33" s="678"/>
      <c r="OF33" s="678"/>
      <c r="OG33" s="678"/>
      <c r="OH33" s="678"/>
      <c r="OI33" s="678"/>
      <c r="OJ33" s="678"/>
      <c r="OK33" s="678"/>
      <c r="OL33" s="678"/>
      <c r="OM33" s="678"/>
      <c r="ON33" s="678"/>
      <c r="OO33" s="678"/>
      <c r="OP33" s="678"/>
      <c r="OQ33" s="678"/>
      <c r="OR33" s="678"/>
      <c r="OS33" s="678"/>
      <c r="OT33" s="678"/>
      <c r="OU33" s="678"/>
      <c r="OV33" s="678"/>
      <c r="OW33" s="678"/>
      <c r="OX33" s="678"/>
      <c r="OY33" s="678"/>
      <c r="OZ33" s="678"/>
      <c r="PA33" s="678"/>
      <c r="PB33" s="678"/>
      <c r="PC33" s="678"/>
      <c r="PD33" s="678"/>
      <c r="PE33" s="678"/>
      <c r="PF33" s="678"/>
      <c r="PG33" s="678"/>
      <c r="PH33" s="678"/>
      <c r="PI33" s="678"/>
      <c r="PJ33" s="678"/>
      <c r="PK33" s="678"/>
      <c r="PL33" s="678"/>
      <c r="PM33" s="678"/>
      <c r="PN33" s="678"/>
      <c r="PO33" s="678"/>
      <c r="PP33" s="678"/>
      <c r="PQ33" s="678"/>
      <c r="PR33" s="678"/>
      <c r="PS33" s="678"/>
      <c r="PT33" s="678"/>
      <c r="PU33" s="678"/>
      <c r="PV33" s="678"/>
      <c r="PW33" s="678"/>
      <c r="PX33" s="678"/>
      <c r="PY33" s="678"/>
      <c r="PZ33" s="678"/>
      <c r="QA33" s="678"/>
      <c r="QB33" s="678"/>
      <c r="QC33" s="678"/>
      <c r="QD33" s="678"/>
      <c r="QE33" s="678"/>
      <c r="QF33" s="678"/>
      <c r="QG33" s="678"/>
      <c r="QH33" s="678"/>
      <c r="QI33" s="678"/>
      <c r="QJ33" s="678"/>
      <c r="QK33" s="678"/>
      <c r="QL33" s="678"/>
      <c r="QM33" s="678"/>
      <c r="QN33" s="678"/>
      <c r="QO33" s="678"/>
      <c r="QP33" s="678"/>
      <c r="QQ33" s="678"/>
      <c r="QR33" s="678"/>
      <c r="QS33" s="678"/>
      <c r="QT33" s="678"/>
      <c r="QU33" s="678"/>
      <c r="QV33" s="678"/>
      <c r="QW33" s="678"/>
      <c r="QX33" s="678"/>
      <c r="QY33" s="678"/>
      <c r="QZ33" s="678"/>
      <c r="RA33" s="678"/>
      <c r="RB33" s="678"/>
      <c r="RC33" s="678"/>
      <c r="RD33" s="678"/>
      <c r="RE33" s="678"/>
      <c r="RF33" s="678"/>
      <c r="RG33" s="678"/>
      <c r="RH33" s="678"/>
      <c r="RI33" s="678"/>
      <c r="RJ33" s="678"/>
      <c r="RK33" s="678"/>
      <c r="RL33" s="678"/>
      <c r="RM33" s="678"/>
      <c r="RN33" s="678"/>
      <c r="RO33" s="678"/>
      <c r="RP33" s="678"/>
      <c r="RQ33" s="678"/>
      <c r="RR33" s="678"/>
      <c r="RS33" s="678"/>
      <c r="RT33" s="678"/>
      <c r="RU33" s="678"/>
      <c r="RV33" s="678"/>
      <c r="RW33" s="678"/>
      <c r="RX33" s="678"/>
      <c r="RY33" s="678"/>
      <c r="RZ33" s="678"/>
      <c r="SA33" s="678"/>
      <c r="SB33" s="678"/>
      <c r="SC33" s="678"/>
      <c r="SD33" s="678"/>
      <c r="SE33" s="678"/>
      <c r="SF33" s="678"/>
      <c r="SG33" s="678"/>
      <c r="SH33" s="678"/>
      <c r="SI33" s="678"/>
      <c r="SJ33" s="678"/>
      <c r="SK33" s="678"/>
      <c r="SL33" s="678"/>
      <c r="SM33" s="678"/>
      <c r="SN33" s="678"/>
      <c r="SO33" s="678"/>
      <c r="SP33" s="678"/>
      <c r="SQ33" s="678"/>
      <c r="SR33" s="678"/>
      <c r="SS33" s="678"/>
      <c r="ST33" s="678"/>
      <c r="SU33" s="678"/>
      <c r="SV33" s="678"/>
      <c r="SW33" s="678"/>
      <c r="SX33" s="678"/>
      <c r="SY33" s="678"/>
      <c r="SZ33" s="678"/>
      <c r="TA33" s="678"/>
      <c r="TB33" s="678"/>
      <c r="TC33" s="678"/>
      <c r="TD33" s="678"/>
      <c r="TE33" s="678"/>
      <c r="TF33" s="678"/>
      <c r="TG33" s="678"/>
      <c r="TH33" s="678"/>
      <c r="TI33" s="678"/>
      <c r="TJ33" s="678"/>
      <c r="TK33" s="678"/>
      <c r="TL33" s="678"/>
      <c r="TM33" s="678"/>
      <c r="TN33" s="678"/>
      <c r="TO33" s="678"/>
      <c r="TP33" s="678"/>
      <c r="TQ33" s="678"/>
      <c r="TR33" s="678"/>
      <c r="TS33" s="678"/>
      <c r="TT33" s="678"/>
      <c r="TU33" s="678"/>
      <c r="TV33" s="678"/>
      <c r="TW33" s="678"/>
      <c r="TX33" s="678"/>
      <c r="TY33" s="678"/>
      <c r="TZ33" s="678"/>
      <c r="UA33" s="678"/>
      <c r="UB33" s="678"/>
      <c r="UC33" s="678"/>
      <c r="UD33" s="678"/>
      <c r="UE33" s="678"/>
      <c r="UF33" s="678"/>
      <c r="UG33" s="678"/>
      <c r="UH33" s="678"/>
      <c r="UI33" s="678"/>
      <c r="UJ33" s="678"/>
      <c r="UK33" s="678"/>
      <c r="UL33" s="678"/>
      <c r="UM33" s="678"/>
      <c r="UN33" s="678"/>
      <c r="UO33" s="678"/>
      <c r="UP33" s="678"/>
      <c r="UQ33" s="678"/>
      <c r="UR33" s="678"/>
      <c r="US33" s="678"/>
      <c r="UT33" s="678"/>
      <c r="UU33" s="678"/>
      <c r="UV33" s="678"/>
      <c r="UW33" s="678"/>
      <c r="UX33" s="678"/>
      <c r="UY33" s="678"/>
      <c r="UZ33" s="678"/>
      <c r="VA33" s="678"/>
      <c r="VB33" s="678"/>
      <c r="VC33" s="678"/>
      <c r="VD33" s="678"/>
      <c r="VE33" s="678"/>
      <c r="VF33" s="678"/>
      <c r="VG33" s="678"/>
      <c r="VH33" s="678"/>
      <c r="VI33" s="678"/>
      <c r="VJ33" s="678"/>
      <c r="VK33" s="678"/>
      <c r="VL33" s="678"/>
      <c r="VM33" s="678"/>
      <c r="VN33" s="678"/>
      <c r="VO33" s="678"/>
      <c r="VP33" s="678"/>
      <c r="VQ33" s="678"/>
      <c r="VR33" s="678"/>
      <c r="VS33" s="678"/>
      <c r="VT33" s="678"/>
      <c r="VU33" s="678"/>
      <c r="VV33" s="678"/>
      <c r="VW33" s="678"/>
      <c r="VX33" s="678"/>
      <c r="VY33" s="678"/>
      <c r="VZ33" s="678"/>
      <c r="WA33" s="678"/>
      <c r="WB33" s="678"/>
      <c r="WC33" s="678"/>
      <c r="WD33" s="678"/>
      <c r="WE33" s="678"/>
      <c r="WF33" s="678"/>
      <c r="WG33" s="678"/>
      <c r="WH33" s="678"/>
      <c r="WI33" s="678"/>
      <c r="WJ33" s="678"/>
      <c r="WK33" s="678"/>
      <c r="WL33" s="678"/>
      <c r="WM33" s="678"/>
      <c r="WN33" s="678"/>
      <c r="WO33" s="678"/>
      <c r="WP33" s="678"/>
      <c r="WQ33" s="678"/>
      <c r="WR33" s="678"/>
      <c r="WS33" s="678"/>
      <c r="WT33" s="678"/>
      <c r="WU33" s="678"/>
      <c r="WV33" s="678"/>
      <c r="WW33" s="678"/>
      <c r="WX33" s="678"/>
      <c r="WY33" s="678"/>
      <c r="WZ33" s="678"/>
      <c r="XA33" s="678"/>
      <c r="XB33" s="678"/>
      <c r="XC33" s="678"/>
      <c r="XD33" s="678"/>
      <c r="XE33" s="678"/>
      <c r="XF33" s="678"/>
      <c r="XG33" s="678"/>
      <c r="XH33" s="678"/>
      <c r="XI33" s="678"/>
      <c r="XJ33" s="678"/>
      <c r="XK33" s="678"/>
      <c r="XL33" s="678"/>
      <c r="XM33" s="678"/>
      <c r="XN33" s="678"/>
      <c r="XO33" s="678"/>
      <c r="XP33" s="678"/>
      <c r="XQ33" s="678"/>
      <c r="XR33" s="678"/>
      <c r="XS33" s="678"/>
      <c r="XT33" s="678"/>
      <c r="XU33" s="678"/>
      <c r="XV33" s="678"/>
      <c r="XW33" s="678"/>
      <c r="XX33" s="678"/>
      <c r="XY33" s="678"/>
      <c r="XZ33" s="678"/>
      <c r="YA33" s="678"/>
      <c r="YB33" s="678"/>
      <c r="YC33" s="678"/>
      <c r="YD33" s="678"/>
      <c r="YE33" s="678"/>
      <c r="YF33" s="678"/>
      <c r="YG33" s="678"/>
      <c r="YH33" s="678"/>
      <c r="YI33" s="678"/>
      <c r="YJ33" s="678"/>
      <c r="YK33" s="678"/>
      <c r="YL33" s="678"/>
      <c r="YM33" s="678"/>
      <c r="YN33" s="678"/>
      <c r="YO33" s="678"/>
      <c r="YP33" s="678"/>
      <c r="YQ33" s="678"/>
      <c r="YR33" s="678"/>
      <c r="YS33" s="678"/>
      <c r="YT33" s="678"/>
      <c r="YU33" s="678"/>
      <c r="YV33" s="678"/>
      <c r="YW33" s="678"/>
      <c r="YX33" s="678"/>
      <c r="YY33" s="678"/>
      <c r="YZ33" s="678"/>
      <c r="ZA33" s="678"/>
      <c r="ZB33" s="678"/>
      <c r="ZC33" s="678"/>
      <c r="ZD33" s="678"/>
      <c r="ZE33" s="678"/>
      <c r="ZF33" s="678"/>
      <c r="ZG33" s="678"/>
      <c r="ZH33" s="678"/>
      <c r="ZI33" s="678"/>
      <c r="ZJ33" s="678"/>
      <c r="ZK33" s="678"/>
      <c r="ZL33" s="678"/>
      <c r="ZM33" s="678"/>
      <c r="ZN33" s="678"/>
      <c r="ZO33" s="678"/>
      <c r="ZP33" s="678"/>
      <c r="ZQ33" s="678"/>
      <c r="ZR33" s="678"/>
      <c r="ZS33" s="678"/>
      <c r="ZT33" s="678"/>
      <c r="ZU33" s="678"/>
      <c r="ZV33" s="678"/>
      <c r="ZW33" s="678"/>
      <c r="ZX33" s="678"/>
      <c r="ZY33" s="678"/>
      <c r="ZZ33" s="678"/>
      <c r="AAA33" s="678"/>
      <c r="AAB33" s="678"/>
      <c r="AAC33" s="678"/>
      <c r="AAD33" s="678"/>
      <c r="AAE33" s="678"/>
      <c r="AAF33" s="678"/>
      <c r="AAG33" s="678"/>
      <c r="AAH33" s="678"/>
      <c r="AAI33" s="678"/>
      <c r="AAJ33" s="678"/>
      <c r="AAK33" s="678"/>
      <c r="AAL33" s="678"/>
      <c r="AAM33" s="678"/>
      <c r="AAN33" s="678"/>
      <c r="AAO33" s="678"/>
      <c r="AAP33" s="678"/>
      <c r="AAQ33" s="678"/>
      <c r="AAR33" s="678"/>
      <c r="AAS33" s="678"/>
      <c r="AAT33" s="678"/>
      <c r="AAU33" s="678"/>
      <c r="AAV33" s="678"/>
      <c r="AAW33" s="678"/>
      <c r="AAX33" s="678"/>
      <c r="AAY33" s="678"/>
      <c r="AAZ33" s="678"/>
      <c r="ABA33" s="678"/>
      <c r="ABB33" s="678"/>
      <c r="ABC33" s="678"/>
      <c r="ABD33" s="678"/>
      <c r="ABE33" s="678"/>
      <c r="ABF33" s="678"/>
      <c r="ABG33" s="678"/>
      <c r="ABH33" s="678"/>
      <c r="ABI33" s="678"/>
      <c r="ABJ33" s="678"/>
      <c r="ABK33" s="678"/>
      <c r="ABL33" s="678"/>
      <c r="ABM33" s="678"/>
      <c r="ABN33" s="678"/>
      <c r="ABO33" s="678"/>
      <c r="ABP33" s="678"/>
      <c r="ABQ33" s="678"/>
      <c r="ABR33" s="678"/>
      <c r="ABS33" s="678"/>
      <c r="ABT33" s="678"/>
      <c r="ABU33" s="678"/>
      <c r="ABV33" s="678"/>
      <c r="ABW33" s="678"/>
      <c r="ABX33" s="678"/>
      <c r="ABY33" s="678"/>
      <c r="ABZ33" s="678"/>
      <c r="ACA33" s="678"/>
      <c r="ACB33" s="678"/>
      <c r="ACC33" s="678"/>
      <c r="ACD33" s="678"/>
      <c r="ACE33" s="678"/>
      <c r="ACF33" s="678"/>
      <c r="ACG33" s="678"/>
      <c r="ACH33" s="678"/>
      <c r="ACI33" s="678"/>
      <c r="ACJ33" s="678"/>
      <c r="ACK33" s="678"/>
      <c r="ACL33" s="678"/>
      <c r="ACM33" s="678"/>
      <c r="ACN33" s="678"/>
      <c r="ACO33" s="678"/>
      <c r="ACP33" s="678"/>
      <c r="ACQ33" s="678"/>
      <c r="ACR33" s="678"/>
      <c r="ACS33" s="678"/>
      <c r="ACT33" s="678"/>
      <c r="ACU33" s="678"/>
      <c r="ACV33" s="678"/>
      <c r="ACW33" s="678"/>
      <c r="ACX33" s="678"/>
      <c r="ACY33" s="678"/>
      <c r="ACZ33" s="678"/>
      <c r="ADA33" s="678"/>
      <c r="ADB33" s="678"/>
      <c r="ADC33" s="678"/>
      <c r="ADD33" s="678"/>
      <c r="ADE33" s="678"/>
      <c r="ADF33" s="678"/>
      <c r="ADG33" s="678"/>
      <c r="ADH33" s="678"/>
      <c r="ADI33" s="678"/>
      <c r="ADJ33" s="678"/>
      <c r="ADK33" s="678"/>
      <c r="ADL33" s="678"/>
      <c r="ADM33" s="678"/>
      <c r="ADN33" s="678"/>
      <c r="ADO33" s="678"/>
      <c r="ADP33" s="678"/>
      <c r="ADQ33" s="678"/>
      <c r="ADR33" s="678"/>
      <c r="ADS33" s="678"/>
      <c r="ADT33" s="678"/>
      <c r="ADU33" s="678"/>
      <c r="ADV33" s="678"/>
      <c r="ADW33" s="678"/>
      <c r="ADX33" s="678"/>
      <c r="ADY33" s="678"/>
      <c r="ADZ33" s="678"/>
      <c r="AEA33" s="678"/>
      <c r="AEB33" s="678"/>
      <c r="AEC33" s="678"/>
      <c r="AED33" s="678"/>
      <c r="AEE33" s="678"/>
      <c r="AEF33" s="678"/>
      <c r="AEG33" s="678"/>
      <c r="AEH33" s="678"/>
      <c r="AEI33" s="678"/>
      <c r="AEJ33" s="678"/>
      <c r="AEK33" s="678"/>
      <c r="AEL33" s="678"/>
      <c r="AEM33" s="678"/>
      <c r="AEN33" s="678"/>
      <c r="AEO33" s="678"/>
      <c r="AEP33" s="678"/>
      <c r="AEQ33" s="678"/>
      <c r="AER33" s="678"/>
      <c r="AES33" s="678"/>
      <c r="AET33" s="678"/>
      <c r="AEU33" s="678"/>
      <c r="AEV33" s="678"/>
      <c r="AEW33" s="678"/>
      <c r="AEX33" s="678"/>
      <c r="AEY33" s="678"/>
      <c r="AEZ33" s="678"/>
      <c r="AFA33" s="678"/>
      <c r="AFB33" s="678"/>
      <c r="AFC33" s="678"/>
      <c r="AFD33" s="678"/>
      <c r="AFE33" s="678"/>
      <c r="AFF33" s="678"/>
      <c r="AFG33" s="678"/>
      <c r="AFH33" s="678"/>
      <c r="AFI33" s="678"/>
      <c r="AFJ33" s="678"/>
      <c r="AFK33" s="678"/>
      <c r="AFL33" s="678"/>
      <c r="AFM33" s="678"/>
      <c r="AFN33" s="678"/>
      <c r="AFO33" s="678"/>
      <c r="AFP33" s="678"/>
      <c r="AFQ33" s="678"/>
      <c r="AFR33" s="678"/>
      <c r="AFS33" s="678"/>
      <c r="AFT33" s="678"/>
      <c r="AFU33" s="678"/>
      <c r="AFV33" s="678"/>
      <c r="AFW33" s="678"/>
      <c r="AFX33" s="678"/>
      <c r="AFY33" s="678"/>
      <c r="AFZ33" s="678"/>
      <c r="AGA33" s="678"/>
      <c r="AGB33" s="678"/>
      <c r="AGC33" s="678"/>
      <c r="AGD33" s="678"/>
      <c r="AGE33" s="678"/>
      <c r="AGF33" s="678"/>
      <c r="AGG33" s="678"/>
      <c r="AGH33" s="678"/>
      <c r="AGI33" s="678"/>
      <c r="AGJ33" s="678"/>
      <c r="AGK33" s="678"/>
      <c r="AGL33" s="678"/>
      <c r="AGM33" s="678"/>
      <c r="AGN33" s="678"/>
      <c r="AGO33" s="678"/>
      <c r="AGP33" s="678"/>
      <c r="AGQ33" s="678"/>
      <c r="AGR33" s="678"/>
      <c r="AGS33" s="678"/>
      <c r="AGT33" s="678"/>
      <c r="AGU33" s="678"/>
      <c r="AGV33" s="678"/>
      <c r="AGW33" s="678"/>
      <c r="AGX33" s="678"/>
      <c r="AGY33" s="678"/>
      <c r="AGZ33" s="678"/>
      <c r="AHA33" s="678"/>
      <c r="AHB33" s="678"/>
      <c r="AHC33" s="678"/>
      <c r="AHD33" s="678"/>
      <c r="AHE33" s="678"/>
      <c r="AHF33" s="678"/>
      <c r="AHG33" s="678"/>
      <c r="AHH33" s="678"/>
      <c r="AHI33" s="678"/>
      <c r="AHJ33" s="678"/>
      <c r="AHK33" s="678"/>
      <c r="AHL33" s="678"/>
      <c r="AHM33" s="678"/>
      <c r="AHN33" s="678"/>
      <c r="AHO33" s="678"/>
      <c r="AHP33" s="678"/>
      <c r="AHQ33" s="678"/>
      <c r="AHR33" s="678"/>
      <c r="AHS33" s="678"/>
      <c r="AHT33" s="678"/>
      <c r="AHU33" s="678"/>
      <c r="AHV33" s="678"/>
      <c r="AHW33" s="678"/>
      <c r="AHX33" s="678"/>
      <c r="AHY33" s="678"/>
      <c r="AHZ33" s="678"/>
      <c r="AIA33" s="678"/>
      <c r="AIB33" s="678"/>
      <c r="AIC33" s="678"/>
      <c r="AID33" s="678"/>
      <c r="AIE33" s="678"/>
      <c r="AIF33" s="678"/>
      <c r="AIG33" s="678"/>
      <c r="AIH33" s="678"/>
      <c r="AII33" s="678"/>
      <c r="AIJ33" s="678"/>
      <c r="AIK33" s="678"/>
      <c r="AIL33" s="678"/>
      <c r="AIM33" s="678"/>
      <c r="AIN33" s="678"/>
      <c r="AIO33" s="678"/>
      <c r="AIP33" s="678"/>
      <c r="AIQ33" s="678"/>
      <c r="AIR33" s="678"/>
      <c r="AIS33" s="678"/>
      <c r="AIT33" s="678"/>
      <c r="AIU33" s="678"/>
      <c r="AIV33" s="678"/>
      <c r="AIW33" s="678"/>
      <c r="AIX33" s="678"/>
      <c r="AIY33" s="678"/>
      <c r="AIZ33" s="678"/>
      <c r="AJA33" s="678"/>
      <c r="AJB33" s="678"/>
      <c r="AJC33" s="678"/>
      <c r="AJD33" s="678"/>
      <c r="AJE33" s="678"/>
      <c r="AJF33" s="678"/>
      <c r="AJG33" s="678"/>
      <c r="AJH33" s="678"/>
      <c r="AJI33" s="678"/>
      <c r="AJJ33" s="678"/>
      <c r="AJK33" s="678"/>
      <c r="AJL33" s="678"/>
      <c r="AJM33" s="678"/>
      <c r="AJN33" s="678"/>
      <c r="AJO33" s="678"/>
      <c r="AJP33" s="678"/>
      <c r="AJQ33" s="678"/>
      <c r="AJR33" s="678"/>
      <c r="AJS33" s="678"/>
      <c r="AJT33" s="678"/>
      <c r="AJU33" s="678"/>
      <c r="AJV33" s="678"/>
      <c r="AJW33" s="678"/>
      <c r="AJX33" s="678"/>
      <c r="AJY33" s="678"/>
      <c r="AJZ33" s="678"/>
      <c r="AKA33" s="678"/>
      <c r="AKB33" s="678"/>
      <c r="AKC33" s="678"/>
      <c r="AKD33" s="678"/>
      <c r="AKE33" s="678"/>
      <c r="AKF33" s="678"/>
      <c r="AKG33" s="678"/>
      <c r="AKH33" s="678"/>
      <c r="AKI33" s="678"/>
      <c r="AKJ33" s="678"/>
      <c r="AKK33" s="678"/>
      <c r="AKL33" s="678"/>
      <c r="AKM33" s="678"/>
      <c r="AKN33" s="678"/>
      <c r="AKO33" s="678"/>
      <c r="AKP33" s="678"/>
      <c r="AKQ33" s="678"/>
      <c r="AKR33" s="678"/>
      <c r="AKS33" s="678"/>
      <c r="AKT33" s="678"/>
      <c r="AKU33" s="678"/>
      <c r="AKV33" s="678"/>
      <c r="AKW33" s="678"/>
      <c r="AKX33" s="678"/>
      <c r="AKY33" s="678"/>
      <c r="AKZ33" s="678"/>
      <c r="ALA33" s="678"/>
      <c r="ALB33" s="678"/>
      <c r="ALC33" s="678"/>
      <c r="ALD33" s="678"/>
      <c r="ALE33" s="678"/>
      <c r="ALF33" s="678"/>
      <c r="ALG33" s="678"/>
      <c r="ALH33" s="678"/>
      <c r="ALI33" s="678"/>
      <c r="ALJ33" s="678"/>
      <c r="ALK33" s="678"/>
      <c r="ALL33" s="678"/>
      <c r="ALM33" s="678"/>
      <c r="ALN33" s="678"/>
      <c r="ALO33" s="678"/>
      <c r="ALP33" s="678"/>
      <c r="ALQ33" s="678"/>
      <c r="ALR33" s="678"/>
      <c r="ALS33" s="678"/>
      <c r="ALT33" s="678"/>
      <c r="ALU33" s="678"/>
      <c r="ALV33" s="678"/>
      <c r="ALW33" s="678"/>
      <c r="ALX33" s="678"/>
      <c r="ALY33" s="678"/>
      <c r="ALZ33" s="678"/>
      <c r="AMA33" s="678"/>
      <c r="AMB33" s="678"/>
      <c r="AMC33" s="678"/>
      <c r="AMD33" s="678"/>
      <c r="AME33" s="678"/>
      <c r="AMF33" s="678"/>
      <c r="AMG33" s="678"/>
      <c r="AMH33" s="678"/>
      <c r="AMI33" s="678"/>
      <c r="AMJ33" s="678"/>
      <c r="AMK33" s="678"/>
      <c r="AML33" s="678"/>
      <c r="AMM33" s="678"/>
      <c r="AMN33" s="678"/>
      <c r="AMO33" s="678"/>
      <c r="AMP33" s="678"/>
      <c r="AMQ33" s="678"/>
      <c r="AMR33" s="678"/>
      <c r="AMS33" s="678"/>
      <c r="AMT33" s="678"/>
      <c r="AMU33" s="678"/>
      <c r="AMV33" s="678"/>
      <c r="AMW33" s="678"/>
      <c r="AMX33" s="678"/>
      <c r="AMY33" s="678"/>
      <c r="AMZ33" s="678"/>
      <c r="ANA33" s="678"/>
      <c r="ANB33" s="678"/>
      <c r="ANC33" s="678"/>
      <c r="AND33" s="678"/>
      <c r="ANE33" s="678"/>
      <c r="ANF33" s="678"/>
      <c r="ANG33" s="678"/>
      <c r="ANH33" s="678"/>
      <c r="ANI33" s="678"/>
      <c r="ANJ33" s="678"/>
      <c r="ANK33" s="678"/>
      <c r="ANL33" s="678"/>
      <c r="ANM33" s="678"/>
      <c r="ANN33" s="678"/>
      <c r="ANO33" s="678"/>
      <c r="ANP33" s="678"/>
      <c r="ANQ33" s="678"/>
      <c r="ANR33" s="678"/>
      <c r="ANS33" s="678"/>
      <c r="ANT33" s="678"/>
      <c r="ANU33" s="678"/>
      <c r="ANV33" s="678"/>
      <c r="ANW33" s="678"/>
      <c r="ANX33" s="678"/>
      <c r="ANY33" s="678"/>
      <c r="ANZ33" s="678"/>
      <c r="AOA33" s="678"/>
      <c r="AOB33" s="678"/>
      <c r="AOC33" s="678"/>
      <c r="AOD33" s="678"/>
      <c r="AOE33" s="678"/>
      <c r="AOF33" s="678"/>
      <c r="AOG33" s="678"/>
      <c r="AOH33" s="678"/>
      <c r="AOI33" s="678"/>
      <c r="AOJ33" s="678"/>
      <c r="AOK33" s="678"/>
      <c r="AOL33" s="678"/>
      <c r="AOM33" s="678"/>
      <c r="AON33" s="678"/>
      <c r="AOO33" s="678"/>
      <c r="AOP33" s="678"/>
      <c r="AOQ33" s="678"/>
      <c r="AOR33" s="678"/>
      <c r="AOS33" s="678"/>
      <c r="AOT33" s="678"/>
      <c r="AOU33" s="678"/>
      <c r="AOV33" s="678"/>
      <c r="AOW33" s="678"/>
      <c r="AOX33" s="678"/>
      <c r="AOY33" s="678"/>
      <c r="AOZ33" s="678"/>
      <c r="APA33" s="678"/>
      <c r="APB33" s="678"/>
      <c r="APC33" s="678"/>
      <c r="APD33" s="678"/>
      <c r="APE33" s="678"/>
      <c r="APF33" s="678"/>
      <c r="APG33" s="678"/>
      <c r="APH33" s="678"/>
      <c r="API33" s="678"/>
      <c r="APJ33" s="678"/>
      <c r="APK33" s="678"/>
      <c r="APL33" s="678"/>
      <c r="APM33" s="678"/>
      <c r="APN33" s="678"/>
      <c r="APO33" s="678"/>
      <c r="APP33" s="678"/>
      <c r="APQ33" s="678"/>
      <c r="APR33" s="678"/>
      <c r="APS33" s="678"/>
      <c r="APT33" s="678"/>
      <c r="APU33" s="678"/>
      <c r="APV33" s="678"/>
      <c r="APW33" s="678"/>
      <c r="APX33" s="678"/>
      <c r="APY33" s="678"/>
      <c r="APZ33" s="678"/>
      <c r="AQA33" s="678"/>
      <c r="AQB33" s="678"/>
      <c r="AQC33" s="678"/>
      <c r="AQD33" s="678"/>
      <c r="AQE33" s="678"/>
      <c r="AQF33" s="678"/>
      <c r="AQG33" s="678"/>
      <c r="AQH33" s="678"/>
      <c r="AQI33" s="678"/>
      <c r="AQJ33" s="678"/>
      <c r="AQK33" s="678"/>
      <c r="AQL33" s="678"/>
      <c r="AQM33" s="678"/>
      <c r="AQN33" s="678"/>
      <c r="AQO33" s="678"/>
      <c r="AQP33" s="678"/>
      <c r="AQQ33" s="678"/>
      <c r="AQR33" s="678"/>
      <c r="AQS33" s="678"/>
      <c r="AQT33" s="678"/>
      <c r="AQU33" s="678"/>
      <c r="AQV33" s="678"/>
      <c r="AQW33" s="678"/>
      <c r="AQX33" s="678"/>
      <c r="AQY33" s="678"/>
      <c r="AQZ33" s="678"/>
      <c r="ARA33" s="678"/>
      <c r="ARB33" s="678"/>
      <c r="ARC33" s="678"/>
      <c r="ARD33" s="678"/>
      <c r="ARE33" s="678"/>
      <c r="ARF33" s="678"/>
      <c r="ARG33" s="678"/>
      <c r="ARH33" s="678"/>
      <c r="ARI33" s="678"/>
      <c r="ARJ33" s="678"/>
      <c r="ARK33" s="678"/>
      <c r="ARL33" s="678"/>
      <c r="ARM33" s="678"/>
      <c r="ARN33" s="678"/>
      <c r="ARO33" s="678"/>
      <c r="ARP33" s="678"/>
      <c r="ARQ33" s="678"/>
      <c r="ARR33" s="678"/>
      <c r="ARS33" s="678"/>
      <c r="ART33" s="678"/>
      <c r="ARU33" s="678"/>
      <c r="ARV33" s="678"/>
      <c r="ARW33" s="678"/>
      <c r="ARX33" s="678"/>
      <c r="ARY33" s="678"/>
      <c r="ARZ33" s="678"/>
      <c r="ASA33" s="678"/>
      <c r="ASB33" s="678"/>
      <c r="ASC33" s="678"/>
      <c r="ASD33" s="678"/>
      <c r="ASE33" s="678"/>
      <c r="ASF33" s="678"/>
      <c r="ASG33" s="678"/>
      <c r="ASH33" s="678"/>
      <c r="ASI33" s="678"/>
      <c r="ASJ33" s="678"/>
      <c r="ASK33" s="678"/>
      <c r="ASL33" s="678"/>
      <c r="ASM33" s="678"/>
      <c r="ASN33" s="678"/>
      <c r="ASO33" s="678"/>
      <c r="ASP33" s="678"/>
      <c r="ASQ33" s="678"/>
      <c r="ASR33" s="678"/>
      <c r="ASS33" s="678"/>
      <c r="AST33" s="678"/>
      <c r="ASU33" s="678"/>
      <c r="ASV33" s="678"/>
      <c r="ASW33" s="678"/>
      <c r="ASX33" s="678"/>
      <c r="ASY33" s="678"/>
      <c r="ASZ33" s="678"/>
      <c r="ATA33" s="678"/>
      <c r="ATB33" s="678"/>
      <c r="ATC33" s="678"/>
      <c r="ATD33" s="678"/>
      <c r="ATE33" s="678"/>
      <c r="ATF33" s="678"/>
      <c r="ATG33" s="678"/>
      <c r="ATH33" s="678"/>
      <c r="ATI33" s="678"/>
      <c r="ATJ33" s="678"/>
      <c r="ATK33" s="678"/>
      <c r="ATL33" s="678"/>
      <c r="ATM33" s="678"/>
      <c r="ATN33" s="678"/>
      <c r="ATO33" s="678"/>
      <c r="ATP33" s="678"/>
      <c r="ATQ33" s="678"/>
      <c r="ATR33" s="678"/>
      <c r="ATS33" s="678"/>
      <c r="ATT33" s="678"/>
      <c r="ATU33" s="678"/>
      <c r="ATV33" s="678"/>
      <c r="ATW33" s="678"/>
      <c r="ATX33" s="678"/>
      <c r="ATY33" s="678"/>
      <c r="ATZ33" s="678"/>
      <c r="AUA33" s="678"/>
      <c r="AUB33" s="678"/>
      <c r="AUC33" s="678"/>
      <c r="AUD33" s="678"/>
      <c r="AUE33" s="678"/>
      <c r="AUF33" s="678"/>
      <c r="AUG33" s="678"/>
      <c r="AUH33" s="678"/>
      <c r="AUI33" s="678"/>
      <c r="AUJ33" s="678"/>
      <c r="AUK33" s="678"/>
      <c r="AUL33" s="678"/>
      <c r="AUM33" s="678"/>
      <c r="AUN33" s="678"/>
      <c r="AUO33" s="678"/>
      <c r="AUP33" s="678"/>
      <c r="AUQ33" s="678"/>
      <c r="AUR33" s="678"/>
      <c r="AUS33" s="678"/>
      <c r="AUT33" s="678"/>
      <c r="AUU33" s="678"/>
      <c r="AUV33" s="678"/>
      <c r="AUW33" s="678"/>
      <c r="AUX33" s="678"/>
      <c r="AUY33" s="678"/>
      <c r="AUZ33" s="678"/>
      <c r="AVA33" s="678"/>
      <c r="AVB33" s="678"/>
      <c r="AVC33" s="678"/>
      <c r="AVD33" s="678"/>
      <c r="AVE33" s="678"/>
      <c r="AVF33" s="678"/>
      <c r="AVG33" s="678"/>
      <c r="AVH33" s="678"/>
      <c r="AVI33" s="678"/>
      <c r="AVJ33" s="678"/>
      <c r="AVK33" s="678"/>
      <c r="AVL33" s="678"/>
      <c r="AVM33" s="678"/>
      <c r="AVN33" s="678"/>
      <c r="AVO33" s="678"/>
      <c r="AVP33" s="678"/>
      <c r="AVQ33" s="678"/>
      <c r="AVR33" s="678"/>
      <c r="AVS33" s="678"/>
      <c r="AVT33" s="678"/>
      <c r="AVU33" s="678"/>
      <c r="AVV33" s="678"/>
      <c r="AVW33" s="678"/>
      <c r="AVX33" s="678"/>
      <c r="AVY33" s="678"/>
      <c r="AVZ33" s="678"/>
      <c r="AWA33" s="678"/>
      <c r="AWB33" s="678"/>
      <c r="AWC33" s="678"/>
      <c r="AWD33" s="678"/>
      <c r="AWE33" s="678"/>
      <c r="AWF33" s="678"/>
      <c r="AWG33" s="678"/>
      <c r="AWH33" s="678"/>
      <c r="AWI33" s="678"/>
      <c r="AWJ33" s="678"/>
      <c r="AWK33" s="678"/>
      <c r="AWL33" s="678"/>
      <c r="AWM33" s="678"/>
      <c r="AWN33" s="678"/>
      <c r="AWO33" s="678"/>
      <c r="AWP33" s="678"/>
      <c r="AWQ33" s="678"/>
      <c r="AWR33" s="678"/>
      <c r="AWS33" s="678"/>
      <c r="AWT33" s="678"/>
      <c r="AWU33" s="678"/>
      <c r="AWV33" s="678"/>
      <c r="AWW33" s="678"/>
      <c r="AWX33" s="678"/>
      <c r="AWY33" s="678"/>
      <c r="AWZ33" s="678"/>
      <c r="AXA33" s="678"/>
      <c r="AXB33" s="678"/>
      <c r="AXC33" s="678"/>
      <c r="AXD33" s="678"/>
      <c r="AXE33" s="678"/>
      <c r="AXF33" s="678"/>
      <c r="AXG33" s="678"/>
      <c r="AXH33" s="678"/>
      <c r="AXI33" s="678"/>
      <c r="AXJ33" s="678"/>
      <c r="AXK33" s="678"/>
      <c r="AXL33" s="678"/>
      <c r="AXM33" s="678"/>
      <c r="AXN33" s="678"/>
      <c r="AXO33" s="678"/>
      <c r="AXP33" s="678"/>
      <c r="AXQ33" s="678"/>
      <c r="AXR33" s="678"/>
      <c r="AXS33" s="678"/>
      <c r="AXT33" s="678"/>
      <c r="AXU33" s="678"/>
      <c r="AXV33" s="678"/>
      <c r="AXW33" s="678"/>
      <c r="AXX33" s="678"/>
      <c r="AXY33" s="678"/>
      <c r="AXZ33" s="678"/>
      <c r="AYA33" s="678"/>
      <c r="AYB33" s="678"/>
      <c r="AYC33" s="678"/>
      <c r="AYD33" s="678"/>
      <c r="AYE33" s="678"/>
      <c r="AYF33" s="678"/>
      <c r="AYG33" s="678"/>
      <c r="AYH33" s="678"/>
      <c r="AYI33" s="678"/>
      <c r="AYJ33" s="678"/>
      <c r="AYK33" s="678"/>
      <c r="AYL33" s="678"/>
      <c r="AYM33" s="678"/>
      <c r="AYN33" s="678"/>
      <c r="AYO33" s="678"/>
      <c r="AYP33" s="678"/>
      <c r="AYQ33" s="678"/>
      <c r="AYR33" s="678"/>
      <c r="AYS33" s="678"/>
      <c r="AYT33" s="678"/>
      <c r="AYU33" s="678"/>
      <c r="AYV33" s="678"/>
      <c r="AYW33" s="678"/>
      <c r="AYX33" s="678"/>
      <c r="AYY33" s="678"/>
      <c r="AYZ33" s="678"/>
      <c r="AZA33" s="678"/>
      <c r="AZB33" s="678"/>
      <c r="AZC33" s="678"/>
      <c r="AZD33" s="678"/>
      <c r="AZE33" s="678"/>
      <c r="AZF33" s="678"/>
      <c r="AZG33" s="678"/>
      <c r="AZH33" s="678"/>
      <c r="AZI33" s="678"/>
      <c r="AZJ33" s="678"/>
      <c r="AZK33" s="678"/>
      <c r="AZL33" s="678"/>
      <c r="AZM33" s="678"/>
      <c r="AZN33" s="678"/>
      <c r="AZO33" s="678"/>
      <c r="AZP33" s="678"/>
      <c r="AZQ33" s="678"/>
      <c r="AZR33" s="678"/>
      <c r="AZS33" s="678"/>
      <c r="AZT33" s="678"/>
      <c r="AZU33" s="678"/>
      <c r="AZV33" s="678"/>
      <c r="AZW33" s="678"/>
      <c r="AZX33" s="678"/>
      <c r="AZY33" s="678"/>
      <c r="AZZ33" s="678"/>
      <c r="BAA33" s="678"/>
      <c r="BAB33" s="678"/>
      <c r="BAC33" s="678"/>
      <c r="BAD33" s="678"/>
      <c r="BAE33" s="678"/>
      <c r="BAF33" s="678"/>
      <c r="BAG33" s="678"/>
      <c r="BAH33" s="678"/>
      <c r="BAI33" s="678"/>
      <c r="BAJ33" s="678"/>
      <c r="BAK33" s="678"/>
      <c r="BAL33" s="678"/>
      <c r="BAM33" s="678"/>
      <c r="BAN33" s="678"/>
      <c r="BAO33" s="678"/>
      <c r="BAP33" s="678"/>
      <c r="BAQ33" s="678"/>
      <c r="BAR33" s="678"/>
      <c r="BAS33" s="678"/>
      <c r="BAT33" s="678"/>
      <c r="BAU33" s="678"/>
      <c r="BAV33" s="678"/>
      <c r="BAW33" s="678"/>
      <c r="BAX33" s="678"/>
      <c r="BAY33" s="678"/>
      <c r="BAZ33" s="678"/>
      <c r="BBA33" s="678"/>
      <c r="BBB33" s="678"/>
      <c r="BBC33" s="678"/>
      <c r="BBD33" s="678"/>
      <c r="BBE33" s="678"/>
      <c r="BBF33" s="678"/>
      <c r="BBG33" s="678"/>
      <c r="BBH33" s="678"/>
      <c r="BBI33" s="678"/>
      <c r="BBJ33" s="678"/>
      <c r="BBK33" s="678"/>
      <c r="BBL33" s="678"/>
      <c r="BBM33" s="678"/>
      <c r="BBN33" s="678"/>
      <c r="BBO33" s="678"/>
      <c r="BBP33" s="678"/>
      <c r="BBQ33" s="678"/>
      <c r="BBR33" s="678"/>
      <c r="BBS33" s="678"/>
      <c r="BBT33" s="678"/>
      <c r="BBU33" s="678"/>
      <c r="BBV33" s="678"/>
      <c r="BBW33" s="678"/>
      <c r="BBX33" s="678"/>
      <c r="BBY33" s="678"/>
      <c r="BBZ33" s="678"/>
      <c r="BCA33" s="678"/>
      <c r="BCB33" s="678"/>
      <c r="BCC33" s="678"/>
      <c r="BCD33" s="678"/>
      <c r="BCE33" s="678"/>
      <c r="BCF33" s="678"/>
      <c r="BCG33" s="678"/>
      <c r="BCH33" s="678"/>
      <c r="BCI33" s="678"/>
      <c r="BCJ33" s="678"/>
      <c r="BCK33" s="678"/>
      <c r="BCL33" s="678"/>
      <c r="BCM33" s="678"/>
      <c r="BCN33" s="678"/>
      <c r="BCO33" s="678"/>
      <c r="BCP33" s="678"/>
      <c r="BCQ33" s="678"/>
      <c r="BCR33" s="678"/>
      <c r="BCS33" s="678"/>
      <c r="BCT33" s="678"/>
      <c r="BCU33" s="678"/>
      <c r="BCV33" s="678"/>
      <c r="BCW33" s="678"/>
      <c r="BCX33" s="678"/>
      <c r="BCY33" s="678"/>
      <c r="BCZ33" s="678"/>
      <c r="BDA33" s="678"/>
      <c r="BDB33" s="678"/>
      <c r="BDC33" s="678"/>
      <c r="BDD33" s="678"/>
      <c r="BDE33" s="678"/>
      <c r="BDF33" s="678"/>
      <c r="BDG33" s="678"/>
      <c r="BDH33" s="678"/>
      <c r="BDI33" s="678"/>
      <c r="BDJ33" s="678"/>
      <c r="BDK33" s="678"/>
      <c r="BDL33" s="678"/>
      <c r="BDM33" s="678"/>
      <c r="BDN33" s="678"/>
      <c r="BDO33" s="678"/>
      <c r="BDP33" s="678"/>
      <c r="BDQ33" s="678"/>
      <c r="BDR33" s="678"/>
      <c r="BDS33" s="678"/>
      <c r="BDT33" s="678"/>
      <c r="BDU33" s="678"/>
      <c r="BDV33" s="678"/>
      <c r="BDW33" s="678"/>
      <c r="BDX33" s="678"/>
      <c r="BDY33" s="678"/>
      <c r="BDZ33" s="678"/>
      <c r="BEA33" s="678"/>
      <c r="BEB33" s="678"/>
      <c r="BEC33" s="678"/>
      <c r="BED33" s="678"/>
      <c r="BEE33" s="678"/>
      <c r="BEF33" s="678"/>
      <c r="BEG33" s="678"/>
      <c r="BEH33" s="678"/>
      <c r="BEI33" s="678"/>
      <c r="BEJ33" s="678"/>
      <c r="BEK33" s="678"/>
      <c r="BEL33" s="678"/>
      <c r="BEM33" s="678"/>
      <c r="BEN33" s="678"/>
      <c r="BEO33" s="678"/>
      <c r="BEP33" s="678"/>
      <c r="BEQ33" s="678"/>
      <c r="BER33" s="678"/>
      <c r="BES33" s="678"/>
      <c r="BET33" s="678"/>
      <c r="BEU33" s="678"/>
      <c r="BEV33" s="678"/>
      <c r="BEW33" s="678"/>
      <c r="BEX33" s="678"/>
      <c r="BEY33" s="678"/>
      <c r="BEZ33" s="678"/>
      <c r="BFA33" s="678"/>
      <c r="BFB33" s="678"/>
      <c r="BFC33" s="678"/>
      <c r="BFD33" s="678"/>
      <c r="BFE33" s="678"/>
      <c r="BFF33" s="678"/>
      <c r="BFG33" s="678"/>
      <c r="BFH33" s="678"/>
      <c r="BFI33" s="678"/>
      <c r="BFJ33" s="678"/>
      <c r="BFK33" s="678"/>
      <c r="BFL33" s="678"/>
      <c r="BFM33" s="678"/>
      <c r="BFN33" s="678"/>
      <c r="BFO33" s="678"/>
      <c r="BFP33" s="678"/>
      <c r="BFQ33" s="678"/>
      <c r="BFR33" s="678"/>
      <c r="BFS33" s="678"/>
      <c r="BFT33" s="678"/>
      <c r="BFU33" s="678"/>
      <c r="BFV33" s="678"/>
      <c r="BFW33" s="678"/>
      <c r="BFX33" s="678"/>
      <c r="BFY33" s="678"/>
      <c r="BFZ33" s="678"/>
      <c r="BGA33" s="678"/>
      <c r="BGB33" s="678"/>
      <c r="BGC33" s="678"/>
      <c r="BGD33" s="678"/>
      <c r="BGE33" s="678"/>
      <c r="BGF33" s="678"/>
      <c r="BGG33" s="678"/>
      <c r="BGH33" s="678"/>
      <c r="BGI33" s="678"/>
      <c r="BGJ33" s="678"/>
      <c r="BGK33" s="678"/>
      <c r="BGL33" s="678"/>
      <c r="BGM33" s="678"/>
      <c r="BGN33" s="678"/>
      <c r="BGO33" s="678"/>
      <c r="BGP33" s="678"/>
      <c r="BGQ33" s="678"/>
      <c r="BGR33" s="678"/>
      <c r="BGS33" s="678"/>
      <c r="BGT33" s="678"/>
      <c r="BGU33" s="678"/>
      <c r="BGV33" s="678"/>
      <c r="BGW33" s="678"/>
      <c r="BGX33" s="678"/>
      <c r="BGY33" s="678"/>
      <c r="BGZ33" s="678"/>
      <c r="BHA33" s="678"/>
      <c r="BHB33" s="678"/>
      <c r="BHC33" s="678"/>
      <c r="BHD33" s="678"/>
      <c r="BHE33" s="678"/>
      <c r="BHF33" s="678"/>
      <c r="BHG33" s="678"/>
      <c r="BHH33" s="678"/>
      <c r="BHI33" s="678"/>
      <c r="BHJ33" s="678"/>
      <c r="BHK33" s="678"/>
      <c r="BHL33" s="678"/>
      <c r="BHM33" s="678"/>
      <c r="BHN33" s="678"/>
      <c r="BHO33" s="678"/>
      <c r="BHP33" s="678"/>
      <c r="BHQ33" s="678"/>
      <c r="BHR33" s="678"/>
      <c r="BHS33" s="678"/>
      <c r="BHT33" s="678"/>
      <c r="BHU33" s="678"/>
      <c r="BHV33" s="678"/>
      <c r="BHW33" s="678"/>
      <c r="BHX33" s="678"/>
      <c r="BHY33" s="678"/>
      <c r="BHZ33" s="678"/>
      <c r="BIA33" s="678"/>
      <c r="BIB33" s="678"/>
      <c r="BIC33" s="678"/>
      <c r="BID33" s="678"/>
      <c r="BIE33" s="678"/>
      <c r="BIF33" s="678"/>
      <c r="BIG33" s="678"/>
      <c r="BIH33" s="678"/>
      <c r="BII33" s="678"/>
      <c r="BIJ33" s="678"/>
      <c r="BIK33" s="678"/>
      <c r="BIL33" s="678"/>
      <c r="BIM33" s="678"/>
      <c r="BIN33" s="678"/>
      <c r="BIO33" s="678"/>
      <c r="BIP33" s="678"/>
      <c r="BIQ33" s="678"/>
      <c r="BIR33" s="678"/>
      <c r="BIS33" s="678"/>
      <c r="BIT33" s="678"/>
      <c r="BIU33" s="678"/>
      <c r="BIV33" s="678"/>
      <c r="BIW33" s="678"/>
      <c r="BIX33" s="678"/>
      <c r="BIY33" s="678"/>
      <c r="BIZ33" s="678"/>
      <c r="BJA33" s="678"/>
      <c r="BJB33" s="678"/>
      <c r="BJC33" s="678"/>
      <c r="BJD33" s="678"/>
      <c r="BJE33" s="678"/>
      <c r="BJF33" s="678"/>
      <c r="BJG33" s="678"/>
      <c r="BJH33" s="678"/>
      <c r="BJI33" s="678"/>
      <c r="BJJ33" s="678"/>
      <c r="BJK33" s="678"/>
      <c r="BJL33" s="678"/>
      <c r="BJM33" s="678"/>
      <c r="BJN33" s="678"/>
      <c r="BJO33" s="678"/>
      <c r="BJP33" s="678"/>
      <c r="BJQ33" s="678"/>
      <c r="BJR33" s="678"/>
      <c r="BJS33" s="678"/>
      <c r="BJT33" s="678"/>
      <c r="BJU33" s="678"/>
      <c r="BJV33" s="678"/>
      <c r="BJW33" s="678"/>
      <c r="BJX33" s="678"/>
      <c r="BJY33" s="678"/>
      <c r="BJZ33" s="678"/>
      <c r="BKA33" s="678"/>
      <c r="BKB33" s="678"/>
      <c r="BKC33" s="678"/>
      <c r="BKD33" s="678"/>
      <c r="BKE33" s="678"/>
      <c r="BKF33" s="678"/>
      <c r="BKG33" s="678"/>
      <c r="BKH33" s="678"/>
      <c r="BKI33" s="678"/>
      <c r="BKJ33" s="678"/>
      <c r="BKK33" s="678"/>
      <c r="BKL33" s="678"/>
      <c r="BKM33" s="678"/>
      <c r="BKN33" s="678"/>
      <c r="BKO33" s="678"/>
      <c r="BKP33" s="678"/>
      <c r="BKQ33" s="678"/>
      <c r="BKR33" s="678"/>
      <c r="BKS33" s="678"/>
      <c r="BKT33" s="678"/>
      <c r="BKU33" s="678"/>
      <c r="BKV33" s="678"/>
      <c r="BKW33" s="678"/>
      <c r="BKX33" s="678"/>
      <c r="BKY33" s="678"/>
      <c r="BKZ33" s="678"/>
      <c r="BLA33" s="678"/>
      <c r="BLB33" s="678"/>
      <c r="BLC33" s="678"/>
      <c r="BLD33" s="678"/>
      <c r="BLE33" s="678"/>
      <c r="BLF33" s="678"/>
      <c r="BLG33" s="678"/>
      <c r="BLH33" s="678"/>
      <c r="BLI33" s="678"/>
      <c r="BLJ33" s="678"/>
      <c r="BLK33" s="678"/>
      <c r="BLL33" s="678"/>
      <c r="BLM33" s="678"/>
      <c r="BLN33" s="678"/>
      <c r="BLO33" s="678"/>
      <c r="BLP33" s="678"/>
      <c r="BLQ33" s="678"/>
      <c r="BLR33" s="678"/>
      <c r="BLS33" s="678"/>
      <c r="BLT33" s="678"/>
      <c r="BLU33" s="678"/>
      <c r="BLV33" s="678"/>
      <c r="BLW33" s="678"/>
      <c r="BLX33" s="678"/>
      <c r="BLY33" s="678"/>
      <c r="BLZ33" s="678"/>
      <c r="BMA33" s="678"/>
      <c r="BMB33" s="678"/>
      <c r="BMC33" s="678"/>
      <c r="BMD33" s="678"/>
      <c r="BME33" s="678"/>
      <c r="BMF33" s="678"/>
      <c r="BMG33" s="678"/>
      <c r="BMH33" s="678"/>
      <c r="BMI33" s="678"/>
      <c r="BMJ33" s="678"/>
      <c r="BMK33" s="678"/>
      <c r="BML33" s="678"/>
      <c r="BMM33" s="678"/>
      <c r="BMN33" s="678"/>
      <c r="BMO33" s="678"/>
      <c r="BMP33" s="678"/>
      <c r="BMQ33" s="678"/>
      <c r="BMR33" s="678"/>
      <c r="BMS33" s="678"/>
      <c r="BMT33" s="678"/>
      <c r="BMU33" s="678"/>
      <c r="BMV33" s="678"/>
      <c r="BMW33" s="678"/>
      <c r="BMX33" s="678"/>
      <c r="BMY33" s="678"/>
      <c r="BMZ33" s="678"/>
      <c r="BNA33" s="678"/>
      <c r="BNB33" s="678"/>
      <c r="BNC33" s="678"/>
      <c r="BND33" s="678"/>
      <c r="BNE33" s="678"/>
      <c r="BNF33" s="678"/>
      <c r="BNG33" s="678"/>
      <c r="BNH33" s="678"/>
      <c r="BNI33" s="678"/>
      <c r="BNJ33" s="678"/>
      <c r="BNK33" s="678"/>
      <c r="BNL33" s="678"/>
      <c r="BNM33" s="678"/>
      <c r="BNN33" s="678"/>
      <c r="BNO33" s="678"/>
      <c r="BNP33" s="678"/>
      <c r="BNQ33" s="678"/>
      <c r="BNR33" s="678"/>
      <c r="BNS33" s="678"/>
      <c r="BNT33" s="678"/>
      <c r="BNU33" s="678"/>
      <c r="BNV33" s="678"/>
      <c r="BNW33" s="678"/>
      <c r="BNX33" s="678"/>
      <c r="BNY33" s="678"/>
      <c r="BNZ33" s="678"/>
      <c r="BOA33" s="678"/>
      <c r="BOB33" s="678"/>
      <c r="BOC33" s="678"/>
      <c r="BOD33" s="678"/>
      <c r="BOE33" s="678"/>
      <c r="BOF33" s="678"/>
      <c r="BOG33" s="678"/>
      <c r="BOH33" s="678"/>
      <c r="BOI33" s="678"/>
      <c r="BOJ33" s="678"/>
      <c r="BOK33" s="678"/>
      <c r="BOL33" s="678"/>
      <c r="BOM33" s="678"/>
      <c r="BON33" s="678"/>
      <c r="BOO33" s="678"/>
      <c r="BOP33" s="678"/>
      <c r="BOQ33" s="678"/>
      <c r="BOR33" s="678"/>
      <c r="BOS33" s="678"/>
      <c r="BOT33" s="678"/>
      <c r="BOU33" s="678"/>
      <c r="BOV33" s="678"/>
      <c r="BOW33" s="678"/>
      <c r="BOX33" s="678"/>
      <c r="BOY33" s="678"/>
      <c r="BOZ33" s="678"/>
      <c r="BPA33" s="678"/>
      <c r="BPB33" s="678"/>
      <c r="BPC33" s="678"/>
      <c r="BPD33" s="678"/>
      <c r="BPE33" s="678"/>
      <c r="BPF33" s="678"/>
      <c r="BPG33" s="678"/>
      <c r="BPH33" s="678"/>
      <c r="BPI33" s="678"/>
      <c r="BPJ33" s="678"/>
      <c r="BPK33" s="678"/>
      <c r="BPL33" s="678"/>
      <c r="BPM33" s="678"/>
      <c r="BPN33" s="678"/>
      <c r="BPO33" s="678"/>
      <c r="BPP33" s="678"/>
      <c r="BPQ33" s="678"/>
      <c r="BPR33" s="678"/>
      <c r="BPS33" s="678"/>
      <c r="BPT33" s="678"/>
      <c r="BPU33" s="678"/>
      <c r="BPV33" s="678"/>
      <c r="BPW33" s="678"/>
      <c r="BPX33" s="678"/>
      <c r="BPY33" s="678"/>
      <c r="BPZ33" s="678"/>
      <c r="BQA33" s="678"/>
      <c r="BQB33" s="678"/>
      <c r="BQC33" s="678"/>
      <c r="BQD33" s="678"/>
      <c r="BQE33" s="678"/>
      <c r="BQF33" s="678"/>
      <c r="BQG33" s="678"/>
      <c r="BQH33" s="678"/>
      <c r="BQI33" s="678"/>
      <c r="BQJ33" s="678"/>
      <c r="BQK33" s="678"/>
      <c r="BQL33" s="678"/>
      <c r="BQM33" s="678"/>
      <c r="BQN33" s="678"/>
      <c r="BQO33" s="678"/>
      <c r="BQP33" s="678"/>
      <c r="BQQ33" s="678"/>
      <c r="BQR33" s="678"/>
      <c r="BQS33" s="678"/>
      <c r="BQT33" s="678"/>
      <c r="BQU33" s="678"/>
      <c r="BQV33" s="678"/>
      <c r="BQW33" s="678"/>
      <c r="BQX33" s="678"/>
      <c r="BQY33" s="678"/>
      <c r="BQZ33" s="678"/>
      <c r="BRA33" s="678"/>
      <c r="BRB33" s="678"/>
      <c r="BRC33" s="678"/>
      <c r="BRD33" s="678"/>
      <c r="BRE33" s="678"/>
      <c r="BRF33" s="678"/>
      <c r="BRG33" s="678"/>
      <c r="BRH33" s="678"/>
      <c r="BRI33" s="678"/>
      <c r="BRJ33" s="678"/>
      <c r="BRK33" s="678"/>
      <c r="BRL33" s="678"/>
      <c r="BRM33" s="678"/>
      <c r="BRN33" s="678"/>
      <c r="BRO33" s="678"/>
      <c r="BRP33" s="678"/>
      <c r="BRQ33" s="678"/>
      <c r="BRR33" s="678"/>
      <c r="BRS33" s="678"/>
      <c r="BRT33" s="678"/>
      <c r="BRU33" s="678"/>
      <c r="BRV33" s="678"/>
      <c r="BRW33" s="678"/>
      <c r="BRX33" s="678"/>
      <c r="BRY33" s="678"/>
      <c r="BRZ33" s="678"/>
      <c r="BSA33" s="678"/>
      <c r="BSB33" s="678"/>
      <c r="BSC33" s="678"/>
      <c r="BSD33" s="678"/>
      <c r="BSE33" s="678"/>
      <c r="BSF33" s="678"/>
      <c r="BSG33" s="678"/>
      <c r="BSH33" s="678"/>
      <c r="BSI33" s="678"/>
      <c r="BSJ33" s="678"/>
      <c r="BSK33" s="678"/>
      <c r="BSL33" s="678"/>
      <c r="BSM33" s="678"/>
      <c r="BSN33" s="678"/>
      <c r="BSO33" s="678"/>
      <c r="BSP33" s="678"/>
      <c r="BSQ33" s="678"/>
      <c r="BSR33" s="678"/>
      <c r="BSS33" s="678"/>
      <c r="BST33" s="678"/>
      <c r="BSU33" s="678"/>
      <c r="BSV33" s="678"/>
      <c r="BSW33" s="678"/>
      <c r="BSX33" s="678"/>
      <c r="BSY33" s="678"/>
      <c r="BSZ33" s="678"/>
      <c r="BTA33" s="678"/>
      <c r="BTB33" s="678"/>
      <c r="BTC33" s="678"/>
      <c r="BTD33" s="678"/>
      <c r="BTE33" s="678"/>
      <c r="BTF33" s="678"/>
      <c r="BTG33" s="678"/>
      <c r="BTH33" s="678"/>
      <c r="BTI33" s="678"/>
      <c r="BTJ33" s="678"/>
      <c r="BTK33" s="678"/>
      <c r="BTL33" s="678"/>
      <c r="BTM33" s="678"/>
      <c r="BTN33" s="678"/>
      <c r="BTO33" s="678"/>
      <c r="BTP33" s="678"/>
      <c r="BTQ33" s="678"/>
      <c r="BTR33" s="678"/>
      <c r="BTS33" s="678"/>
      <c r="BTT33" s="678"/>
      <c r="BTU33" s="678"/>
      <c r="BTV33" s="678"/>
      <c r="BTW33" s="678"/>
      <c r="BTX33" s="678"/>
      <c r="BTY33" s="678"/>
      <c r="BTZ33" s="678"/>
      <c r="BUA33" s="678"/>
      <c r="BUB33" s="678"/>
      <c r="BUC33" s="678"/>
      <c r="BUD33" s="678"/>
      <c r="BUE33" s="678"/>
      <c r="BUF33" s="678"/>
      <c r="BUG33" s="678"/>
      <c r="BUH33" s="678"/>
      <c r="BUI33" s="678"/>
      <c r="BUJ33" s="678"/>
      <c r="BUK33" s="678"/>
      <c r="BUL33" s="678"/>
      <c r="BUM33" s="678"/>
      <c r="BUN33" s="678"/>
      <c r="BUO33" s="678"/>
      <c r="BUP33" s="678"/>
      <c r="BUQ33" s="678"/>
      <c r="BUR33" s="678"/>
      <c r="BUS33" s="678"/>
      <c r="BUT33" s="678"/>
      <c r="BUU33" s="678"/>
      <c r="BUV33" s="678"/>
      <c r="BUW33" s="678"/>
      <c r="BUX33" s="678"/>
      <c r="BUY33" s="678"/>
      <c r="BUZ33" s="678"/>
      <c r="BVA33" s="678"/>
      <c r="BVB33" s="678"/>
      <c r="BVC33" s="678"/>
      <c r="BVD33" s="678"/>
      <c r="BVE33" s="678"/>
      <c r="BVF33" s="678"/>
      <c r="BVG33" s="678"/>
      <c r="BVH33" s="678"/>
      <c r="BVI33" s="678"/>
      <c r="BVJ33" s="678"/>
      <c r="BVK33" s="678"/>
      <c r="BVL33" s="678"/>
      <c r="BVM33" s="678"/>
      <c r="BVN33" s="678"/>
      <c r="BVO33" s="678"/>
      <c r="BVP33" s="678"/>
      <c r="BVQ33" s="678"/>
      <c r="BVR33" s="678"/>
      <c r="BVS33" s="678"/>
      <c r="BVT33" s="678"/>
      <c r="BVU33" s="678"/>
      <c r="BVV33" s="678"/>
      <c r="BVW33" s="678"/>
      <c r="BVX33" s="678"/>
      <c r="BVY33" s="678"/>
      <c r="BVZ33" s="678"/>
      <c r="BWA33" s="678"/>
      <c r="BWB33" s="678"/>
      <c r="BWC33" s="678"/>
      <c r="BWD33" s="678"/>
      <c r="BWE33" s="678"/>
      <c r="BWF33" s="678"/>
      <c r="BWG33" s="678"/>
      <c r="BWH33" s="678"/>
      <c r="BWI33" s="678"/>
      <c r="BWJ33" s="678"/>
      <c r="BWK33" s="678"/>
      <c r="BWL33" s="678"/>
      <c r="BWM33" s="678"/>
      <c r="BWN33" s="678"/>
      <c r="BWO33" s="678"/>
      <c r="BWP33" s="678"/>
      <c r="BWQ33" s="678"/>
      <c r="BWR33" s="678"/>
      <c r="BWS33" s="678"/>
      <c r="BWT33" s="678"/>
      <c r="BWU33" s="678"/>
      <c r="BWV33" s="678"/>
      <c r="BWW33" s="678"/>
      <c r="BWX33" s="678"/>
      <c r="BWY33" s="678"/>
      <c r="BWZ33" s="678"/>
      <c r="BXA33" s="678"/>
      <c r="BXB33" s="678"/>
      <c r="BXC33" s="678"/>
      <c r="BXD33" s="678"/>
      <c r="BXE33" s="678"/>
      <c r="BXF33" s="678"/>
      <c r="BXG33" s="678"/>
      <c r="BXH33" s="678"/>
      <c r="BXI33" s="678"/>
      <c r="BXJ33" s="678"/>
      <c r="BXK33" s="678"/>
      <c r="BXL33" s="678"/>
      <c r="BXM33" s="678"/>
      <c r="BXN33" s="678"/>
      <c r="BXO33" s="678"/>
      <c r="BXP33" s="678"/>
      <c r="BXQ33" s="678"/>
      <c r="BXR33" s="678"/>
      <c r="BXS33" s="678"/>
      <c r="BXT33" s="678"/>
      <c r="BXU33" s="678"/>
      <c r="BXV33" s="678"/>
      <c r="BXW33" s="678"/>
      <c r="BXX33" s="678"/>
      <c r="BXY33" s="678"/>
      <c r="BXZ33" s="678"/>
      <c r="BYA33" s="678"/>
      <c r="BYB33" s="678"/>
      <c r="BYC33" s="678"/>
      <c r="BYD33" s="678"/>
      <c r="BYE33" s="678"/>
      <c r="BYF33" s="678"/>
      <c r="BYG33" s="678"/>
      <c r="BYH33" s="678"/>
      <c r="BYI33" s="678"/>
      <c r="BYJ33" s="678"/>
      <c r="BYK33" s="678"/>
      <c r="BYL33" s="678"/>
      <c r="BYM33" s="678"/>
      <c r="BYN33" s="678"/>
      <c r="BYO33" s="678"/>
      <c r="BYP33" s="678"/>
      <c r="BYQ33" s="678"/>
      <c r="BYR33" s="678"/>
      <c r="BYS33" s="678"/>
      <c r="BYT33" s="678"/>
      <c r="BYU33" s="678"/>
      <c r="BYV33" s="678"/>
      <c r="BYW33" s="678"/>
      <c r="BYX33" s="678"/>
      <c r="BYY33" s="678"/>
      <c r="BYZ33" s="678"/>
      <c r="BZA33" s="678"/>
      <c r="BZB33" s="678"/>
      <c r="BZC33" s="678"/>
      <c r="BZD33" s="678"/>
      <c r="BZE33" s="678"/>
      <c r="BZF33" s="678"/>
      <c r="BZG33" s="678"/>
      <c r="BZH33" s="678"/>
      <c r="BZI33" s="678"/>
      <c r="BZJ33" s="678"/>
      <c r="BZK33" s="678"/>
      <c r="BZL33" s="678"/>
      <c r="BZM33" s="678"/>
      <c r="BZN33" s="678"/>
      <c r="BZO33" s="678"/>
      <c r="BZP33" s="678"/>
      <c r="BZQ33" s="678"/>
      <c r="BZR33" s="678"/>
      <c r="BZS33" s="678"/>
      <c r="BZT33" s="678"/>
      <c r="BZU33" s="678"/>
      <c r="BZV33" s="678"/>
      <c r="BZW33" s="678"/>
      <c r="BZX33" s="678"/>
      <c r="BZY33" s="678"/>
      <c r="BZZ33" s="678"/>
      <c r="CAA33" s="678"/>
      <c r="CAB33" s="678"/>
      <c r="CAC33" s="678"/>
      <c r="CAD33" s="678"/>
      <c r="CAE33" s="678"/>
      <c r="CAF33" s="678"/>
      <c r="CAG33" s="678"/>
      <c r="CAH33" s="678"/>
      <c r="CAI33" s="678"/>
      <c r="CAJ33" s="678"/>
      <c r="CAK33" s="678"/>
      <c r="CAL33" s="678"/>
      <c r="CAM33" s="678"/>
      <c r="CAN33" s="678"/>
      <c r="CAO33" s="678"/>
      <c r="CAP33" s="678"/>
      <c r="CAQ33" s="678"/>
      <c r="CAR33" s="678"/>
      <c r="CAS33" s="678"/>
      <c r="CAT33" s="678"/>
      <c r="CAU33" s="678"/>
      <c r="CAV33" s="678"/>
      <c r="CAW33" s="678"/>
      <c r="CAX33" s="678"/>
      <c r="CAY33" s="678"/>
      <c r="CAZ33" s="678"/>
      <c r="CBA33" s="678"/>
      <c r="CBB33" s="678"/>
      <c r="CBC33" s="678"/>
      <c r="CBD33" s="678"/>
      <c r="CBE33" s="678"/>
      <c r="CBF33" s="678"/>
      <c r="CBG33" s="678"/>
      <c r="CBH33" s="678"/>
      <c r="CBI33" s="678"/>
      <c r="CBJ33" s="678"/>
      <c r="CBK33" s="678"/>
      <c r="CBL33" s="678"/>
      <c r="CBM33" s="678"/>
      <c r="CBN33" s="678"/>
      <c r="CBO33" s="678"/>
      <c r="CBP33" s="678"/>
      <c r="CBQ33" s="678"/>
      <c r="CBR33" s="678"/>
      <c r="CBS33" s="678"/>
      <c r="CBT33" s="678"/>
      <c r="CBU33" s="678"/>
      <c r="CBV33" s="678"/>
      <c r="CBW33" s="678"/>
      <c r="CBX33" s="678"/>
      <c r="CBY33" s="678"/>
      <c r="CBZ33" s="678"/>
      <c r="CCA33" s="678"/>
      <c r="CCB33" s="678"/>
      <c r="CCC33" s="678"/>
      <c r="CCD33" s="678"/>
      <c r="CCE33" s="678"/>
      <c r="CCF33" s="678"/>
      <c r="CCG33" s="678"/>
      <c r="CCH33" s="678"/>
      <c r="CCI33" s="678"/>
      <c r="CCJ33" s="678"/>
      <c r="CCK33" s="678"/>
      <c r="CCL33" s="678"/>
      <c r="CCM33" s="678"/>
      <c r="CCN33" s="678"/>
      <c r="CCO33" s="678"/>
      <c r="CCP33" s="678"/>
      <c r="CCQ33" s="678"/>
      <c r="CCR33" s="678"/>
      <c r="CCS33" s="678"/>
      <c r="CCT33" s="678"/>
      <c r="CCU33" s="678"/>
      <c r="CCV33" s="678"/>
      <c r="CCW33" s="678"/>
      <c r="CCX33" s="678"/>
      <c r="CCY33" s="678"/>
      <c r="CCZ33" s="678"/>
      <c r="CDA33" s="678"/>
      <c r="CDB33" s="678"/>
      <c r="CDC33" s="678"/>
      <c r="CDD33" s="678"/>
      <c r="CDE33" s="678"/>
      <c r="CDF33" s="678"/>
      <c r="CDG33" s="678"/>
      <c r="CDH33" s="678"/>
      <c r="CDI33" s="678"/>
      <c r="CDJ33" s="678"/>
      <c r="CDK33" s="678"/>
      <c r="CDL33" s="678"/>
      <c r="CDM33" s="678"/>
      <c r="CDN33" s="678"/>
      <c r="CDO33" s="678"/>
      <c r="CDP33" s="678"/>
      <c r="CDQ33" s="678"/>
      <c r="CDR33" s="678"/>
      <c r="CDS33" s="678"/>
      <c r="CDT33" s="678"/>
      <c r="CDU33" s="678"/>
      <c r="CDV33" s="678"/>
      <c r="CDW33" s="678"/>
      <c r="CDX33" s="678"/>
      <c r="CDY33" s="678"/>
      <c r="CDZ33" s="678"/>
      <c r="CEA33" s="678"/>
      <c r="CEB33" s="678"/>
      <c r="CEC33" s="678"/>
      <c r="CED33" s="678"/>
      <c r="CEE33" s="678"/>
      <c r="CEF33" s="678"/>
      <c r="CEG33" s="678"/>
      <c r="CEH33" s="678"/>
      <c r="CEI33" s="678"/>
      <c r="CEJ33" s="678"/>
      <c r="CEK33" s="678"/>
      <c r="CEL33" s="678"/>
      <c r="CEM33" s="678"/>
      <c r="CEN33" s="678"/>
      <c r="CEO33" s="678"/>
      <c r="CEP33" s="678"/>
      <c r="CEQ33" s="678"/>
      <c r="CER33" s="678"/>
      <c r="CES33" s="678"/>
      <c r="CET33" s="678"/>
      <c r="CEU33" s="678"/>
      <c r="CEV33" s="678"/>
      <c r="CEW33" s="678"/>
      <c r="CEX33" s="678"/>
      <c r="CEY33" s="678"/>
      <c r="CEZ33" s="678"/>
      <c r="CFA33" s="678"/>
      <c r="CFB33" s="678"/>
      <c r="CFC33" s="678"/>
      <c r="CFD33" s="678"/>
      <c r="CFE33" s="678"/>
      <c r="CFF33" s="678"/>
      <c r="CFG33" s="678"/>
      <c r="CFH33" s="678"/>
      <c r="CFI33" s="678"/>
      <c r="CFJ33" s="678"/>
      <c r="CFK33" s="678"/>
      <c r="CFL33" s="678"/>
      <c r="CFM33" s="678"/>
      <c r="CFN33" s="678"/>
      <c r="CFO33" s="678"/>
      <c r="CFP33" s="678"/>
      <c r="CFQ33" s="678"/>
      <c r="CFR33" s="678"/>
      <c r="CFS33" s="678"/>
      <c r="CFT33" s="678"/>
      <c r="CFU33" s="678"/>
      <c r="CFV33" s="678"/>
      <c r="CFW33" s="678"/>
      <c r="CFX33" s="678"/>
      <c r="CFY33" s="678"/>
      <c r="CFZ33" s="678"/>
      <c r="CGA33" s="678"/>
      <c r="CGB33" s="678"/>
      <c r="CGC33" s="678"/>
      <c r="CGD33" s="678"/>
      <c r="CGE33" s="678"/>
      <c r="CGF33" s="678"/>
      <c r="CGG33" s="678"/>
      <c r="CGH33" s="678"/>
      <c r="CGI33" s="678"/>
      <c r="CGJ33" s="678"/>
      <c r="CGK33" s="678"/>
      <c r="CGL33" s="678"/>
      <c r="CGM33" s="678"/>
      <c r="CGN33" s="678"/>
      <c r="CGO33" s="678"/>
      <c r="CGP33" s="678"/>
      <c r="CGQ33" s="678"/>
      <c r="CGR33" s="678"/>
      <c r="CGS33" s="678"/>
      <c r="CGT33" s="678"/>
      <c r="CGU33" s="678"/>
      <c r="CGV33" s="678"/>
      <c r="CGW33" s="678"/>
      <c r="CGX33" s="678"/>
      <c r="CGY33" s="678"/>
      <c r="CGZ33" s="678"/>
      <c r="CHA33" s="678"/>
      <c r="CHB33" s="678"/>
      <c r="CHC33" s="678"/>
      <c r="CHD33" s="678"/>
      <c r="CHE33" s="678"/>
      <c r="CHF33" s="678"/>
      <c r="CHG33" s="678"/>
      <c r="CHH33" s="678"/>
      <c r="CHI33" s="678"/>
      <c r="CHJ33" s="678"/>
      <c r="CHK33" s="678"/>
      <c r="CHL33" s="678"/>
      <c r="CHM33" s="678"/>
      <c r="CHN33" s="678"/>
      <c r="CHO33" s="678"/>
      <c r="CHP33" s="678"/>
      <c r="CHQ33" s="678"/>
      <c r="CHR33" s="678"/>
      <c r="CHS33" s="678"/>
      <c r="CHT33" s="678"/>
      <c r="CHU33" s="678"/>
      <c r="CHV33" s="678"/>
      <c r="CHW33" s="678"/>
      <c r="CHX33" s="678"/>
      <c r="CHY33" s="678"/>
      <c r="CHZ33" s="678"/>
      <c r="CIA33" s="678"/>
      <c r="CIB33" s="678"/>
      <c r="CIC33" s="678"/>
      <c r="CID33" s="678"/>
      <c r="CIE33" s="678"/>
      <c r="CIF33" s="678"/>
      <c r="CIG33" s="678"/>
      <c r="CIH33" s="678"/>
      <c r="CII33" s="678"/>
      <c r="CIJ33" s="678"/>
      <c r="CIK33" s="678"/>
      <c r="CIL33" s="678"/>
      <c r="CIM33" s="678"/>
      <c r="CIN33" s="678"/>
      <c r="CIO33" s="678"/>
      <c r="CIP33" s="678"/>
      <c r="CIQ33" s="678"/>
      <c r="CIR33" s="678"/>
      <c r="CIS33" s="678"/>
      <c r="CIT33" s="678"/>
      <c r="CIU33" s="678"/>
      <c r="CIV33" s="678"/>
      <c r="CIW33" s="678"/>
      <c r="CIX33" s="678"/>
      <c r="CIY33" s="678"/>
      <c r="CIZ33" s="678"/>
      <c r="CJA33" s="678"/>
      <c r="CJB33" s="678"/>
      <c r="CJC33" s="678"/>
      <c r="CJD33" s="678"/>
      <c r="CJE33" s="678"/>
      <c r="CJF33" s="678"/>
      <c r="CJG33" s="678"/>
      <c r="CJH33" s="678"/>
      <c r="CJI33" s="678"/>
      <c r="CJJ33" s="678"/>
      <c r="CJK33" s="678"/>
      <c r="CJL33" s="678"/>
      <c r="CJM33" s="678"/>
      <c r="CJN33" s="678"/>
      <c r="CJO33" s="678"/>
      <c r="CJP33" s="678"/>
      <c r="CJQ33" s="678"/>
      <c r="CJR33" s="678"/>
      <c r="CJS33" s="678"/>
      <c r="CJT33" s="678"/>
      <c r="CJU33" s="678"/>
      <c r="CJV33" s="678"/>
      <c r="CJW33" s="678"/>
      <c r="CJX33" s="678"/>
      <c r="CJY33" s="678"/>
      <c r="CJZ33" s="678"/>
      <c r="CKA33" s="678"/>
      <c r="CKB33" s="678"/>
      <c r="CKC33" s="678"/>
      <c r="CKD33" s="678"/>
      <c r="CKE33" s="678"/>
      <c r="CKF33" s="678"/>
      <c r="CKG33" s="678"/>
      <c r="CKH33" s="678"/>
      <c r="CKI33" s="678"/>
      <c r="CKJ33" s="678"/>
      <c r="CKK33" s="678"/>
      <c r="CKL33" s="678"/>
      <c r="CKM33" s="678"/>
      <c r="CKN33" s="678"/>
      <c r="CKO33" s="678"/>
      <c r="CKP33" s="678"/>
      <c r="CKQ33" s="678"/>
      <c r="CKR33" s="678"/>
      <c r="CKS33" s="678"/>
      <c r="CKT33" s="678"/>
      <c r="CKU33" s="678"/>
      <c r="CKV33" s="678"/>
      <c r="CKW33" s="678"/>
      <c r="CKX33" s="678"/>
      <c r="CKY33" s="678"/>
      <c r="CKZ33" s="678"/>
      <c r="CLA33" s="678"/>
      <c r="CLB33" s="678"/>
      <c r="CLC33" s="678"/>
      <c r="CLD33" s="678"/>
      <c r="CLE33" s="678"/>
      <c r="CLF33" s="678"/>
      <c r="CLG33" s="678"/>
      <c r="CLH33" s="678"/>
      <c r="CLI33" s="678"/>
      <c r="CLJ33" s="678"/>
      <c r="CLK33" s="678"/>
      <c r="CLL33" s="678"/>
      <c r="CLM33" s="678"/>
      <c r="CLN33" s="678"/>
      <c r="CLO33" s="678"/>
      <c r="CLP33" s="678"/>
      <c r="CLQ33" s="678"/>
      <c r="CLR33" s="678"/>
      <c r="CLS33" s="678"/>
      <c r="CLT33" s="678"/>
      <c r="CLU33" s="678"/>
      <c r="CLV33" s="678"/>
      <c r="CLW33" s="678"/>
      <c r="CLX33" s="678"/>
      <c r="CLY33" s="678"/>
      <c r="CLZ33" s="678"/>
      <c r="CMA33" s="678"/>
      <c r="CMB33" s="678"/>
      <c r="CMC33" s="678"/>
      <c r="CMD33" s="678"/>
      <c r="CME33" s="678"/>
      <c r="CMF33" s="678"/>
      <c r="CMG33" s="678"/>
      <c r="CMH33" s="678"/>
      <c r="CMI33" s="678"/>
      <c r="CMJ33" s="678"/>
      <c r="CMK33" s="678"/>
      <c r="CML33" s="678"/>
      <c r="CMM33" s="678"/>
      <c r="CMN33" s="678"/>
      <c r="CMO33" s="678"/>
      <c r="CMP33" s="678"/>
      <c r="CMQ33" s="678"/>
      <c r="CMR33" s="678"/>
      <c r="CMS33" s="678"/>
      <c r="CMT33" s="678"/>
      <c r="CMU33" s="678"/>
      <c r="CMV33" s="678"/>
      <c r="CMW33" s="678"/>
      <c r="CMX33" s="678"/>
      <c r="CMY33" s="678"/>
      <c r="CMZ33" s="678"/>
      <c r="CNA33" s="678"/>
      <c r="CNB33" s="678"/>
      <c r="CNC33" s="678"/>
      <c r="CND33" s="678"/>
      <c r="CNE33" s="678"/>
      <c r="CNF33" s="678"/>
      <c r="CNG33" s="678"/>
      <c r="CNH33" s="678"/>
      <c r="CNI33" s="678"/>
      <c r="CNJ33" s="678"/>
      <c r="CNK33" s="678"/>
      <c r="CNL33" s="678"/>
      <c r="CNM33" s="678"/>
      <c r="CNN33" s="678"/>
      <c r="CNO33" s="678"/>
      <c r="CNP33" s="678"/>
      <c r="CNQ33" s="678"/>
      <c r="CNR33" s="678"/>
      <c r="CNS33" s="678"/>
      <c r="CNT33" s="678"/>
      <c r="CNU33" s="678"/>
      <c r="CNV33" s="678"/>
      <c r="CNW33" s="678"/>
      <c r="CNX33" s="678"/>
      <c r="CNY33" s="678"/>
      <c r="CNZ33" s="678"/>
      <c r="COA33" s="678"/>
      <c r="COB33" s="678"/>
      <c r="COC33" s="678"/>
      <c r="COD33" s="678"/>
      <c r="COE33" s="678"/>
      <c r="COF33" s="678"/>
      <c r="COG33" s="678"/>
      <c r="COH33" s="678"/>
      <c r="COI33" s="678"/>
      <c r="COJ33" s="678"/>
      <c r="COK33" s="678"/>
      <c r="COL33" s="678"/>
      <c r="COM33" s="678"/>
      <c r="CON33" s="678"/>
      <c r="COO33" s="678"/>
      <c r="COP33" s="678"/>
      <c r="COQ33" s="678"/>
      <c r="COR33" s="678"/>
      <c r="COS33" s="678"/>
      <c r="COT33" s="678"/>
      <c r="COU33" s="678"/>
      <c r="COV33" s="678"/>
      <c r="COW33" s="678"/>
      <c r="COX33" s="678"/>
      <c r="COY33" s="678"/>
      <c r="COZ33" s="678"/>
      <c r="CPA33" s="678"/>
      <c r="CPB33" s="678"/>
      <c r="CPC33" s="678"/>
      <c r="CPD33" s="678"/>
      <c r="CPE33" s="678"/>
      <c r="CPF33" s="678"/>
      <c r="CPG33" s="678"/>
      <c r="CPH33" s="678"/>
      <c r="CPI33" s="678"/>
      <c r="CPJ33" s="678"/>
      <c r="CPK33" s="678"/>
      <c r="CPL33" s="678"/>
      <c r="CPM33" s="678"/>
      <c r="CPN33" s="678"/>
      <c r="CPO33" s="678"/>
      <c r="CPP33" s="678"/>
      <c r="CPQ33" s="678"/>
      <c r="CPR33" s="678"/>
      <c r="CPS33" s="678"/>
      <c r="CPT33" s="678"/>
      <c r="CPU33" s="678"/>
      <c r="CPV33" s="678"/>
      <c r="CPW33" s="678"/>
      <c r="CPX33" s="678"/>
      <c r="CPY33" s="678"/>
      <c r="CPZ33" s="678"/>
      <c r="CQA33" s="678"/>
      <c r="CQB33" s="678"/>
      <c r="CQC33" s="678"/>
      <c r="CQD33" s="678"/>
      <c r="CQE33" s="678"/>
      <c r="CQF33" s="678"/>
      <c r="CQG33" s="678"/>
      <c r="CQH33" s="678"/>
      <c r="CQI33" s="678"/>
      <c r="CQJ33" s="678"/>
      <c r="CQK33" s="678"/>
      <c r="CQL33" s="678"/>
      <c r="CQM33" s="678"/>
      <c r="CQN33" s="678"/>
      <c r="CQO33" s="678"/>
      <c r="CQP33" s="678"/>
      <c r="CQQ33" s="678"/>
      <c r="CQR33" s="678"/>
      <c r="CQS33" s="678"/>
      <c r="CQT33" s="678"/>
      <c r="CQU33" s="678"/>
      <c r="CQV33" s="678"/>
      <c r="CQW33" s="678"/>
      <c r="CQX33" s="678"/>
      <c r="CQY33" s="678"/>
      <c r="CQZ33" s="678"/>
      <c r="CRA33" s="678"/>
      <c r="CRB33" s="678"/>
      <c r="CRC33" s="678"/>
      <c r="CRD33" s="678"/>
      <c r="CRE33" s="678"/>
      <c r="CRF33" s="678"/>
      <c r="CRG33" s="678"/>
      <c r="CRH33" s="678"/>
      <c r="CRI33" s="678"/>
      <c r="CRJ33" s="678"/>
      <c r="CRK33" s="678"/>
      <c r="CRL33" s="678"/>
      <c r="CRM33" s="678"/>
      <c r="CRN33" s="678"/>
      <c r="CRO33" s="678"/>
      <c r="CRP33" s="678"/>
      <c r="CRQ33" s="678"/>
      <c r="CRR33" s="678"/>
      <c r="CRS33" s="678"/>
      <c r="CRT33" s="678"/>
      <c r="CRU33" s="678"/>
      <c r="CRV33" s="678"/>
      <c r="CRW33" s="678"/>
      <c r="CRX33" s="678"/>
      <c r="CRY33" s="678"/>
      <c r="CRZ33" s="678"/>
      <c r="CSA33" s="678"/>
      <c r="CSB33" s="678"/>
      <c r="CSC33" s="678"/>
      <c r="CSD33" s="678"/>
      <c r="CSE33" s="678"/>
      <c r="CSF33" s="678"/>
      <c r="CSG33" s="678"/>
      <c r="CSH33" s="678"/>
      <c r="CSI33" s="678"/>
      <c r="CSJ33" s="678"/>
      <c r="CSK33" s="678"/>
      <c r="CSL33" s="678"/>
      <c r="CSM33" s="678"/>
      <c r="CSN33" s="678"/>
      <c r="CSO33" s="678"/>
      <c r="CSP33" s="678"/>
      <c r="CSQ33" s="678"/>
      <c r="CSR33" s="678"/>
      <c r="CSS33" s="678"/>
      <c r="CST33" s="678"/>
      <c r="CSU33" s="678"/>
      <c r="CSV33" s="678"/>
      <c r="CSW33" s="678"/>
      <c r="CSX33" s="678"/>
      <c r="CSY33" s="678"/>
      <c r="CSZ33" s="678"/>
      <c r="CTA33" s="678"/>
      <c r="CTB33" s="678"/>
      <c r="CTC33" s="678"/>
      <c r="CTD33" s="678"/>
      <c r="CTE33" s="678"/>
      <c r="CTF33" s="678"/>
      <c r="CTG33" s="678"/>
      <c r="CTH33" s="678"/>
      <c r="CTI33" s="678"/>
      <c r="CTJ33" s="678"/>
      <c r="CTK33" s="678"/>
      <c r="CTL33" s="678"/>
      <c r="CTM33" s="678"/>
      <c r="CTN33" s="678"/>
      <c r="CTO33" s="678"/>
      <c r="CTP33" s="678"/>
      <c r="CTQ33" s="678"/>
      <c r="CTR33" s="678"/>
      <c r="CTS33" s="678"/>
      <c r="CTT33" s="678"/>
      <c r="CTU33" s="678"/>
      <c r="CTV33" s="678"/>
      <c r="CTW33" s="678"/>
      <c r="CTX33" s="678"/>
      <c r="CTY33" s="678"/>
      <c r="CTZ33" s="678"/>
      <c r="CUA33" s="678"/>
      <c r="CUB33" s="678"/>
      <c r="CUC33" s="678"/>
      <c r="CUD33" s="678"/>
      <c r="CUE33" s="678"/>
      <c r="CUF33" s="678"/>
      <c r="CUG33" s="678"/>
      <c r="CUH33" s="678"/>
      <c r="CUI33" s="678"/>
      <c r="CUJ33" s="678"/>
      <c r="CUK33" s="678"/>
      <c r="CUL33" s="678"/>
      <c r="CUM33" s="678"/>
      <c r="CUN33" s="678"/>
      <c r="CUO33" s="678"/>
      <c r="CUP33" s="678"/>
      <c r="CUQ33" s="678"/>
      <c r="CUR33" s="678"/>
      <c r="CUS33" s="678"/>
      <c r="CUT33" s="678"/>
      <c r="CUU33" s="678"/>
      <c r="CUV33" s="678"/>
      <c r="CUW33" s="678"/>
      <c r="CUX33" s="678"/>
      <c r="CUY33" s="678"/>
      <c r="CUZ33" s="678"/>
      <c r="CVA33" s="678"/>
      <c r="CVB33" s="678"/>
      <c r="CVC33" s="678"/>
      <c r="CVD33" s="678"/>
      <c r="CVE33" s="678"/>
      <c r="CVF33" s="678"/>
      <c r="CVG33" s="678"/>
      <c r="CVH33" s="678"/>
      <c r="CVI33" s="678"/>
      <c r="CVJ33" s="678"/>
      <c r="CVK33" s="678"/>
      <c r="CVL33" s="678"/>
      <c r="CVM33" s="678"/>
      <c r="CVN33" s="678"/>
      <c r="CVO33" s="678"/>
      <c r="CVP33" s="678"/>
      <c r="CVQ33" s="678"/>
      <c r="CVR33" s="678"/>
      <c r="CVS33" s="678"/>
      <c r="CVT33" s="678"/>
      <c r="CVU33" s="678"/>
      <c r="CVV33" s="678"/>
      <c r="CVW33" s="678"/>
      <c r="CVX33" s="678"/>
      <c r="CVY33" s="678"/>
      <c r="CVZ33" s="678"/>
      <c r="CWA33" s="678"/>
      <c r="CWB33" s="678"/>
      <c r="CWC33" s="678"/>
      <c r="CWD33" s="678"/>
      <c r="CWE33" s="678"/>
      <c r="CWF33" s="678"/>
      <c r="CWG33" s="678"/>
      <c r="CWH33" s="678"/>
      <c r="CWI33" s="678"/>
      <c r="CWJ33" s="678"/>
      <c r="CWK33" s="678"/>
      <c r="CWL33" s="678"/>
      <c r="CWM33" s="678"/>
      <c r="CWN33" s="678"/>
      <c r="CWO33" s="678"/>
      <c r="CWP33" s="678"/>
      <c r="CWQ33" s="678"/>
      <c r="CWR33" s="678"/>
      <c r="CWS33" s="678"/>
      <c r="CWT33" s="678"/>
      <c r="CWU33" s="678"/>
      <c r="CWV33" s="678"/>
      <c r="CWW33" s="678"/>
      <c r="CWX33" s="678"/>
      <c r="CWY33" s="678"/>
      <c r="CWZ33" s="678"/>
      <c r="CXA33" s="678"/>
      <c r="CXB33" s="678"/>
      <c r="CXC33" s="678"/>
      <c r="CXD33" s="678"/>
      <c r="CXE33" s="678"/>
      <c r="CXF33" s="678"/>
      <c r="CXG33" s="678"/>
      <c r="CXH33" s="678"/>
      <c r="CXI33" s="678"/>
      <c r="CXJ33" s="678"/>
      <c r="CXK33" s="678"/>
      <c r="CXL33" s="678"/>
      <c r="CXM33" s="678"/>
      <c r="CXN33" s="678"/>
      <c r="CXO33" s="678"/>
      <c r="CXP33" s="678"/>
      <c r="CXQ33" s="678"/>
      <c r="CXR33" s="678"/>
      <c r="CXS33" s="678"/>
      <c r="CXT33" s="678"/>
      <c r="CXU33" s="678"/>
      <c r="CXV33" s="678"/>
      <c r="CXW33" s="678"/>
      <c r="CXX33" s="678"/>
      <c r="CXY33" s="678"/>
      <c r="CXZ33" s="678"/>
      <c r="CYA33" s="678"/>
      <c r="CYB33" s="678"/>
      <c r="CYC33" s="678"/>
      <c r="CYD33" s="678"/>
      <c r="CYE33" s="678"/>
      <c r="CYF33" s="678"/>
      <c r="CYG33" s="678"/>
      <c r="CYH33" s="678"/>
      <c r="CYI33" s="678"/>
      <c r="CYJ33" s="678"/>
      <c r="CYK33" s="678"/>
      <c r="CYL33" s="678"/>
      <c r="CYM33" s="678"/>
      <c r="CYN33" s="678"/>
      <c r="CYO33" s="678"/>
      <c r="CYP33" s="678"/>
      <c r="CYQ33" s="678"/>
      <c r="CYR33" s="678"/>
      <c r="CYS33" s="678"/>
      <c r="CYT33" s="678"/>
      <c r="CYU33" s="678"/>
      <c r="CYV33" s="678"/>
      <c r="CYW33" s="678"/>
      <c r="CYX33" s="678"/>
      <c r="CYY33" s="678"/>
      <c r="CYZ33" s="678"/>
      <c r="CZA33" s="678"/>
      <c r="CZB33" s="678"/>
      <c r="CZC33" s="678"/>
      <c r="CZD33" s="678"/>
      <c r="CZE33" s="678"/>
      <c r="CZF33" s="678"/>
      <c r="CZG33" s="678"/>
      <c r="CZH33" s="678"/>
      <c r="CZI33" s="678"/>
      <c r="CZJ33" s="678"/>
      <c r="CZK33" s="678"/>
      <c r="CZL33" s="678"/>
      <c r="CZM33" s="678"/>
      <c r="CZN33" s="678"/>
      <c r="CZO33" s="678"/>
      <c r="CZP33" s="678"/>
      <c r="CZQ33" s="678"/>
      <c r="CZR33" s="678"/>
      <c r="CZS33" s="678"/>
      <c r="CZT33" s="678"/>
      <c r="CZU33" s="678"/>
      <c r="CZV33" s="678"/>
      <c r="CZW33" s="678"/>
      <c r="CZX33" s="678"/>
      <c r="CZY33" s="678"/>
      <c r="CZZ33" s="678"/>
      <c r="DAA33" s="678"/>
      <c r="DAB33" s="678"/>
      <c r="DAC33" s="678"/>
      <c r="DAD33" s="678"/>
      <c r="DAE33" s="678"/>
      <c r="DAF33" s="678"/>
      <c r="DAG33" s="678"/>
      <c r="DAH33" s="678"/>
      <c r="DAI33" s="678"/>
      <c r="DAJ33" s="678"/>
      <c r="DAK33" s="678"/>
      <c r="DAL33" s="678"/>
      <c r="DAM33" s="678"/>
      <c r="DAN33" s="678"/>
      <c r="DAO33" s="678"/>
      <c r="DAP33" s="678"/>
      <c r="DAQ33" s="678"/>
      <c r="DAR33" s="678"/>
      <c r="DAS33" s="678"/>
      <c r="DAT33" s="678"/>
      <c r="DAU33" s="678"/>
      <c r="DAV33" s="678"/>
      <c r="DAW33" s="678"/>
      <c r="DAX33" s="678"/>
      <c r="DAY33" s="678"/>
      <c r="DAZ33" s="678"/>
      <c r="DBA33" s="678"/>
      <c r="DBB33" s="678"/>
      <c r="DBC33" s="678"/>
      <c r="DBD33" s="678"/>
      <c r="DBE33" s="678"/>
      <c r="DBF33" s="678"/>
      <c r="DBG33" s="678"/>
      <c r="DBH33" s="678"/>
      <c r="DBI33" s="678"/>
      <c r="DBJ33" s="678"/>
      <c r="DBK33" s="678"/>
      <c r="DBL33" s="678"/>
      <c r="DBM33" s="678"/>
      <c r="DBN33" s="678"/>
      <c r="DBO33" s="678"/>
      <c r="DBP33" s="678"/>
      <c r="DBQ33" s="678"/>
      <c r="DBR33" s="678"/>
      <c r="DBS33" s="678"/>
      <c r="DBT33" s="678"/>
      <c r="DBU33" s="678"/>
      <c r="DBV33" s="678"/>
      <c r="DBW33" s="678"/>
      <c r="DBX33" s="678"/>
      <c r="DBY33" s="678"/>
      <c r="DBZ33" s="678"/>
      <c r="DCA33" s="678"/>
      <c r="DCB33" s="678"/>
      <c r="DCC33" s="678"/>
      <c r="DCD33" s="678"/>
      <c r="DCE33" s="678"/>
      <c r="DCF33" s="678"/>
      <c r="DCG33" s="678"/>
      <c r="DCH33" s="678"/>
      <c r="DCI33" s="678"/>
      <c r="DCJ33" s="678"/>
      <c r="DCK33" s="678"/>
      <c r="DCL33" s="678"/>
      <c r="DCM33" s="678"/>
      <c r="DCN33" s="678"/>
      <c r="DCO33" s="678"/>
      <c r="DCP33" s="678"/>
      <c r="DCQ33" s="678"/>
      <c r="DCR33" s="678"/>
      <c r="DCS33" s="678"/>
      <c r="DCT33" s="678"/>
      <c r="DCU33" s="678"/>
      <c r="DCV33" s="678"/>
      <c r="DCW33" s="678"/>
      <c r="DCX33" s="678"/>
      <c r="DCY33" s="678"/>
      <c r="DCZ33" s="678"/>
      <c r="DDA33" s="678"/>
      <c r="DDB33" s="678"/>
      <c r="DDC33" s="678"/>
      <c r="DDD33" s="678"/>
      <c r="DDE33" s="678"/>
      <c r="DDF33" s="678"/>
      <c r="DDG33" s="678"/>
      <c r="DDH33" s="678"/>
      <c r="DDI33" s="678"/>
      <c r="DDJ33" s="678"/>
      <c r="DDK33" s="678"/>
      <c r="DDL33" s="678"/>
      <c r="DDM33" s="678"/>
      <c r="DDN33" s="678"/>
      <c r="DDO33" s="678"/>
      <c r="DDP33" s="678"/>
      <c r="DDQ33" s="678"/>
      <c r="DDR33" s="678"/>
      <c r="DDS33" s="678"/>
      <c r="DDT33" s="678"/>
      <c r="DDU33" s="678"/>
      <c r="DDV33" s="678"/>
      <c r="DDW33" s="678"/>
      <c r="DDX33" s="678"/>
      <c r="DDY33" s="678"/>
      <c r="DDZ33" s="678"/>
      <c r="DEA33" s="678"/>
      <c r="DEB33" s="678"/>
      <c r="DEC33" s="678"/>
      <c r="DED33" s="678"/>
      <c r="DEE33" s="678"/>
      <c r="DEF33" s="678"/>
      <c r="DEG33" s="678"/>
      <c r="DEH33" s="678"/>
      <c r="DEI33" s="678"/>
      <c r="DEJ33" s="678"/>
      <c r="DEK33" s="678"/>
      <c r="DEL33" s="678"/>
      <c r="DEM33" s="678"/>
      <c r="DEN33" s="678"/>
      <c r="DEO33" s="678"/>
      <c r="DEP33" s="678"/>
      <c r="DEQ33" s="678"/>
      <c r="DER33" s="678"/>
      <c r="DES33" s="678"/>
      <c r="DET33" s="678"/>
      <c r="DEU33" s="678"/>
      <c r="DEV33" s="678"/>
      <c r="DEW33" s="678"/>
      <c r="DEX33" s="678"/>
      <c r="DEY33" s="678"/>
      <c r="DEZ33" s="678"/>
      <c r="DFA33" s="678"/>
      <c r="DFB33" s="678"/>
      <c r="DFC33" s="678"/>
      <c r="DFD33" s="678"/>
      <c r="DFE33" s="678"/>
      <c r="DFF33" s="678"/>
      <c r="DFG33" s="678"/>
      <c r="DFH33" s="678"/>
      <c r="DFI33" s="678"/>
      <c r="DFJ33" s="678"/>
      <c r="DFK33" s="678"/>
      <c r="DFL33" s="678"/>
      <c r="DFM33" s="678"/>
      <c r="DFN33" s="678"/>
      <c r="DFO33" s="678"/>
      <c r="DFP33" s="678"/>
      <c r="DFQ33" s="678"/>
      <c r="DFR33" s="678"/>
      <c r="DFS33" s="678"/>
      <c r="DFT33" s="678"/>
      <c r="DFU33" s="678"/>
      <c r="DFV33" s="678"/>
      <c r="DFW33" s="678"/>
      <c r="DFX33" s="678"/>
      <c r="DFY33" s="678"/>
      <c r="DFZ33" s="678"/>
      <c r="DGA33" s="678"/>
      <c r="DGB33" s="678"/>
      <c r="DGC33" s="678"/>
      <c r="DGD33" s="678"/>
      <c r="DGE33" s="678"/>
      <c r="DGF33" s="678"/>
      <c r="DGG33" s="678"/>
      <c r="DGH33" s="678"/>
      <c r="DGI33" s="678"/>
      <c r="DGJ33" s="678"/>
      <c r="DGK33" s="678"/>
      <c r="DGL33" s="678"/>
      <c r="DGM33" s="678"/>
      <c r="DGN33" s="678"/>
      <c r="DGO33" s="678"/>
      <c r="DGP33" s="678"/>
      <c r="DGQ33" s="678"/>
      <c r="DGR33" s="678"/>
      <c r="DGS33" s="678"/>
      <c r="DGT33" s="678"/>
      <c r="DGU33" s="678"/>
      <c r="DGV33" s="678"/>
      <c r="DGW33" s="678"/>
      <c r="DGX33" s="678"/>
      <c r="DGY33" s="678"/>
      <c r="DGZ33" s="678"/>
      <c r="DHA33" s="678"/>
      <c r="DHB33" s="678"/>
      <c r="DHC33" s="678"/>
      <c r="DHD33" s="678"/>
      <c r="DHE33" s="678"/>
      <c r="DHF33" s="678"/>
      <c r="DHG33" s="678"/>
      <c r="DHH33" s="678"/>
      <c r="DHI33" s="678"/>
      <c r="DHJ33" s="678"/>
      <c r="DHK33" s="678"/>
      <c r="DHL33" s="678"/>
      <c r="DHM33" s="678"/>
      <c r="DHN33" s="678"/>
      <c r="DHO33" s="678"/>
      <c r="DHP33" s="678"/>
      <c r="DHQ33" s="678"/>
      <c r="DHR33" s="678"/>
      <c r="DHS33" s="678"/>
      <c r="DHT33" s="678"/>
      <c r="DHU33" s="678"/>
      <c r="DHV33" s="678"/>
      <c r="DHW33" s="678"/>
      <c r="DHX33" s="678"/>
      <c r="DHY33" s="678"/>
      <c r="DHZ33" s="678"/>
      <c r="DIA33" s="678"/>
      <c r="DIB33" s="678"/>
      <c r="DIC33" s="678"/>
      <c r="DID33" s="678"/>
      <c r="DIE33" s="678"/>
      <c r="DIF33" s="678"/>
      <c r="DIG33" s="678"/>
      <c r="DIH33" s="678"/>
      <c r="DII33" s="678"/>
      <c r="DIJ33" s="678"/>
      <c r="DIK33" s="678"/>
      <c r="DIL33" s="678"/>
      <c r="DIM33" s="678"/>
      <c r="DIN33" s="678"/>
      <c r="DIO33" s="678"/>
      <c r="DIP33" s="678"/>
      <c r="DIQ33" s="678"/>
      <c r="DIR33" s="678"/>
      <c r="DIS33" s="678"/>
      <c r="DIT33" s="678"/>
      <c r="DIU33" s="678"/>
      <c r="DIV33" s="678"/>
      <c r="DIW33" s="678"/>
      <c r="DIX33" s="678"/>
      <c r="DIY33" s="678"/>
      <c r="DIZ33" s="678"/>
      <c r="DJA33" s="678"/>
      <c r="DJB33" s="678"/>
      <c r="DJC33" s="678"/>
      <c r="DJD33" s="678"/>
      <c r="DJE33" s="678"/>
      <c r="DJF33" s="678"/>
      <c r="DJG33" s="678"/>
      <c r="DJH33" s="678"/>
      <c r="DJI33" s="678"/>
      <c r="DJJ33" s="678"/>
      <c r="DJK33" s="678"/>
      <c r="DJL33" s="678"/>
      <c r="DJM33" s="678"/>
      <c r="DJN33" s="678"/>
      <c r="DJO33" s="678"/>
      <c r="DJP33" s="678"/>
      <c r="DJQ33" s="678"/>
      <c r="DJR33" s="678"/>
      <c r="DJS33" s="678"/>
      <c r="DJT33" s="678"/>
      <c r="DJU33" s="678"/>
      <c r="DJV33" s="678"/>
      <c r="DJW33" s="678"/>
      <c r="DJX33" s="678"/>
      <c r="DJY33" s="678"/>
      <c r="DJZ33" s="678"/>
      <c r="DKA33" s="678"/>
      <c r="DKB33" s="678"/>
      <c r="DKC33" s="678"/>
      <c r="DKD33" s="678"/>
      <c r="DKE33" s="678"/>
      <c r="DKF33" s="678"/>
      <c r="DKG33" s="678"/>
      <c r="DKH33" s="678"/>
      <c r="DKI33" s="678"/>
      <c r="DKJ33" s="678"/>
      <c r="DKK33" s="678"/>
      <c r="DKL33" s="678"/>
      <c r="DKM33" s="678"/>
      <c r="DKN33" s="678"/>
      <c r="DKO33" s="678"/>
      <c r="DKP33" s="678"/>
      <c r="DKQ33" s="678"/>
      <c r="DKR33" s="678"/>
      <c r="DKS33" s="678"/>
      <c r="DKT33" s="678"/>
      <c r="DKU33" s="678"/>
      <c r="DKV33" s="678"/>
      <c r="DKW33" s="678"/>
      <c r="DKX33" s="678"/>
      <c r="DKY33" s="678"/>
      <c r="DKZ33" s="678"/>
      <c r="DLA33" s="678"/>
      <c r="DLB33" s="678"/>
      <c r="DLC33" s="678"/>
      <c r="DLD33" s="678"/>
      <c r="DLE33" s="678"/>
      <c r="DLF33" s="678"/>
      <c r="DLG33" s="678"/>
      <c r="DLH33" s="678"/>
      <c r="DLI33" s="678"/>
      <c r="DLJ33" s="678"/>
      <c r="DLK33" s="678"/>
      <c r="DLL33" s="678"/>
      <c r="DLM33" s="678"/>
      <c r="DLN33" s="678"/>
      <c r="DLO33" s="678"/>
      <c r="DLP33" s="678"/>
      <c r="DLQ33" s="678"/>
      <c r="DLR33" s="678"/>
      <c r="DLS33" s="678"/>
      <c r="DLT33" s="678"/>
      <c r="DLU33" s="678"/>
      <c r="DLV33" s="678"/>
      <c r="DLW33" s="678"/>
      <c r="DLX33" s="678"/>
      <c r="DLY33" s="678"/>
      <c r="DLZ33" s="678"/>
      <c r="DMA33" s="678"/>
      <c r="DMB33" s="678"/>
      <c r="DMC33" s="678"/>
      <c r="DMD33" s="678"/>
      <c r="DME33" s="678"/>
      <c r="DMF33" s="678"/>
      <c r="DMG33" s="678"/>
      <c r="DMH33" s="678"/>
      <c r="DMI33" s="678"/>
      <c r="DMJ33" s="678"/>
      <c r="DMK33" s="678"/>
      <c r="DML33" s="678"/>
      <c r="DMM33" s="678"/>
      <c r="DMN33" s="678"/>
      <c r="DMO33" s="678"/>
      <c r="DMP33" s="678"/>
      <c r="DMQ33" s="678"/>
      <c r="DMR33" s="678"/>
      <c r="DMS33" s="678"/>
      <c r="DMT33" s="678"/>
      <c r="DMU33" s="678"/>
      <c r="DMV33" s="678"/>
      <c r="DMW33" s="678"/>
      <c r="DMX33" s="678"/>
      <c r="DMY33" s="678"/>
      <c r="DMZ33" s="678"/>
      <c r="DNA33" s="678"/>
      <c r="DNB33" s="678"/>
      <c r="DNC33" s="678"/>
      <c r="DND33" s="678"/>
      <c r="DNE33" s="678"/>
      <c r="DNF33" s="678"/>
      <c r="DNG33" s="678"/>
      <c r="DNH33" s="678"/>
      <c r="DNI33" s="678"/>
      <c r="DNJ33" s="678"/>
      <c r="DNK33" s="678"/>
      <c r="DNL33" s="678"/>
      <c r="DNM33" s="678"/>
      <c r="DNN33" s="678"/>
      <c r="DNO33" s="678"/>
      <c r="DNP33" s="678"/>
      <c r="DNQ33" s="678"/>
      <c r="DNR33" s="678"/>
      <c r="DNS33" s="678"/>
      <c r="DNT33" s="678"/>
      <c r="DNU33" s="678"/>
      <c r="DNV33" s="678"/>
      <c r="DNW33" s="678"/>
      <c r="DNX33" s="678"/>
      <c r="DNY33" s="678"/>
      <c r="DNZ33" s="678"/>
      <c r="DOA33" s="678"/>
      <c r="DOB33" s="678"/>
      <c r="DOC33" s="678"/>
      <c r="DOD33" s="678"/>
      <c r="DOE33" s="678"/>
      <c r="DOF33" s="678"/>
      <c r="DOG33" s="678"/>
      <c r="DOH33" s="678"/>
      <c r="DOI33" s="678"/>
      <c r="DOJ33" s="678"/>
      <c r="DOK33" s="678"/>
      <c r="DOL33" s="678"/>
      <c r="DOM33" s="678"/>
      <c r="DON33" s="678"/>
      <c r="DOO33" s="678"/>
      <c r="DOP33" s="678"/>
      <c r="DOQ33" s="678"/>
      <c r="DOR33" s="678"/>
      <c r="DOS33" s="678"/>
      <c r="DOT33" s="678"/>
      <c r="DOU33" s="678"/>
      <c r="DOV33" s="678"/>
      <c r="DOW33" s="678"/>
      <c r="DOX33" s="678"/>
      <c r="DOY33" s="678"/>
      <c r="DOZ33" s="678"/>
      <c r="DPA33" s="678"/>
      <c r="DPB33" s="678"/>
      <c r="DPC33" s="678"/>
      <c r="DPD33" s="678"/>
      <c r="DPE33" s="678"/>
      <c r="DPF33" s="678"/>
      <c r="DPG33" s="678"/>
      <c r="DPH33" s="678"/>
      <c r="DPI33" s="678"/>
      <c r="DPJ33" s="678"/>
      <c r="DPK33" s="678"/>
      <c r="DPL33" s="678"/>
      <c r="DPM33" s="678"/>
      <c r="DPN33" s="678"/>
      <c r="DPO33" s="678"/>
      <c r="DPP33" s="678"/>
      <c r="DPQ33" s="678"/>
      <c r="DPR33" s="678"/>
      <c r="DPS33" s="678"/>
      <c r="DPT33" s="678"/>
      <c r="DPU33" s="678"/>
      <c r="DPV33" s="678"/>
      <c r="DPW33" s="678"/>
      <c r="DPX33" s="678"/>
      <c r="DPY33" s="678"/>
      <c r="DPZ33" s="678"/>
      <c r="DQA33" s="678"/>
      <c r="DQB33" s="678"/>
      <c r="DQC33" s="678"/>
      <c r="DQD33" s="678"/>
      <c r="DQE33" s="678"/>
      <c r="DQF33" s="678"/>
      <c r="DQG33" s="678"/>
      <c r="DQH33" s="678"/>
      <c r="DQI33" s="678"/>
      <c r="DQJ33" s="678"/>
      <c r="DQK33" s="678"/>
      <c r="DQL33" s="678"/>
      <c r="DQM33" s="678"/>
      <c r="DQN33" s="678"/>
      <c r="DQO33" s="678"/>
      <c r="DQP33" s="678"/>
      <c r="DQQ33" s="678"/>
      <c r="DQR33" s="678"/>
      <c r="DQS33" s="678"/>
      <c r="DQT33" s="678"/>
      <c r="DQU33" s="678"/>
      <c r="DQV33" s="678"/>
      <c r="DQW33" s="678"/>
      <c r="DQX33" s="678"/>
      <c r="DQY33" s="678"/>
      <c r="DQZ33" s="678"/>
      <c r="DRA33" s="678"/>
      <c r="DRB33" s="678"/>
      <c r="DRC33" s="678"/>
      <c r="DRD33" s="678"/>
      <c r="DRE33" s="678"/>
      <c r="DRF33" s="678"/>
      <c r="DRG33" s="678"/>
      <c r="DRH33" s="678"/>
      <c r="DRI33" s="678"/>
      <c r="DRJ33" s="678"/>
      <c r="DRK33" s="678"/>
      <c r="DRL33" s="678"/>
      <c r="DRM33" s="678"/>
      <c r="DRN33" s="678"/>
      <c r="DRO33" s="678"/>
      <c r="DRP33" s="678"/>
      <c r="DRQ33" s="678"/>
      <c r="DRR33" s="678"/>
      <c r="DRS33" s="678"/>
      <c r="DRT33" s="678"/>
      <c r="DRU33" s="678"/>
      <c r="DRV33" s="678"/>
      <c r="DRW33" s="678"/>
      <c r="DRX33" s="678"/>
      <c r="DRY33" s="678"/>
      <c r="DRZ33" s="678"/>
      <c r="DSA33" s="678"/>
      <c r="DSB33" s="678"/>
      <c r="DSC33" s="678"/>
      <c r="DSD33" s="678"/>
      <c r="DSE33" s="678"/>
      <c r="DSF33" s="678"/>
      <c r="DSG33" s="678"/>
      <c r="DSH33" s="678"/>
      <c r="DSI33" s="678"/>
      <c r="DSJ33" s="678"/>
      <c r="DSK33" s="678"/>
      <c r="DSL33" s="678"/>
      <c r="DSM33" s="678"/>
      <c r="DSN33" s="678"/>
      <c r="DSO33" s="678"/>
      <c r="DSP33" s="678"/>
      <c r="DSQ33" s="678"/>
      <c r="DSR33" s="678"/>
      <c r="DSS33" s="678"/>
      <c r="DST33" s="678"/>
      <c r="DSU33" s="678"/>
      <c r="DSV33" s="678"/>
      <c r="DSW33" s="678"/>
      <c r="DSX33" s="678"/>
      <c r="DSY33" s="678"/>
      <c r="DSZ33" s="678"/>
      <c r="DTA33" s="678"/>
      <c r="DTB33" s="678"/>
      <c r="DTC33" s="678"/>
      <c r="DTD33" s="678"/>
      <c r="DTE33" s="678"/>
      <c r="DTF33" s="678"/>
      <c r="DTG33" s="678"/>
      <c r="DTH33" s="678"/>
      <c r="DTI33" s="678"/>
      <c r="DTJ33" s="678"/>
      <c r="DTK33" s="678"/>
      <c r="DTL33" s="678"/>
      <c r="DTM33" s="678"/>
      <c r="DTN33" s="678"/>
      <c r="DTO33" s="678"/>
      <c r="DTP33" s="678"/>
      <c r="DTQ33" s="678"/>
      <c r="DTR33" s="678"/>
      <c r="DTS33" s="678"/>
      <c r="DTT33" s="678"/>
      <c r="DTU33" s="678"/>
      <c r="DTV33" s="678"/>
      <c r="DTW33" s="678"/>
      <c r="DTX33" s="678"/>
      <c r="DTY33" s="678"/>
      <c r="DTZ33" s="678"/>
      <c r="DUA33" s="678"/>
      <c r="DUB33" s="678"/>
      <c r="DUC33" s="678"/>
      <c r="DUD33" s="678"/>
      <c r="DUE33" s="678"/>
      <c r="DUF33" s="678"/>
      <c r="DUG33" s="678"/>
      <c r="DUH33" s="678"/>
      <c r="DUI33" s="678"/>
      <c r="DUJ33" s="678"/>
      <c r="DUK33" s="678"/>
      <c r="DUL33" s="678"/>
      <c r="DUM33" s="678"/>
      <c r="DUN33" s="678"/>
      <c r="DUO33" s="678"/>
      <c r="DUP33" s="678"/>
      <c r="DUQ33" s="678"/>
      <c r="DUR33" s="678"/>
      <c r="DUS33" s="678"/>
      <c r="DUT33" s="678"/>
      <c r="DUU33" s="678"/>
      <c r="DUV33" s="678"/>
      <c r="DUW33" s="678"/>
      <c r="DUX33" s="678"/>
      <c r="DUY33" s="678"/>
      <c r="DUZ33" s="678"/>
      <c r="DVA33" s="678"/>
      <c r="DVB33" s="678"/>
      <c r="DVC33" s="678"/>
      <c r="DVD33" s="678"/>
      <c r="DVE33" s="678"/>
      <c r="DVF33" s="678"/>
      <c r="DVG33" s="678"/>
      <c r="DVH33" s="678"/>
      <c r="DVI33" s="678"/>
      <c r="DVJ33" s="678"/>
      <c r="DVK33" s="678"/>
      <c r="DVL33" s="678"/>
      <c r="DVM33" s="678"/>
      <c r="DVN33" s="678"/>
      <c r="DVO33" s="678"/>
      <c r="DVP33" s="678"/>
      <c r="DVQ33" s="678"/>
      <c r="DVR33" s="678"/>
      <c r="DVS33" s="678"/>
      <c r="DVT33" s="678"/>
      <c r="DVU33" s="678"/>
      <c r="DVV33" s="678"/>
      <c r="DVW33" s="678"/>
      <c r="DVX33" s="678"/>
      <c r="DVY33" s="678"/>
      <c r="DVZ33" s="678"/>
      <c r="DWA33" s="678"/>
      <c r="DWB33" s="678"/>
      <c r="DWC33" s="678"/>
      <c r="DWD33" s="678"/>
      <c r="DWE33" s="678"/>
      <c r="DWF33" s="678"/>
      <c r="DWG33" s="678"/>
      <c r="DWH33" s="678"/>
      <c r="DWI33" s="678"/>
      <c r="DWJ33" s="678"/>
      <c r="DWK33" s="678"/>
      <c r="DWL33" s="678"/>
      <c r="DWM33" s="678"/>
      <c r="DWN33" s="678"/>
      <c r="DWO33" s="678"/>
      <c r="DWP33" s="678"/>
      <c r="DWQ33" s="678"/>
      <c r="DWR33" s="678"/>
      <c r="DWS33" s="678"/>
      <c r="DWT33" s="678"/>
      <c r="DWU33" s="678"/>
      <c r="DWV33" s="678"/>
      <c r="DWW33" s="678"/>
      <c r="DWX33" s="678"/>
      <c r="DWY33" s="678"/>
      <c r="DWZ33" s="678"/>
      <c r="DXA33" s="678"/>
      <c r="DXB33" s="678"/>
      <c r="DXC33" s="678"/>
      <c r="DXD33" s="678"/>
      <c r="DXE33" s="678"/>
      <c r="DXF33" s="678"/>
      <c r="DXG33" s="678"/>
      <c r="DXH33" s="678"/>
      <c r="DXI33" s="678"/>
      <c r="DXJ33" s="678"/>
      <c r="DXK33" s="678"/>
      <c r="DXL33" s="678"/>
      <c r="DXM33" s="678"/>
      <c r="DXN33" s="678"/>
      <c r="DXO33" s="678"/>
      <c r="DXP33" s="678"/>
      <c r="DXQ33" s="678"/>
      <c r="DXR33" s="678"/>
      <c r="DXS33" s="678"/>
      <c r="DXT33" s="678"/>
      <c r="DXU33" s="678"/>
      <c r="DXV33" s="678"/>
      <c r="DXW33" s="678"/>
      <c r="DXX33" s="678"/>
      <c r="DXY33" s="678"/>
      <c r="DXZ33" s="678"/>
      <c r="DYA33" s="678"/>
      <c r="DYB33" s="678"/>
      <c r="DYC33" s="678"/>
      <c r="DYD33" s="678"/>
      <c r="DYE33" s="678"/>
      <c r="DYF33" s="678"/>
      <c r="DYG33" s="678"/>
      <c r="DYH33" s="678"/>
      <c r="DYI33" s="678"/>
      <c r="DYJ33" s="678"/>
      <c r="DYK33" s="678"/>
      <c r="DYL33" s="678"/>
      <c r="DYM33" s="678"/>
      <c r="DYN33" s="678"/>
      <c r="DYO33" s="678"/>
      <c r="DYP33" s="678"/>
      <c r="DYQ33" s="678"/>
      <c r="DYR33" s="678"/>
      <c r="DYS33" s="678"/>
      <c r="DYT33" s="678"/>
      <c r="DYU33" s="678"/>
      <c r="DYV33" s="678"/>
      <c r="DYW33" s="678"/>
      <c r="DYX33" s="678"/>
      <c r="DYY33" s="678"/>
      <c r="DYZ33" s="678"/>
      <c r="DZA33" s="678"/>
      <c r="DZB33" s="678"/>
      <c r="DZC33" s="678"/>
      <c r="DZD33" s="678"/>
      <c r="DZE33" s="678"/>
      <c r="DZF33" s="678"/>
      <c r="DZG33" s="678"/>
      <c r="DZH33" s="678"/>
      <c r="DZI33" s="678"/>
      <c r="DZJ33" s="678"/>
      <c r="DZK33" s="678"/>
      <c r="DZL33" s="678"/>
      <c r="DZM33" s="678"/>
      <c r="DZN33" s="678"/>
      <c r="DZO33" s="678"/>
      <c r="DZP33" s="678"/>
      <c r="DZQ33" s="678"/>
      <c r="DZR33" s="678"/>
      <c r="DZS33" s="678"/>
      <c r="DZT33" s="678"/>
      <c r="DZU33" s="678"/>
      <c r="DZV33" s="678"/>
      <c r="DZW33" s="678"/>
      <c r="DZX33" s="678"/>
      <c r="DZY33" s="678"/>
      <c r="DZZ33" s="678"/>
      <c r="EAA33" s="678"/>
      <c r="EAB33" s="678"/>
      <c r="EAC33" s="678"/>
      <c r="EAD33" s="678"/>
      <c r="EAE33" s="678"/>
      <c r="EAF33" s="678"/>
      <c r="EAG33" s="678"/>
      <c r="EAH33" s="678"/>
      <c r="EAI33" s="678"/>
      <c r="EAJ33" s="678"/>
      <c r="EAK33" s="678"/>
      <c r="EAL33" s="678"/>
      <c r="EAM33" s="678"/>
      <c r="EAN33" s="678"/>
      <c r="EAO33" s="678"/>
      <c r="EAP33" s="678"/>
      <c r="EAQ33" s="678"/>
      <c r="EAR33" s="678"/>
      <c r="EAS33" s="678"/>
      <c r="EAT33" s="678"/>
      <c r="EAU33" s="678"/>
      <c r="EAV33" s="678"/>
      <c r="EAW33" s="678"/>
      <c r="EAX33" s="678"/>
      <c r="EAY33" s="678"/>
      <c r="EAZ33" s="678"/>
      <c r="EBA33" s="678"/>
      <c r="EBB33" s="678"/>
      <c r="EBC33" s="678"/>
      <c r="EBD33" s="678"/>
      <c r="EBE33" s="678"/>
      <c r="EBF33" s="678"/>
      <c r="EBG33" s="678"/>
      <c r="EBH33" s="678"/>
      <c r="EBI33" s="678"/>
      <c r="EBJ33" s="678"/>
      <c r="EBK33" s="678"/>
      <c r="EBL33" s="678"/>
      <c r="EBM33" s="678"/>
      <c r="EBN33" s="678"/>
      <c r="EBO33" s="678"/>
      <c r="EBP33" s="678"/>
      <c r="EBQ33" s="678"/>
      <c r="EBR33" s="678"/>
      <c r="EBS33" s="678"/>
      <c r="EBT33" s="678"/>
      <c r="EBU33" s="678"/>
      <c r="EBV33" s="678"/>
      <c r="EBW33" s="678"/>
      <c r="EBX33" s="678"/>
      <c r="EBY33" s="678"/>
      <c r="EBZ33" s="678"/>
      <c r="ECA33" s="678"/>
      <c r="ECB33" s="678"/>
      <c r="ECC33" s="678"/>
      <c r="ECD33" s="678"/>
      <c r="ECE33" s="678"/>
      <c r="ECF33" s="678"/>
      <c r="ECG33" s="678"/>
      <c r="ECH33" s="678"/>
      <c r="ECI33" s="678"/>
      <c r="ECJ33" s="678"/>
      <c r="ECK33" s="678"/>
      <c r="ECL33" s="678"/>
      <c r="ECM33" s="678"/>
      <c r="ECN33" s="678"/>
      <c r="ECO33" s="678"/>
      <c r="ECP33" s="678"/>
      <c r="ECQ33" s="678"/>
      <c r="ECR33" s="678"/>
      <c r="ECS33" s="678"/>
      <c r="ECT33" s="678"/>
      <c r="ECU33" s="678"/>
      <c r="ECV33" s="678"/>
      <c r="ECW33" s="678"/>
      <c r="ECX33" s="678"/>
      <c r="ECY33" s="678"/>
      <c r="ECZ33" s="678"/>
      <c r="EDA33" s="678"/>
      <c r="EDB33" s="678"/>
      <c r="EDC33" s="678"/>
      <c r="EDD33" s="678"/>
      <c r="EDE33" s="678"/>
      <c r="EDF33" s="678"/>
      <c r="EDG33" s="678"/>
      <c r="EDH33" s="678"/>
      <c r="EDI33" s="678"/>
      <c r="EDJ33" s="678"/>
      <c r="EDK33" s="678"/>
      <c r="EDL33" s="678"/>
      <c r="EDM33" s="678"/>
      <c r="EDN33" s="678"/>
      <c r="EDO33" s="678"/>
      <c r="EDP33" s="678"/>
      <c r="EDQ33" s="678"/>
      <c r="EDR33" s="678"/>
      <c r="EDS33" s="678"/>
      <c r="EDT33" s="678"/>
      <c r="EDU33" s="678"/>
      <c r="EDV33" s="678"/>
      <c r="EDW33" s="678"/>
      <c r="EDX33" s="678"/>
      <c r="EDY33" s="678"/>
      <c r="EDZ33" s="678"/>
      <c r="EEA33" s="678"/>
      <c r="EEB33" s="678"/>
      <c r="EEC33" s="678"/>
      <c r="EED33" s="678"/>
      <c r="EEE33" s="678"/>
      <c r="EEF33" s="678"/>
      <c r="EEG33" s="678"/>
      <c r="EEH33" s="678"/>
      <c r="EEI33" s="678"/>
      <c r="EEJ33" s="678"/>
      <c r="EEK33" s="678"/>
      <c r="EEL33" s="678"/>
      <c r="EEM33" s="678"/>
      <c r="EEN33" s="678"/>
      <c r="EEO33" s="678"/>
      <c r="EEP33" s="678"/>
      <c r="EEQ33" s="678"/>
      <c r="EER33" s="678"/>
      <c r="EES33" s="678"/>
      <c r="EET33" s="678"/>
      <c r="EEU33" s="678"/>
      <c r="EEV33" s="678"/>
      <c r="EEW33" s="678"/>
      <c r="EEX33" s="678"/>
      <c r="EEY33" s="678"/>
      <c r="EEZ33" s="678"/>
      <c r="EFA33" s="678"/>
      <c r="EFB33" s="678"/>
      <c r="EFC33" s="678"/>
      <c r="EFD33" s="678"/>
      <c r="EFE33" s="678"/>
      <c r="EFF33" s="678"/>
      <c r="EFG33" s="678"/>
      <c r="EFH33" s="678"/>
      <c r="EFI33" s="678"/>
      <c r="EFJ33" s="678"/>
      <c r="EFK33" s="678"/>
      <c r="EFL33" s="678"/>
      <c r="EFM33" s="678"/>
      <c r="EFN33" s="678"/>
      <c r="EFO33" s="678"/>
      <c r="EFP33" s="678"/>
      <c r="EFQ33" s="678"/>
      <c r="EFR33" s="678"/>
      <c r="EFS33" s="678"/>
      <c r="EFT33" s="678"/>
      <c r="EFU33" s="678"/>
      <c r="EFV33" s="678"/>
      <c r="EFW33" s="678"/>
      <c r="EFX33" s="678"/>
      <c r="EFY33" s="678"/>
      <c r="EFZ33" s="678"/>
      <c r="EGA33" s="678"/>
      <c r="EGB33" s="678"/>
      <c r="EGC33" s="678"/>
      <c r="EGD33" s="678"/>
      <c r="EGE33" s="678"/>
      <c r="EGF33" s="678"/>
      <c r="EGG33" s="678"/>
      <c r="EGH33" s="678"/>
      <c r="EGI33" s="678"/>
      <c r="EGJ33" s="678"/>
      <c r="EGK33" s="678"/>
      <c r="EGL33" s="678"/>
      <c r="EGM33" s="678"/>
      <c r="EGN33" s="678"/>
      <c r="EGO33" s="678"/>
      <c r="EGP33" s="678"/>
      <c r="EGQ33" s="678"/>
      <c r="EGR33" s="678"/>
      <c r="EGS33" s="678"/>
      <c r="EGT33" s="678"/>
      <c r="EGU33" s="678"/>
      <c r="EGV33" s="678"/>
      <c r="EGW33" s="678"/>
      <c r="EGX33" s="678"/>
      <c r="EGY33" s="678"/>
      <c r="EGZ33" s="678"/>
      <c r="EHA33" s="678"/>
      <c r="EHB33" s="678"/>
      <c r="EHC33" s="678"/>
      <c r="EHD33" s="678"/>
      <c r="EHE33" s="678"/>
      <c r="EHF33" s="678"/>
      <c r="EHG33" s="678"/>
      <c r="EHH33" s="678"/>
      <c r="EHI33" s="678"/>
      <c r="EHJ33" s="678"/>
      <c r="EHK33" s="678"/>
      <c r="EHL33" s="678"/>
      <c r="EHM33" s="678"/>
      <c r="EHN33" s="678"/>
      <c r="EHO33" s="678"/>
      <c r="EHP33" s="678"/>
      <c r="EHQ33" s="678"/>
      <c r="EHR33" s="678"/>
      <c r="EHS33" s="678"/>
      <c r="EHT33" s="678"/>
      <c r="EHU33" s="678"/>
      <c r="EHV33" s="678"/>
      <c r="EHW33" s="678"/>
      <c r="EHX33" s="678"/>
      <c r="EHY33" s="678"/>
      <c r="EHZ33" s="678"/>
      <c r="EIA33" s="678"/>
      <c r="EIB33" s="678"/>
      <c r="EIC33" s="678"/>
      <c r="EID33" s="678"/>
      <c r="EIE33" s="678"/>
      <c r="EIF33" s="678"/>
      <c r="EIG33" s="678"/>
      <c r="EIH33" s="678"/>
      <c r="EII33" s="678"/>
      <c r="EIJ33" s="678"/>
      <c r="EIK33" s="678"/>
      <c r="EIL33" s="678"/>
      <c r="EIM33" s="678"/>
      <c r="EIN33" s="678"/>
      <c r="EIO33" s="678"/>
      <c r="EIP33" s="678"/>
      <c r="EIQ33" s="678"/>
      <c r="EIR33" s="678"/>
      <c r="EIS33" s="678"/>
      <c r="EIT33" s="678"/>
      <c r="EIU33" s="678"/>
      <c r="EIV33" s="678"/>
      <c r="EIW33" s="678"/>
      <c r="EIX33" s="678"/>
      <c r="EIY33" s="678"/>
      <c r="EIZ33" s="678"/>
      <c r="EJA33" s="678"/>
      <c r="EJB33" s="678"/>
      <c r="EJC33" s="678"/>
      <c r="EJD33" s="678"/>
      <c r="EJE33" s="678"/>
      <c r="EJF33" s="678"/>
      <c r="EJG33" s="678"/>
      <c r="EJH33" s="678"/>
      <c r="EJI33" s="678"/>
      <c r="EJJ33" s="678"/>
      <c r="EJK33" s="678"/>
      <c r="EJL33" s="678"/>
      <c r="EJM33" s="678"/>
      <c r="EJN33" s="678"/>
      <c r="EJO33" s="678"/>
      <c r="EJP33" s="678"/>
      <c r="EJQ33" s="678"/>
      <c r="EJR33" s="678"/>
      <c r="EJS33" s="678"/>
      <c r="EJT33" s="678"/>
      <c r="EJU33" s="678"/>
      <c r="EJV33" s="678"/>
      <c r="EJW33" s="678"/>
      <c r="EJX33" s="678"/>
      <c r="EJY33" s="678"/>
      <c r="EJZ33" s="678"/>
      <c r="EKA33" s="678"/>
      <c r="EKB33" s="678"/>
      <c r="EKC33" s="678"/>
      <c r="EKD33" s="678"/>
      <c r="EKE33" s="678"/>
      <c r="EKF33" s="678"/>
      <c r="EKG33" s="678"/>
      <c r="EKH33" s="678"/>
      <c r="EKI33" s="678"/>
      <c r="EKJ33" s="678"/>
      <c r="EKK33" s="678"/>
      <c r="EKL33" s="678"/>
      <c r="EKM33" s="678"/>
      <c r="EKN33" s="678"/>
      <c r="EKO33" s="678"/>
      <c r="EKP33" s="678"/>
      <c r="EKQ33" s="678"/>
      <c r="EKR33" s="678"/>
      <c r="EKS33" s="678"/>
      <c r="EKT33" s="678"/>
      <c r="EKU33" s="678"/>
      <c r="EKV33" s="678"/>
      <c r="EKW33" s="678"/>
      <c r="EKX33" s="678"/>
      <c r="EKY33" s="678"/>
      <c r="EKZ33" s="678"/>
      <c r="ELA33" s="678"/>
      <c r="ELB33" s="678"/>
      <c r="ELC33" s="678"/>
      <c r="ELD33" s="678"/>
      <c r="ELE33" s="678"/>
      <c r="ELF33" s="678"/>
      <c r="ELG33" s="678"/>
      <c r="ELH33" s="678"/>
      <c r="ELI33" s="678"/>
      <c r="ELJ33" s="678"/>
      <c r="ELK33" s="678"/>
      <c r="ELL33" s="678"/>
      <c r="ELM33" s="678"/>
      <c r="ELN33" s="678"/>
      <c r="ELO33" s="678"/>
      <c r="ELP33" s="678"/>
      <c r="ELQ33" s="678"/>
      <c r="ELR33" s="678"/>
      <c r="ELS33" s="678"/>
      <c r="ELT33" s="678"/>
      <c r="ELU33" s="678"/>
      <c r="ELV33" s="678"/>
      <c r="ELW33" s="678"/>
      <c r="ELX33" s="678"/>
      <c r="ELY33" s="678"/>
      <c r="ELZ33" s="678"/>
      <c r="EMA33" s="678"/>
      <c r="EMB33" s="678"/>
      <c r="EMC33" s="678"/>
      <c r="EMD33" s="678"/>
      <c r="EME33" s="678"/>
      <c r="EMF33" s="678"/>
      <c r="EMG33" s="678"/>
      <c r="EMH33" s="678"/>
      <c r="EMI33" s="678"/>
      <c r="EMJ33" s="678"/>
      <c r="EMK33" s="678"/>
      <c r="EML33" s="678"/>
      <c r="EMM33" s="678"/>
      <c r="EMN33" s="678"/>
      <c r="EMO33" s="678"/>
      <c r="EMP33" s="678"/>
      <c r="EMQ33" s="678"/>
      <c r="EMR33" s="678"/>
      <c r="EMS33" s="678"/>
      <c r="EMT33" s="678"/>
      <c r="EMU33" s="678"/>
      <c r="EMV33" s="678"/>
      <c r="EMW33" s="678"/>
      <c r="EMX33" s="678"/>
      <c r="EMY33" s="678"/>
      <c r="EMZ33" s="678"/>
      <c r="ENA33" s="678"/>
      <c r="ENB33" s="678"/>
      <c r="ENC33" s="678"/>
      <c r="END33" s="678"/>
      <c r="ENE33" s="678"/>
      <c r="ENF33" s="678"/>
      <c r="ENG33" s="678"/>
      <c r="ENH33" s="678"/>
      <c r="ENI33" s="678"/>
      <c r="ENJ33" s="678"/>
      <c r="ENK33" s="678"/>
      <c r="ENL33" s="678"/>
      <c r="ENM33" s="678"/>
      <c r="ENN33" s="678"/>
      <c r="ENO33" s="678"/>
      <c r="ENP33" s="678"/>
      <c r="ENQ33" s="678"/>
      <c r="ENR33" s="678"/>
      <c r="ENS33" s="678"/>
      <c r="ENT33" s="678"/>
      <c r="ENU33" s="678"/>
      <c r="ENV33" s="678"/>
      <c r="ENW33" s="678"/>
      <c r="ENX33" s="678"/>
      <c r="ENY33" s="678"/>
      <c r="ENZ33" s="678"/>
      <c r="EOA33" s="678"/>
      <c r="EOB33" s="678"/>
      <c r="EOC33" s="678"/>
      <c r="EOD33" s="678"/>
      <c r="EOE33" s="678"/>
      <c r="EOF33" s="678"/>
      <c r="EOG33" s="678"/>
      <c r="EOH33" s="678"/>
      <c r="EOI33" s="678"/>
      <c r="EOJ33" s="678"/>
      <c r="EOK33" s="678"/>
      <c r="EOL33" s="678"/>
      <c r="EOM33" s="678"/>
      <c r="EON33" s="678"/>
      <c r="EOO33" s="678"/>
      <c r="EOP33" s="678"/>
      <c r="EOQ33" s="678"/>
      <c r="EOR33" s="678"/>
      <c r="EOS33" s="678"/>
      <c r="EOT33" s="678"/>
      <c r="EOU33" s="678"/>
      <c r="EOV33" s="678"/>
      <c r="EOW33" s="678"/>
      <c r="EOX33" s="678"/>
      <c r="EOY33" s="678"/>
      <c r="EOZ33" s="678"/>
      <c r="EPA33" s="678"/>
      <c r="EPB33" s="678"/>
      <c r="EPC33" s="678"/>
      <c r="EPD33" s="678"/>
      <c r="EPE33" s="678"/>
      <c r="EPF33" s="678"/>
      <c r="EPG33" s="678"/>
      <c r="EPH33" s="678"/>
      <c r="EPI33" s="678"/>
      <c r="EPJ33" s="678"/>
      <c r="EPK33" s="678"/>
      <c r="EPL33" s="678"/>
      <c r="EPM33" s="678"/>
      <c r="EPN33" s="678"/>
      <c r="EPO33" s="678"/>
      <c r="EPP33" s="678"/>
      <c r="EPQ33" s="678"/>
      <c r="EPR33" s="678"/>
      <c r="EPS33" s="678"/>
      <c r="EPT33" s="678"/>
      <c r="EPU33" s="678"/>
      <c r="EPV33" s="678"/>
      <c r="EPW33" s="678"/>
      <c r="EPX33" s="678"/>
      <c r="EPY33" s="678"/>
      <c r="EPZ33" s="678"/>
      <c r="EQA33" s="678"/>
      <c r="EQB33" s="678"/>
      <c r="EQC33" s="678"/>
      <c r="EQD33" s="678"/>
      <c r="EQE33" s="678"/>
      <c r="EQF33" s="678"/>
      <c r="EQG33" s="678"/>
      <c r="EQH33" s="678"/>
      <c r="EQI33" s="678"/>
      <c r="EQJ33" s="678"/>
      <c r="EQK33" s="678"/>
      <c r="EQL33" s="678"/>
      <c r="EQM33" s="678"/>
      <c r="EQN33" s="678"/>
      <c r="EQO33" s="678"/>
      <c r="EQP33" s="678"/>
      <c r="EQQ33" s="678"/>
      <c r="EQR33" s="678"/>
      <c r="EQS33" s="678"/>
      <c r="EQT33" s="678"/>
      <c r="EQU33" s="678"/>
      <c r="EQV33" s="678"/>
      <c r="EQW33" s="678"/>
      <c r="EQX33" s="678"/>
      <c r="EQY33" s="678"/>
      <c r="EQZ33" s="678"/>
      <c r="ERA33" s="678"/>
      <c r="ERB33" s="678"/>
      <c r="ERC33" s="678"/>
      <c r="ERD33" s="678"/>
      <c r="ERE33" s="678"/>
      <c r="ERF33" s="678"/>
      <c r="ERG33" s="678"/>
      <c r="ERH33" s="678"/>
      <c r="ERI33" s="678"/>
      <c r="ERJ33" s="678"/>
      <c r="ERK33" s="678"/>
      <c r="ERL33" s="678"/>
      <c r="ERM33" s="678"/>
      <c r="ERN33" s="678"/>
      <c r="ERO33" s="678"/>
      <c r="ERP33" s="678"/>
      <c r="ERQ33" s="678"/>
      <c r="ERR33" s="678"/>
      <c r="ERS33" s="678"/>
      <c r="ERT33" s="678"/>
      <c r="ERU33" s="678"/>
      <c r="ERV33" s="678"/>
      <c r="ERW33" s="678"/>
      <c r="ERX33" s="678"/>
      <c r="ERY33" s="678"/>
      <c r="ERZ33" s="678"/>
      <c r="ESA33" s="678"/>
      <c r="ESB33" s="678"/>
      <c r="ESC33" s="678"/>
      <c r="ESD33" s="678"/>
      <c r="ESE33" s="678"/>
      <c r="ESF33" s="678"/>
      <c r="ESG33" s="678"/>
      <c r="ESH33" s="678"/>
      <c r="ESI33" s="678"/>
      <c r="ESJ33" s="678"/>
      <c r="ESK33" s="678"/>
      <c r="ESL33" s="678"/>
      <c r="ESM33" s="678"/>
      <c r="ESN33" s="678"/>
      <c r="ESO33" s="678"/>
      <c r="ESP33" s="678"/>
      <c r="ESQ33" s="678"/>
      <c r="ESR33" s="678"/>
      <c r="ESS33" s="678"/>
      <c r="EST33" s="678"/>
      <c r="ESU33" s="678"/>
      <c r="ESV33" s="678"/>
      <c r="ESW33" s="678"/>
      <c r="ESX33" s="678"/>
      <c r="ESY33" s="678"/>
      <c r="ESZ33" s="678"/>
      <c r="ETA33" s="678"/>
      <c r="ETB33" s="678"/>
      <c r="ETC33" s="678"/>
      <c r="ETD33" s="678"/>
      <c r="ETE33" s="678"/>
      <c r="ETF33" s="678"/>
      <c r="ETG33" s="678"/>
      <c r="ETH33" s="678"/>
      <c r="ETI33" s="678"/>
      <c r="ETJ33" s="678"/>
      <c r="ETK33" s="678"/>
      <c r="ETL33" s="678"/>
      <c r="ETM33" s="678"/>
      <c r="ETN33" s="678"/>
      <c r="ETO33" s="678"/>
      <c r="ETP33" s="678"/>
      <c r="ETQ33" s="678"/>
      <c r="ETR33" s="678"/>
      <c r="ETS33" s="678"/>
      <c r="ETT33" s="678"/>
      <c r="ETU33" s="678"/>
      <c r="ETV33" s="678"/>
      <c r="ETW33" s="678"/>
      <c r="ETX33" s="678"/>
      <c r="ETY33" s="678"/>
      <c r="ETZ33" s="678"/>
      <c r="EUA33" s="678"/>
      <c r="EUB33" s="678"/>
      <c r="EUC33" s="678"/>
      <c r="EUD33" s="678"/>
      <c r="EUE33" s="678"/>
      <c r="EUF33" s="678"/>
      <c r="EUG33" s="678"/>
      <c r="EUH33" s="678"/>
      <c r="EUI33" s="678"/>
      <c r="EUJ33" s="678"/>
      <c r="EUK33" s="678"/>
      <c r="EUL33" s="678"/>
      <c r="EUM33" s="678"/>
      <c r="EUN33" s="678"/>
      <c r="EUO33" s="678"/>
      <c r="EUP33" s="678"/>
      <c r="EUQ33" s="678"/>
      <c r="EUR33" s="678"/>
      <c r="EUS33" s="678"/>
      <c r="EUT33" s="678"/>
      <c r="EUU33" s="678"/>
      <c r="EUV33" s="678"/>
      <c r="EUW33" s="678"/>
      <c r="EUX33" s="678"/>
      <c r="EUY33" s="678"/>
      <c r="EUZ33" s="678"/>
      <c r="EVA33" s="678"/>
      <c r="EVB33" s="678"/>
      <c r="EVC33" s="678"/>
      <c r="EVD33" s="678"/>
      <c r="EVE33" s="678"/>
      <c r="EVF33" s="678"/>
      <c r="EVG33" s="678"/>
      <c r="EVH33" s="678"/>
      <c r="EVI33" s="678"/>
      <c r="EVJ33" s="678"/>
      <c r="EVK33" s="678"/>
      <c r="EVL33" s="678"/>
      <c r="EVM33" s="678"/>
      <c r="EVN33" s="678"/>
      <c r="EVO33" s="678"/>
      <c r="EVP33" s="678"/>
      <c r="EVQ33" s="678"/>
      <c r="EVR33" s="678"/>
      <c r="EVS33" s="678"/>
      <c r="EVT33" s="678"/>
      <c r="EVU33" s="678"/>
      <c r="EVV33" s="678"/>
      <c r="EVW33" s="678"/>
      <c r="EVX33" s="678"/>
      <c r="EVY33" s="678"/>
      <c r="EVZ33" s="678"/>
      <c r="EWA33" s="678"/>
      <c r="EWB33" s="678"/>
      <c r="EWC33" s="678"/>
      <c r="EWD33" s="678"/>
      <c r="EWE33" s="678"/>
      <c r="EWF33" s="678"/>
      <c r="EWG33" s="678"/>
      <c r="EWH33" s="678"/>
      <c r="EWI33" s="678"/>
      <c r="EWJ33" s="678"/>
      <c r="EWK33" s="678"/>
      <c r="EWL33" s="678"/>
      <c r="EWM33" s="678"/>
      <c r="EWN33" s="678"/>
      <c r="EWO33" s="678"/>
      <c r="EWP33" s="678"/>
      <c r="EWQ33" s="678"/>
      <c r="EWR33" s="678"/>
      <c r="EWS33" s="678"/>
      <c r="EWT33" s="678"/>
      <c r="EWU33" s="678"/>
      <c r="EWV33" s="678"/>
      <c r="EWW33" s="678"/>
      <c r="EWX33" s="678"/>
      <c r="EWY33" s="678"/>
      <c r="EWZ33" s="678"/>
      <c r="EXA33" s="678"/>
      <c r="EXB33" s="678"/>
      <c r="EXC33" s="678"/>
      <c r="EXD33" s="678"/>
      <c r="EXE33" s="678"/>
      <c r="EXF33" s="678"/>
      <c r="EXG33" s="678"/>
      <c r="EXH33" s="678"/>
      <c r="EXI33" s="678"/>
      <c r="EXJ33" s="678"/>
      <c r="EXK33" s="678"/>
      <c r="EXL33" s="678"/>
      <c r="EXM33" s="678"/>
      <c r="EXN33" s="678"/>
      <c r="EXO33" s="678"/>
      <c r="EXP33" s="678"/>
      <c r="EXQ33" s="678"/>
      <c r="EXR33" s="678"/>
      <c r="EXS33" s="678"/>
      <c r="EXT33" s="678"/>
      <c r="EXU33" s="678"/>
      <c r="EXV33" s="678"/>
      <c r="EXW33" s="678"/>
      <c r="EXX33" s="678"/>
      <c r="EXY33" s="678"/>
      <c r="EXZ33" s="678"/>
      <c r="EYA33" s="678"/>
      <c r="EYB33" s="678"/>
      <c r="EYC33" s="678"/>
      <c r="EYD33" s="678"/>
      <c r="EYE33" s="678"/>
      <c r="EYF33" s="678"/>
      <c r="EYG33" s="678"/>
      <c r="EYH33" s="678"/>
      <c r="EYI33" s="678"/>
      <c r="EYJ33" s="678"/>
      <c r="EYK33" s="678"/>
      <c r="EYL33" s="678"/>
      <c r="EYM33" s="678"/>
      <c r="EYN33" s="678"/>
      <c r="EYO33" s="678"/>
      <c r="EYP33" s="678"/>
      <c r="EYQ33" s="678"/>
      <c r="EYR33" s="678"/>
      <c r="EYS33" s="678"/>
      <c r="EYT33" s="678"/>
      <c r="EYU33" s="678"/>
      <c r="EYV33" s="678"/>
      <c r="EYW33" s="678"/>
      <c r="EYX33" s="678"/>
      <c r="EYY33" s="678"/>
      <c r="EYZ33" s="678"/>
      <c r="EZA33" s="678"/>
      <c r="EZB33" s="678"/>
      <c r="EZC33" s="678"/>
      <c r="EZD33" s="678"/>
      <c r="EZE33" s="678"/>
      <c r="EZF33" s="678"/>
      <c r="EZG33" s="678"/>
      <c r="EZH33" s="678"/>
      <c r="EZI33" s="678"/>
      <c r="EZJ33" s="678"/>
      <c r="EZK33" s="678"/>
      <c r="EZL33" s="678"/>
      <c r="EZM33" s="678"/>
      <c r="EZN33" s="678"/>
      <c r="EZO33" s="678"/>
      <c r="EZP33" s="678"/>
      <c r="EZQ33" s="678"/>
      <c r="EZR33" s="678"/>
      <c r="EZS33" s="678"/>
      <c r="EZT33" s="678"/>
      <c r="EZU33" s="678"/>
      <c r="EZV33" s="678"/>
      <c r="EZW33" s="678"/>
      <c r="EZX33" s="678"/>
      <c r="EZY33" s="678"/>
      <c r="EZZ33" s="678"/>
      <c r="FAA33" s="678"/>
      <c r="FAB33" s="678"/>
      <c r="FAC33" s="678"/>
      <c r="FAD33" s="678"/>
      <c r="FAE33" s="678"/>
      <c r="FAF33" s="678"/>
      <c r="FAG33" s="678"/>
      <c r="FAH33" s="678"/>
      <c r="FAI33" s="678"/>
      <c r="FAJ33" s="678"/>
      <c r="FAK33" s="678"/>
      <c r="FAL33" s="678"/>
      <c r="FAM33" s="678"/>
      <c r="FAN33" s="678"/>
      <c r="FAO33" s="678"/>
      <c r="FAP33" s="678"/>
      <c r="FAQ33" s="678"/>
      <c r="FAR33" s="678"/>
      <c r="FAS33" s="678"/>
      <c r="FAT33" s="678"/>
      <c r="FAU33" s="678"/>
      <c r="FAV33" s="678"/>
      <c r="FAW33" s="678"/>
      <c r="FAX33" s="678"/>
      <c r="FAY33" s="678"/>
      <c r="FAZ33" s="678"/>
      <c r="FBA33" s="678"/>
      <c r="FBB33" s="678"/>
      <c r="FBC33" s="678"/>
      <c r="FBD33" s="678"/>
      <c r="FBE33" s="678"/>
      <c r="FBF33" s="678"/>
      <c r="FBG33" s="678"/>
      <c r="FBH33" s="678"/>
      <c r="FBI33" s="678"/>
      <c r="FBJ33" s="678"/>
      <c r="FBK33" s="678"/>
      <c r="FBL33" s="678"/>
      <c r="FBM33" s="678"/>
      <c r="FBN33" s="678"/>
      <c r="FBO33" s="678"/>
      <c r="FBP33" s="678"/>
      <c r="FBQ33" s="678"/>
      <c r="FBR33" s="678"/>
      <c r="FBS33" s="678"/>
      <c r="FBT33" s="678"/>
      <c r="FBU33" s="678"/>
      <c r="FBV33" s="678"/>
      <c r="FBW33" s="678"/>
      <c r="FBX33" s="678"/>
      <c r="FBY33" s="678"/>
      <c r="FBZ33" s="678"/>
      <c r="FCA33" s="678"/>
      <c r="FCB33" s="678"/>
      <c r="FCC33" s="678"/>
      <c r="FCD33" s="678"/>
      <c r="FCE33" s="678"/>
      <c r="FCF33" s="678"/>
      <c r="FCG33" s="678"/>
      <c r="FCH33" s="678"/>
      <c r="FCI33" s="678"/>
      <c r="FCJ33" s="678"/>
      <c r="FCK33" s="678"/>
      <c r="FCL33" s="678"/>
      <c r="FCM33" s="678"/>
      <c r="FCN33" s="678"/>
      <c r="FCO33" s="678"/>
      <c r="FCP33" s="678"/>
      <c r="FCQ33" s="678"/>
      <c r="FCR33" s="678"/>
      <c r="FCS33" s="678"/>
      <c r="FCT33" s="678"/>
      <c r="FCU33" s="678"/>
      <c r="FCV33" s="678"/>
      <c r="FCW33" s="678"/>
      <c r="FCX33" s="678"/>
      <c r="FCY33" s="678"/>
      <c r="FCZ33" s="678"/>
      <c r="FDA33" s="678"/>
      <c r="FDB33" s="678"/>
      <c r="FDC33" s="678"/>
      <c r="FDD33" s="678"/>
      <c r="FDE33" s="678"/>
      <c r="FDF33" s="678"/>
      <c r="FDG33" s="678"/>
      <c r="FDH33" s="678"/>
      <c r="FDI33" s="678"/>
      <c r="FDJ33" s="678"/>
      <c r="FDK33" s="678"/>
      <c r="FDL33" s="678"/>
      <c r="FDM33" s="678"/>
      <c r="FDN33" s="678"/>
      <c r="FDO33" s="678"/>
      <c r="FDP33" s="678"/>
      <c r="FDQ33" s="678"/>
      <c r="FDR33" s="678"/>
      <c r="FDS33" s="678"/>
      <c r="FDT33" s="678"/>
      <c r="FDU33" s="678"/>
      <c r="FDV33" s="678"/>
      <c r="FDW33" s="678"/>
      <c r="FDX33" s="678"/>
      <c r="FDY33" s="678"/>
      <c r="FDZ33" s="678"/>
      <c r="FEA33" s="678"/>
      <c r="FEB33" s="678"/>
      <c r="FEC33" s="678"/>
      <c r="FED33" s="678"/>
      <c r="FEE33" s="678"/>
      <c r="FEF33" s="678"/>
      <c r="FEG33" s="678"/>
      <c r="FEH33" s="678"/>
      <c r="FEI33" s="678"/>
      <c r="FEJ33" s="678"/>
      <c r="FEK33" s="678"/>
      <c r="FEL33" s="678"/>
      <c r="FEM33" s="678"/>
      <c r="FEN33" s="678"/>
      <c r="FEO33" s="678"/>
      <c r="FEP33" s="678"/>
      <c r="FEQ33" s="678"/>
      <c r="FER33" s="678"/>
      <c r="FES33" s="678"/>
      <c r="FET33" s="678"/>
      <c r="FEU33" s="678"/>
      <c r="FEV33" s="678"/>
      <c r="FEW33" s="678"/>
      <c r="FEX33" s="678"/>
      <c r="FEY33" s="678"/>
      <c r="FEZ33" s="678"/>
      <c r="FFA33" s="678"/>
      <c r="FFB33" s="678"/>
      <c r="FFC33" s="678"/>
      <c r="FFD33" s="678"/>
      <c r="FFE33" s="678"/>
      <c r="FFF33" s="678"/>
      <c r="FFG33" s="678"/>
      <c r="FFH33" s="678"/>
      <c r="FFI33" s="678"/>
      <c r="FFJ33" s="678"/>
      <c r="FFK33" s="678"/>
      <c r="FFL33" s="678"/>
      <c r="FFM33" s="678"/>
      <c r="FFN33" s="678"/>
      <c r="FFO33" s="678"/>
      <c r="FFP33" s="678"/>
      <c r="FFQ33" s="678"/>
      <c r="FFR33" s="678"/>
      <c r="FFS33" s="678"/>
      <c r="FFT33" s="678"/>
      <c r="FFU33" s="678"/>
      <c r="FFV33" s="678"/>
      <c r="FFW33" s="678"/>
      <c r="FFX33" s="678"/>
      <c r="FFY33" s="678"/>
      <c r="FFZ33" s="678"/>
      <c r="FGA33" s="678"/>
      <c r="FGB33" s="678"/>
      <c r="FGC33" s="678"/>
      <c r="FGD33" s="678"/>
      <c r="FGE33" s="678"/>
      <c r="FGF33" s="678"/>
      <c r="FGG33" s="678"/>
      <c r="FGH33" s="678"/>
      <c r="FGI33" s="678"/>
      <c r="FGJ33" s="678"/>
      <c r="FGK33" s="678"/>
      <c r="FGL33" s="678"/>
      <c r="FGM33" s="678"/>
      <c r="FGN33" s="678"/>
      <c r="FGO33" s="678"/>
      <c r="FGP33" s="678"/>
      <c r="FGQ33" s="678"/>
      <c r="FGR33" s="678"/>
      <c r="FGS33" s="678"/>
      <c r="FGT33" s="678"/>
      <c r="FGU33" s="678"/>
      <c r="FGV33" s="678"/>
      <c r="FGW33" s="678"/>
      <c r="FGX33" s="678"/>
      <c r="FGY33" s="678"/>
      <c r="FGZ33" s="678"/>
      <c r="FHA33" s="678"/>
      <c r="FHB33" s="678"/>
      <c r="FHC33" s="678"/>
      <c r="FHD33" s="678"/>
      <c r="FHE33" s="678"/>
      <c r="FHF33" s="678"/>
      <c r="FHG33" s="678"/>
      <c r="FHH33" s="678"/>
      <c r="FHI33" s="678"/>
      <c r="FHJ33" s="678"/>
      <c r="FHK33" s="678"/>
      <c r="FHL33" s="678"/>
      <c r="FHM33" s="678"/>
      <c r="FHN33" s="678"/>
      <c r="FHO33" s="678"/>
      <c r="FHP33" s="678"/>
      <c r="FHQ33" s="678"/>
      <c r="FHR33" s="678"/>
      <c r="FHS33" s="678"/>
      <c r="FHT33" s="678"/>
      <c r="FHU33" s="678"/>
      <c r="FHV33" s="678"/>
      <c r="FHW33" s="678"/>
      <c r="FHX33" s="678"/>
      <c r="FHY33" s="678"/>
      <c r="FHZ33" s="678"/>
      <c r="FIA33" s="678"/>
      <c r="FIB33" s="678"/>
      <c r="FIC33" s="678"/>
      <c r="FID33" s="678"/>
      <c r="FIE33" s="678"/>
      <c r="FIF33" s="678"/>
      <c r="FIG33" s="678"/>
      <c r="FIH33" s="678"/>
      <c r="FII33" s="678"/>
      <c r="FIJ33" s="678"/>
      <c r="FIK33" s="678"/>
      <c r="FIL33" s="678"/>
      <c r="FIM33" s="678"/>
      <c r="FIN33" s="678"/>
      <c r="FIO33" s="678"/>
      <c r="FIP33" s="678"/>
      <c r="FIQ33" s="678"/>
      <c r="FIR33" s="678"/>
      <c r="FIS33" s="678"/>
      <c r="FIT33" s="678"/>
      <c r="FIU33" s="678"/>
      <c r="FIV33" s="678"/>
      <c r="FIW33" s="678"/>
      <c r="FIX33" s="678"/>
      <c r="FIY33" s="678"/>
      <c r="FIZ33" s="678"/>
      <c r="FJA33" s="678"/>
      <c r="FJB33" s="678"/>
      <c r="FJC33" s="678"/>
      <c r="FJD33" s="678"/>
      <c r="FJE33" s="678"/>
      <c r="FJF33" s="678"/>
      <c r="FJG33" s="678"/>
      <c r="FJH33" s="678"/>
      <c r="FJI33" s="678"/>
      <c r="FJJ33" s="678"/>
      <c r="FJK33" s="678"/>
      <c r="FJL33" s="678"/>
      <c r="FJM33" s="678"/>
      <c r="FJN33" s="678"/>
      <c r="FJO33" s="678"/>
      <c r="FJP33" s="678"/>
      <c r="FJQ33" s="678"/>
      <c r="FJR33" s="678"/>
      <c r="FJS33" s="678"/>
      <c r="FJT33" s="678"/>
      <c r="FJU33" s="678"/>
      <c r="FJV33" s="678"/>
      <c r="FJW33" s="678"/>
      <c r="FJX33" s="678"/>
      <c r="FJY33" s="678"/>
      <c r="FJZ33" s="678"/>
      <c r="FKA33" s="678"/>
      <c r="FKB33" s="678"/>
      <c r="FKC33" s="678"/>
      <c r="FKD33" s="678"/>
      <c r="FKE33" s="678"/>
      <c r="FKF33" s="678"/>
      <c r="FKG33" s="678"/>
      <c r="FKH33" s="678"/>
      <c r="FKI33" s="678"/>
      <c r="FKJ33" s="678"/>
      <c r="FKK33" s="678"/>
      <c r="FKL33" s="678"/>
      <c r="FKM33" s="678"/>
      <c r="FKN33" s="678"/>
      <c r="FKO33" s="678"/>
      <c r="FKP33" s="678"/>
      <c r="FKQ33" s="678"/>
      <c r="FKR33" s="678"/>
      <c r="FKS33" s="678"/>
      <c r="FKT33" s="678"/>
      <c r="FKU33" s="678"/>
      <c r="FKV33" s="678"/>
      <c r="FKW33" s="678"/>
      <c r="FKX33" s="678"/>
      <c r="FKY33" s="678"/>
      <c r="FKZ33" s="678"/>
      <c r="FLA33" s="678"/>
      <c r="FLB33" s="678"/>
      <c r="FLC33" s="678"/>
      <c r="FLD33" s="678"/>
      <c r="FLE33" s="678"/>
      <c r="FLF33" s="678"/>
      <c r="FLG33" s="678"/>
      <c r="FLH33" s="678"/>
      <c r="FLI33" s="678"/>
      <c r="FLJ33" s="678"/>
      <c r="FLK33" s="678"/>
      <c r="FLL33" s="678"/>
      <c r="FLM33" s="678"/>
      <c r="FLN33" s="678"/>
      <c r="FLO33" s="678"/>
      <c r="FLP33" s="678"/>
      <c r="FLQ33" s="678"/>
      <c r="FLR33" s="678"/>
      <c r="FLS33" s="678"/>
      <c r="FLT33" s="678"/>
      <c r="FLU33" s="678"/>
      <c r="FLV33" s="678"/>
      <c r="FLW33" s="678"/>
      <c r="FLX33" s="678"/>
      <c r="FLY33" s="678"/>
      <c r="FLZ33" s="678"/>
      <c r="FMA33" s="678"/>
      <c r="FMB33" s="678"/>
      <c r="FMC33" s="678"/>
      <c r="FMD33" s="678"/>
      <c r="FME33" s="678"/>
      <c r="FMF33" s="678"/>
      <c r="FMG33" s="678"/>
      <c r="FMH33" s="678"/>
      <c r="FMI33" s="678"/>
      <c r="FMJ33" s="678"/>
      <c r="FMK33" s="678"/>
      <c r="FML33" s="678"/>
      <c r="FMM33" s="678"/>
      <c r="FMN33" s="678"/>
      <c r="FMO33" s="678"/>
      <c r="FMP33" s="678"/>
      <c r="FMQ33" s="678"/>
      <c r="FMR33" s="678"/>
      <c r="FMS33" s="678"/>
      <c r="FMT33" s="678"/>
      <c r="FMU33" s="678"/>
      <c r="FMV33" s="678"/>
      <c r="FMW33" s="678"/>
      <c r="FMX33" s="678"/>
      <c r="FMY33" s="678"/>
      <c r="FMZ33" s="678"/>
      <c r="FNA33" s="678"/>
      <c r="FNB33" s="678"/>
      <c r="FNC33" s="678"/>
      <c r="FND33" s="678"/>
      <c r="FNE33" s="678"/>
      <c r="FNF33" s="678"/>
      <c r="FNG33" s="678"/>
      <c r="FNH33" s="678"/>
      <c r="FNI33" s="678"/>
      <c r="FNJ33" s="678"/>
      <c r="FNK33" s="678"/>
      <c r="FNL33" s="678"/>
      <c r="FNM33" s="678"/>
      <c r="FNN33" s="678"/>
      <c r="FNO33" s="678"/>
      <c r="FNP33" s="678"/>
      <c r="FNQ33" s="678"/>
      <c r="FNR33" s="678"/>
      <c r="FNS33" s="678"/>
      <c r="FNT33" s="678"/>
      <c r="FNU33" s="678"/>
      <c r="FNV33" s="678"/>
      <c r="FNW33" s="678"/>
      <c r="FNX33" s="678"/>
      <c r="FNY33" s="678"/>
      <c r="FNZ33" s="678"/>
      <c r="FOA33" s="678"/>
      <c r="FOB33" s="678"/>
      <c r="FOC33" s="678"/>
      <c r="FOD33" s="678"/>
      <c r="FOE33" s="678"/>
      <c r="FOF33" s="678"/>
      <c r="FOG33" s="678"/>
      <c r="FOH33" s="678"/>
      <c r="FOI33" s="678"/>
      <c r="FOJ33" s="678"/>
      <c r="FOK33" s="678"/>
      <c r="FOL33" s="678"/>
      <c r="FOM33" s="678"/>
      <c r="FON33" s="678"/>
      <c r="FOO33" s="678"/>
      <c r="FOP33" s="678"/>
      <c r="FOQ33" s="678"/>
      <c r="FOR33" s="678"/>
      <c r="FOS33" s="678"/>
      <c r="FOT33" s="678"/>
      <c r="FOU33" s="678"/>
      <c r="FOV33" s="678"/>
      <c r="FOW33" s="678"/>
      <c r="FOX33" s="678"/>
      <c r="FOY33" s="678"/>
      <c r="FOZ33" s="678"/>
      <c r="FPA33" s="678"/>
      <c r="FPB33" s="678"/>
      <c r="FPC33" s="678"/>
      <c r="FPD33" s="678"/>
      <c r="FPE33" s="678"/>
      <c r="FPF33" s="678"/>
      <c r="FPG33" s="678"/>
      <c r="FPH33" s="678"/>
      <c r="FPI33" s="678"/>
      <c r="FPJ33" s="678"/>
      <c r="FPK33" s="678"/>
      <c r="FPL33" s="678"/>
      <c r="FPM33" s="678"/>
      <c r="FPN33" s="678"/>
      <c r="FPO33" s="678"/>
      <c r="FPP33" s="678"/>
      <c r="FPQ33" s="678"/>
      <c r="FPR33" s="678"/>
      <c r="FPS33" s="678"/>
      <c r="FPT33" s="678"/>
      <c r="FPU33" s="678"/>
      <c r="FPV33" s="678"/>
      <c r="FPW33" s="678"/>
      <c r="FPX33" s="678"/>
      <c r="FPY33" s="678"/>
      <c r="FPZ33" s="678"/>
      <c r="FQA33" s="678"/>
      <c r="FQB33" s="678"/>
      <c r="FQC33" s="678"/>
      <c r="FQD33" s="678"/>
      <c r="FQE33" s="678"/>
      <c r="FQF33" s="678"/>
      <c r="FQG33" s="678"/>
      <c r="FQH33" s="678"/>
      <c r="FQI33" s="678"/>
      <c r="FQJ33" s="678"/>
      <c r="FQK33" s="678"/>
      <c r="FQL33" s="678"/>
      <c r="FQM33" s="678"/>
      <c r="FQN33" s="678"/>
      <c r="FQO33" s="678"/>
      <c r="FQP33" s="678"/>
      <c r="FQQ33" s="678"/>
      <c r="FQR33" s="678"/>
      <c r="FQS33" s="678"/>
      <c r="FQT33" s="678"/>
      <c r="FQU33" s="678"/>
      <c r="FQV33" s="678"/>
      <c r="FQW33" s="678"/>
      <c r="FQX33" s="678"/>
      <c r="FQY33" s="678"/>
      <c r="FQZ33" s="678"/>
      <c r="FRA33" s="678"/>
      <c r="FRB33" s="678"/>
      <c r="FRC33" s="678"/>
      <c r="FRD33" s="678"/>
      <c r="FRE33" s="678"/>
      <c r="FRF33" s="678"/>
      <c r="FRG33" s="678"/>
      <c r="FRH33" s="678"/>
      <c r="FRI33" s="678"/>
      <c r="FRJ33" s="678"/>
      <c r="FRK33" s="678"/>
      <c r="FRL33" s="678"/>
      <c r="FRM33" s="678"/>
      <c r="FRN33" s="678"/>
      <c r="FRO33" s="678"/>
      <c r="FRP33" s="678"/>
      <c r="FRQ33" s="678"/>
      <c r="FRR33" s="678"/>
      <c r="FRS33" s="678"/>
      <c r="FRT33" s="678"/>
      <c r="FRU33" s="678"/>
      <c r="FRV33" s="678"/>
      <c r="FRW33" s="678"/>
      <c r="FRX33" s="678"/>
      <c r="FRY33" s="678"/>
      <c r="FRZ33" s="678"/>
      <c r="FSA33" s="678"/>
      <c r="FSB33" s="678"/>
      <c r="FSC33" s="678"/>
      <c r="FSD33" s="678"/>
      <c r="FSE33" s="678"/>
      <c r="FSF33" s="678"/>
      <c r="FSG33" s="678"/>
      <c r="FSH33" s="678"/>
      <c r="FSI33" s="678"/>
      <c r="FSJ33" s="678"/>
      <c r="FSK33" s="678"/>
      <c r="FSL33" s="678"/>
      <c r="FSM33" s="678"/>
      <c r="FSN33" s="678"/>
      <c r="FSO33" s="678"/>
      <c r="FSP33" s="678"/>
      <c r="FSQ33" s="678"/>
      <c r="FSR33" s="678"/>
      <c r="FSS33" s="678"/>
      <c r="FST33" s="678"/>
      <c r="FSU33" s="678"/>
      <c r="FSV33" s="678"/>
      <c r="FSW33" s="678"/>
      <c r="FSX33" s="678"/>
      <c r="FSY33" s="678"/>
      <c r="FSZ33" s="678"/>
      <c r="FTA33" s="678"/>
      <c r="FTB33" s="678"/>
      <c r="FTC33" s="678"/>
      <c r="FTD33" s="678"/>
      <c r="FTE33" s="678"/>
      <c r="FTF33" s="678"/>
      <c r="FTG33" s="678"/>
      <c r="FTH33" s="678"/>
      <c r="FTI33" s="678"/>
      <c r="FTJ33" s="678"/>
      <c r="FTK33" s="678"/>
      <c r="FTL33" s="678"/>
      <c r="FTM33" s="678"/>
      <c r="FTN33" s="678"/>
      <c r="FTO33" s="678"/>
      <c r="FTP33" s="678"/>
      <c r="FTQ33" s="678"/>
      <c r="FTR33" s="678"/>
      <c r="FTS33" s="678"/>
      <c r="FTT33" s="678"/>
      <c r="FTU33" s="678"/>
      <c r="FTV33" s="678"/>
      <c r="FTW33" s="678"/>
      <c r="FTX33" s="678"/>
      <c r="FTY33" s="678"/>
      <c r="FTZ33" s="678"/>
      <c r="FUA33" s="678"/>
      <c r="FUB33" s="678"/>
      <c r="FUC33" s="678"/>
      <c r="FUD33" s="678"/>
      <c r="FUE33" s="678"/>
      <c r="FUF33" s="678"/>
      <c r="FUG33" s="678"/>
      <c r="FUH33" s="678"/>
      <c r="FUI33" s="678"/>
      <c r="FUJ33" s="678"/>
      <c r="FUK33" s="678"/>
      <c r="FUL33" s="678"/>
      <c r="FUM33" s="678"/>
      <c r="FUN33" s="678"/>
      <c r="FUO33" s="678"/>
      <c r="FUP33" s="678"/>
      <c r="FUQ33" s="678"/>
      <c r="FUR33" s="678"/>
      <c r="FUS33" s="678"/>
      <c r="FUT33" s="678"/>
      <c r="FUU33" s="678"/>
      <c r="FUV33" s="678"/>
      <c r="FUW33" s="678"/>
      <c r="FUX33" s="678"/>
      <c r="FUY33" s="678"/>
      <c r="FUZ33" s="678"/>
      <c r="FVA33" s="678"/>
      <c r="FVB33" s="678"/>
      <c r="FVC33" s="678"/>
      <c r="FVD33" s="678"/>
      <c r="FVE33" s="678"/>
      <c r="FVF33" s="678"/>
      <c r="FVG33" s="678"/>
      <c r="FVH33" s="678"/>
      <c r="FVI33" s="678"/>
      <c r="FVJ33" s="678"/>
      <c r="FVK33" s="678"/>
      <c r="FVL33" s="678"/>
      <c r="FVM33" s="678"/>
      <c r="FVN33" s="678"/>
      <c r="FVO33" s="678"/>
      <c r="FVP33" s="678"/>
      <c r="FVQ33" s="678"/>
      <c r="FVR33" s="678"/>
      <c r="FVS33" s="678"/>
      <c r="FVT33" s="678"/>
      <c r="FVU33" s="678"/>
      <c r="FVV33" s="678"/>
      <c r="FVW33" s="678"/>
      <c r="FVX33" s="678"/>
      <c r="FVY33" s="678"/>
      <c r="FVZ33" s="678"/>
      <c r="FWA33" s="678"/>
      <c r="FWB33" s="678"/>
      <c r="FWC33" s="678"/>
      <c r="FWD33" s="678"/>
      <c r="FWE33" s="678"/>
      <c r="FWF33" s="678"/>
      <c r="FWG33" s="678"/>
      <c r="FWH33" s="678"/>
      <c r="FWI33" s="678"/>
      <c r="FWJ33" s="678"/>
      <c r="FWK33" s="678"/>
      <c r="FWL33" s="678"/>
      <c r="FWM33" s="678"/>
      <c r="FWN33" s="678"/>
      <c r="FWO33" s="678"/>
      <c r="FWP33" s="678"/>
      <c r="FWQ33" s="678"/>
      <c r="FWR33" s="678"/>
      <c r="FWS33" s="678"/>
      <c r="FWT33" s="678"/>
      <c r="FWU33" s="678"/>
      <c r="FWV33" s="678"/>
      <c r="FWW33" s="678"/>
      <c r="FWX33" s="678"/>
      <c r="FWY33" s="678"/>
      <c r="FWZ33" s="678"/>
      <c r="FXA33" s="678"/>
      <c r="FXB33" s="678"/>
      <c r="FXC33" s="678"/>
      <c r="FXD33" s="678"/>
      <c r="FXE33" s="678"/>
      <c r="FXF33" s="678"/>
      <c r="FXG33" s="678"/>
      <c r="FXH33" s="678"/>
      <c r="FXI33" s="678"/>
      <c r="FXJ33" s="678"/>
      <c r="FXK33" s="678"/>
      <c r="FXL33" s="678"/>
      <c r="FXM33" s="678"/>
      <c r="FXN33" s="678"/>
      <c r="FXO33" s="678"/>
      <c r="FXP33" s="678"/>
      <c r="FXQ33" s="678"/>
      <c r="FXR33" s="678"/>
      <c r="FXS33" s="678"/>
      <c r="FXT33" s="678"/>
      <c r="FXU33" s="678"/>
      <c r="FXV33" s="678"/>
      <c r="FXW33" s="678"/>
      <c r="FXX33" s="678"/>
      <c r="FXY33" s="678"/>
      <c r="FXZ33" s="678"/>
      <c r="FYA33" s="678"/>
      <c r="FYB33" s="678"/>
      <c r="FYC33" s="678"/>
      <c r="FYD33" s="678"/>
      <c r="FYE33" s="678"/>
      <c r="FYF33" s="678"/>
      <c r="FYG33" s="678"/>
      <c r="FYH33" s="678"/>
      <c r="FYI33" s="678"/>
      <c r="FYJ33" s="678"/>
      <c r="FYK33" s="678"/>
      <c r="FYL33" s="678"/>
      <c r="FYM33" s="678"/>
      <c r="FYN33" s="678"/>
      <c r="FYO33" s="678"/>
      <c r="FYP33" s="678"/>
      <c r="FYQ33" s="678"/>
      <c r="FYR33" s="678"/>
      <c r="FYS33" s="678"/>
      <c r="FYT33" s="678"/>
      <c r="FYU33" s="678"/>
      <c r="FYV33" s="678"/>
      <c r="FYW33" s="678"/>
      <c r="FYX33" s="678"/>
      <c r="FYY33" s="678"/>
      <c r="FYZ33" s="678"/>
      <c r="FZA33" s="678"/>
      <c r="FZB33" s="678"/>
      <c r="FZC33" s="678"/>
      <c r="FZD33" s="678"/>
      <c r="FZE33" s="678"/>
      <c r="FZF33" s="678"/>
      <c r="FZG33" s="678"/>
      <c r="FZH33" s="678"/>
      <c r="FZI33" s="678"/>
      <c r="FZJ33" s="678"/>
      <c r="FZK33" s="678"/>
      <c r="FZL33" s="678"/>
      <c r="FZM33" s="678"/>
      <c r="FZN33" s="678"/>
      <c r="FZO33" s="678"/>
      <c r="FZP33" s="678"/>
      <c r="FZQ33" s="678"/>
      <c r="FZR33" s="678"/>
      <c r="FZS33" s="678"/>
      <c r="FZT33" s="678"/>
      <c r="FZU33" s="678"/>
      <c r="FZV33" s="678"/>
      <c r="FZW33" s="678"/>
      <c r="FZX33" s="678"/>
      <c r="FZY33" s="678"/>
      <c r="FZZ33" s="678"/>
      <c r="GAA33" s="678"/>
      <c r="GAB33" s="678"/>
      <c r="GAC33" s="678"/>
      <c r="GAD33" s="678"/>
      <c r="GAE33" s="678"/>
      <c r="GAF33" s="678"/>
      <c r="GAG33" s="678"/>
      <c r="GAH33" s="678"/>
      <c r="GAI33" s="678"/>
      <c r="GAJ33" s="678"/>
      <c r="GAK33" s="678"/>
      <c r="GAL33" s="678"/>
      <c r="GAM33" s="678"/>
      <c r="GAN33" s="678"/>
      <c r="GAO33" s="678"/>
      <c r="GAP33" s="678"/>
      <c r="GAQ33" s="678"/>
      <c r="GAR33" s="678"/>
      <c r="GAS33" s="678"/>
      <c r="GAT33" s="678"/>
      <c r="GAU33" s="678"/>
      <c r="GAV33" s="678"/>
      <c r="GAW33" s="678"/>
      <c r="GAX33" s="678"/>
      <c r="GAY33" s="678"/>
      <c r="GAZ33" s="678"/>
      <c r="GBA33" s="678"/>
      <c r="GBB33" s="678"/>
      <c r="GBC33" s="678"/>
      <c r="GBD33" s="678"/>
      <c r="GBE33" s="678"/>
      <c r="GBF33" s="678"/>
      <c r="GBG33" s="678"/>
      <c r="GBH33" s="678"/>
      <c r="GBI33" s="678"/>
      <c r="GBJ33" s="678"/>
      <c r="GBK33" s="678"/>
      <c r="GBL33" s="678"/>
      <c r="GBM33" s="678"/>
      <c r="GBN33" s="678"/>
      <c r="GBO33" s="678"/>
      <c r="GBP33" s="678"/>
      <c r="GBQ33" s="678"/>
      <c r="GBR33" s="678"/>
      <c r="GBS33" s="678"/>
      <c r="GBT33" s="678"/>
      <c r="GBU33" s="678"/>
      <c r="GBV33" s="678"/>
      <c r="GBW33" s="678"/>
      <c r="GBX33" s="678"/>
      <c r="GBY33" s="678"/>
      <c r="GBZ33" s="678"/>
      <c r="GCA33" s="678"/>
      <c r="GCB33" s="678"/>
      <c r="GCC33" s="678"/>
      <c r="GCD33" s="678"/>
      <c r="GCE33" s="678"/>
      <c r="GCF33" s="678"/>
      <c r="GCG33" s="678"/>
      <c r="GCH33" s="678"/>
      <c r="GCI33" s="678"/>
      <c r="GCJ33" s="678"/>
      <c r="GCK33" s="678"/>
      <c r="GCL33" s="678"/>
      <c r="GCM33" s="678"/>
      <c r="GCN33" s="678"/>
      <c r="GCO33" s="678"/>
      <c r="GCP33" s="678"/>
      <c r="GCQ33" s="678"/>
      <c r="GCR33" s="678"/>
      <c r="GCS33" s="678"/>
      <c r="GCT33" s="678"/>
      <c r="GCU33" s="678"/>
      <c r="GCV33" s="678"/>
      <c r="GCW33" s="678"/>
      <c r="GCX33" s="678"/>
      <c r="GCY33" s="678"/>
      <c r="GCZ33" s="678"/>
      <c r="GDA33" s="678"/>
      <c r="GDB33" s="678"/>
      <c r="GDC33" s="678"/>
      <c r="GDD33" s="678"/>
      <c r="GDE33" s="678"/>
      <c r="GDF33" s="678"/>
      <c r="GDG33" s="678"/>
      <c r="GDH33" s="678"/>
      <c r="GDI33" s="678"/>
      <c r="GDJ33" s="678"/>
      <c r="GDK33" s="678"/>
      <c r="GDL33" s="678"/>
      <c r="GDM33" s="678"/>
      <c r="GDN33" s="678"/>
      <c r="GDO33" s="678"/>
      <c r="GDP33" s="678"/>
      <c r="GDQ33" s="678"/>
      <c r="GDR33" s="678"/>
      <c r="GDS33" s="678"/>
      <c r="GDT33" s="678"/>
      <c r="GDU33" s="678"/>
      <c r="GDV33" s="678"/>
      <c r="GDW33" s="678"/>
      <c r="GDX33" s="678"/>
      <c r="GDY33" s="678"/>
      <c r="GDZ33" s="678"/>
      <c r="GEA33" s="678"/>
      <c r="GEB33" s="678"/>
      <c r="GEC33" s="678"/>
      <c r="GED33" s="678"/>
      <c r="GEE33" s="678"/>
      <c r="GEF33" s="678"/>
      <c r="GEG33" s="678"/>
      <c r="GEH33" s="678"/>
      <c r="GEI33" s="678"/>
      <c r="GEJ33" s="678"/>
      <c r="GEK33" s="678"/>
      <c r="GEL33" s="678"/>
      <c r="GEM33" s="678"/>
      <c r="GEN33" s="678"/>
      <c r="GEO33" s="678"/>
      <c r="GEP33" s="678"/>
      <c r="GEQ33" s="678"/>
      <c r="GER33" s="678"/>
      <c r="GES33" s="678"/>
      <c r="GET33" s="678"/>
      <c r="GEU33" s="678"/>
      <c r="GEV33" s="678"/>
      <c r="GEW33" s="678"/>
      <c r="GEX33" s="678"/>
      <c r="GEY33" s="678"/>
      <c r="GEZ33" s="678"/>
      <c r="GFA33" s="678"/>
      <c r="GFB33" s="678"/>
      <c r="GFC33" s="678"/>
      <c r="GFD33" s="678"/>
      <c r="GFE33" s="678"/>
      <c r="GFF33" s="678"/>
      <c r="GFG33" s="678"/>
      <c r="GFH33" s="678"/>
      <c r="GFI33" s="678"/>
      <c r="GFJ33" s="678"/>
      <c r="GFK33" s="678"/>
      <c r="GFL33" s="678"/>
      <c r="GFM33" s="678"/>
      <c r="GFN33" s="678"/>
      <c r="GFO33" s="678"/>
      <c r="GFP33" s="678"/>
      <c r="GFQ33" s="678"/>
      <c r="GFR33" s="678"/>
      <c r="GFS33" s="678"/>
      <c r="GFT33" s="678"/>
      <c r="GFU33" s="678"/>
      <c r="GFV33" s="678"/>
      <c r="GFW33" s="678"/>
      <c r="GFX33" s="678"/>
      <c r="GFY33" s="678"/>
      <c r="GFZ33" s="678"/>
      <c r="GGA33" s="678"/>
      <c r="GGB33" s="678"/>
      <c r="GGC33" s="678"/>
      <c r="GGD33" s="678"/>
      <c r="GGE33" s="678"/>
      <c r="GGF33" s="678"/>
      <c r="GGG33" s="678"/>
      <c r="GGH33" s="678"/>
      <c r="GGI33" s="678"/>
      <c r="GGJ33" s="678"/>
      <c r="GGK33" s="678"/>
      <c r="GGL33" s="678"/>
      <c r="GGM33" s="678"/>
      <c r="GGN33" s="678"/>
      <c r="GGO33" s="678"/>
      <c r="GGP33" s="678"/>
      <c r="GGQ33" s="678"/>
      <c r="GGR33" s="678"/>
      <c r="GGS33" s="678"/>
      <c r="GGT33" s="678"/>
      <c r="GGU33" s="678"/>
      <c r="GGV33" s="678"/>
      <c r="GGW33" s="678"/>
      <c r="GGX33" s="678"/>
      <c r="GGY33" s="678"/>
      <c r="GGZ33" s="678"/>
      <c r="GHA33" s="678"/>
      <c r="GHB33" s="678"/>
      <c r="GHC33" s="678"/>
      <c r="GHD33" s="678"/>
      <c r="GHE33" s="678"/>
      <c r="GHF33" s="678"/>
      <c r="GHG33" s="678"/>
      <c r="GHH33" s="678"/>
      <c r="GHI33" s="678"/>
      <c r="GHJ33" s="678"/>
      <c r="GHK33" s="678"/>
      <c r="GHL33" s="678"/>
      <c r="GHM33" s="678"/>
      <c r="GHN33" s="678"/>
      <c r="GHO33" s="678"/>
      <c r="GHP33" s="678"/>
      <c r="GHQ33" s="678"/>
      <c r="GHR33" s="678"/>
      <c r="GHS33" s="678"/>
      <c r="GHT33" s="678"/>
      <c r="GHU33" s="678"/>
      <c r="GHV33" s="678"/>
      <c r="GHW33" s="678"/>
      <c r="GHX33" s="678"/>
      <c r="GHY33" s="678"/>
      <c r="GHZ33" s="678"/>
      <c r="GIA33" s="678"/>
      <c r="GIB33" s="678"/>
      <c r="GIC33" s="678"/>
      <c r="GID33" s="678"/>
      <c r="GIE33" s="678"/>
      <c r="GIF33" s="678"/>
      <c r="GIG33" s="678"/>
      <c r="GIH33" s="678"/>
      <c r="GII33" s="678"/>
      <c r="GIJ33" s="678"/>
      <c r="GIK33" s="678"/>
      <c r="GIL33" s="678"/>
      <c r="GIM33" s="678"/>
      <c r="GIN33" s="678"/>
      <c r="GIO33" s="678"/>
      <c r="GIP33" s="678"/>
      <c r="GIQ33" s="678"/>
      <c r="GIR33" s="678"/>
      <c r="GIS33" s="678"/>
      <c r="GIT33" s="678"/>
      <c r="GIU33" s="678"/>
      <c r="GIV33" s="678"/>
      <c r="GIW33" s="678"/>
      <c r="GIX33" s="678"/>
      <c r="GIY33" s="678"/>
      <c r="GIZ33" s="678"/>
      <c r="GJA33" s="678"/>
      <c r="GJB33" s="678"/>
      <c r="GJC33" s="678"/>
      <c r="GJD33" s="678"/>
      <c r="GJE33" s="678"/>
      <c r="GJF33" s="678"/>
      <c r="GJG33" s="678"/>
      <c r="GJH33" s="678"/>
      <c r="GJI33" s="678"/>
      <c r="GJJ33" s="678"/>
      <c r="GJK33" s="678"/>
      <c r="GJL33" s="678"/>
      <c r="GJM33" s="678"/>
      <c r="GJN33" s="678"/>
      <c r="GJO33" s="678"/>
      <c r="GJP33" s="678"/>
      <c r="GJQ33" s="678"/>
      <c r="GJR33" s="678"/>
      <c r="GJS33" s="678"/>
      <c r="GJT33" s="678"/>
      <c r="GJU33" s="678"/>
      <c r="GJV33" s="678"/>
      <c r="GJW33" s="678"/>
      <c r="GJX33" s="678"/>
      <c r="GJY33" s="678"/>
      <c r="GJZ33" s="678"/>
      <c r="GKA33" s="678"/>
      <c r="GKB33" s="678"/>
      <c r="GKC33" s="678"/>
      <c r="GKD33" s="678"/>
      <c r="GKE33" s="678"/>
      <c r="GKF33" s="678"/>
      <c r="GKG33" s="678"/>
      <c r="GKH33" s="678"/>
      <c r="GKI33" s="678"/>
      <c r="GKJ33" s="678"/>
      <c r="GKK33" s="678"/>
      <c r="GKL33" s="678"/>
      <c r="GKM33" s="678"/>
      <c r="GKN33" s="678"/>
      <c r="GKO33" s="678"/>
      <c r="GKP33" s="678"/>
      <c r="GKQ33" s="678"/>
      <c r="GKR33" s="678"/>
      <c r="GKS33" s="678"/>
      <c r="GKT33" s="678"/>
      <c r="GKU33" s="678"/>
      <c r="GKV33" s="678"/>
      <c r="GKW33" s="678"/>
      <c r="GKX33" s="678"/>
      <c r="GKY33" s="678"/>
      <c r="GKZ33" s="678"/>
      <c r="GLA33" s="678"/>
      <c r="GLB33" s="678"/>
      <c r="GLC33" s="678"/>
      <c r="GLD33" s="678"/>
      <c r="GLE33" s="678"/>
      <c r="GLF33" s="678"/>
      <c r="GLG33" s="678"/>
      <c r="GLH33" s="678"/>
      <c r="GLI33" s="678"/>
      <c r="GLJ33" s="678"/>
      <c r="GLK33" s="678"/>
      <c r="GLL33" s="678"/>
      <c r="GLM33" s="678"/>
      <c r="GLN33" s="678"/>
      <c r="GLO33" s="678"/>
      <c r="GLP33" s="678"/>
      <c r="GLQ33" s="678"/>
      <c r="GLR33" s="678"/>
      <c r="GLS33" s="678"/>
      <c r="GLT33" s="678"/>
      <c r="GLU33" s="678"/>
      <c r="GLV33" s="678"/>
      <c r="GLW33" s="678"/>
      <c r="GLX33" s="678"/>
      <c r="GLY33" s="678"/>
      <c r="GLZ33" s="678"/>
      <c r="GMA33" s="678"/>
      <c r="GMB33" s="678"/>
      <c r="GMC33" s="678"/>
      <c r="GMD33" s="678"/>
      <c r="GME33" s="678"/>
      <c r="GMF33" s="678"/>
      <c r="GMG33" s="678"/>
      <c r="GMH33" s="678"/>
      <c r="GMI33" s="678"/>
      <c r="GMJ33" s="678"/>
      <c r="GMK33" s="678"/>
      <c r="GML33" s="678"/>
      <c r="GMM33" s="678"/>
      <c r="GMN33" s="678"/>
      <c r="GMO33" s="678"/>
      <c r="GMP33" s="678"/>
      <c r="GMQ33" s="678"/>
      <c r="GMR33" s="678"/>
      <c r="GMS33" s="678"/>
      <c r="GMT33" s="678"/>
      <c r="GMU33" s="678"/>
      <c r="GMV33" s="678"/>
      <c r="GMW33" s="678"/>
      <c r="GMX33" s="678"/>
      <c r="GMY33" s="678"/>
      <c r="GMZ33" s="678"/>
      <c r="GNA33" s="678"/>
      <c r="GNB33" s="678"/>
      <c r="GNC33" s="678"/>
      <c r="GND33" s="678"/>
      <c r="GNE33" s="678"/>
      <c r="GNF33" s="678"/>
      <c r="GNG33" s="678"/>
      <c r="GNH33" s="678"/>
      <c r="GNI33" s="678"/>
      <c r="GNJ33" s="678"/>
      <c r="GNK33" s="678"/>
      <c r="GNL33" s="678"/>
      <c r="GNM33" s="678"/>
      <c r="GNN33" s="678"/>
      <c r="GNO33" s="678"/>
      <c r="GNP33" s="678"/>
      <c r="GNQ33" s="678"/>
      <c r="GNR33" s="678"/>
      <c r="GNS33" s="678"/>
      <c r="GNT33" s="678"/>
      <c r="GNU33" s="678"/>
      <c r="GNV33" s="678"/>
      <c r="GNW33" s="678"/>
      <c r="GNX33" s="678"/>
      <c r="GNY33" s="678"/>
      <c r="GNZ33" s="678"/>
      <c r="GOA33" s="678"/>
      <c r="GOB33" s="678"/>
      <c r="GOC33" s="678"/>
      <c r="GOD33" s="678"/>
      <c r="GOE33" s="678"/>
      <c r="GOF33" s="678"/>
      <c r="GOG33" s="678"/>
      <c r="GOH33" s="678"/>
      <c r="GOI33" s="678"/>
      <c r="GOJ33" s="678"/>
      <c r="GOK33" s="678"/>
      <c r="GOL33" s="678"/>
      <c r="GOM33" s="678"/>
      <c r="GON33" s="678"/>
      <c r="GOO33" s="678"/>
      <c r="GOP33" s="678"/>
      <c r="GOQ33" s="678"/>
      <c r="GOR33" s="678"/>
      <c r="GOS33" s="678"/>
      <c r="GOT33" s="678"/>
      <c r="GOU33" s="678"/>
      <c r="GOV33" s="678"/>
      <c r="GOW33" s="678"/>
      <c r="GOX33" s="678"/>
      <c r="GOY33" s="678"/>
      <c r="GOZ33" s="678"/>
      <c r="GPA33" s="678"/>
      <c r="GPB33" s="678"/>
      <c r="GPC33" s="678"/>
      <c r="GPD33" s="678"/>
      <c r="GPE33" s="678"/>
      <c r="GPF33" s="678"/>
      <c r="GPG33" s="678"/>
      <c r="GPH33" s="678"/>
      <c r="GPI33" s="678"/>
      <c r="GPJ33" s="678"/>
      <c r="GPK33" s="678"/>
      <c r="GPL33" s="678"/>
      <c r="GPM33" s="678"/>
      <c r="GPN33" s="678"/>
      <c r="GPO33" s="678"/>
      <c r="GPP33" s="678"/>
      <c r="GPQ33" s="678"/>
      <c r="GPR33" s="678"/>
      <c r="GPS33" s="678"/>
      <c r="GPT33" s="678"/>
      <c r="GPU33" s="678"/>
      <c r="GPV33" s="678"/>
      <c r="GPW33" s="678"/>
      <c r="GPX33" s="678"/>
      <c r="GPY33" s="678"/>
      <c r="GPZ33" s="678"/>
      <c r="GQA33" s="678"/>
      <c r="GQB33" s="678"/>
      <c r="GQC33" s="678"/>
      <c r="GQD33" s="678"/>
      <c r="GQE33" s="678"/>
      <c r="GQF33" s="678"/>
      <c r="GQG33" s="678"/>
      <c r="GQH33" s="678"/>
      <c r="GQI33" s="678"/>
      <c r="GQJ33" s="678"/>
      <c r="GQK33" s="678"/>
      <c r="GQL33" s="678"/>
      <c r="GQM33" s="678"/>
      <c r="GQN33" s="678"/>
      <c r="GQO33" s="678"/>
      <c r="GQP33" s="678"/>
      <c r="GQQ33" s="678"/>
      <c r="GQR33" s="678"/>
      <c r="GQS33" s="678"/>
      <c r="GQT33" s="678"/>
      <c r="GQU33" s="678"/>
      <c r="GQV33" s="678"/>
      <c r="GQW33" s="678"/>
      <c r="GQX33" s="678"/>
      <c r="GQY33" s="678"/>
      <c r="GQZ33" s="678"/>
      <c r="GRA33" s="678"/>
      <c r="GRB33" s="678"/>
      <c r="GRC33" s="678"/>
      <c r="GRD33" s="678"/>
      <c r="GRE33" s="678"/>
      <c r="GRF33" s="678"/>
      <c r="GRG33" s="678"/>
      <c r="GRH33" s="678"/>
      <c r="GRI33" s="678"/>
      <c r="GRJ33" s="678"/>
      <c r="GRK33" s="678"/>
      <c r="GRL33" s="678"/>
      <c r="GRM33" s="678"/>
      <c r="GRN33" s="678"/>
      <c r="GRO33" s="678"/>
      <c r="GRP33" s="678"/>
      <c r="GRQ33" s="678"/>
      <c r="GRR33" s="678"/>
      <c r="GRS33" s="678"/>
      <c r="GRT33" s="678"/>
      <c r="GRU33" s="678"/>
      <c r="GRV33" s="678"/>
      <c r="GRW33" s="678"/>
      <c r="GRX33" s="678"/>
      <c r="GRY33" s="678"/>
      <c r="GRZ33" s="678"/>
      <c r="GSA33" s="678"/>
      <c r="GSB33" s="678"/>
      <c r="GSC33" s="678"/>
      <c r="GSD33" s="678"/>
      <c r="GSE33" s="678"/>
      <c r="GSF33" s="678"/>
      <c r="GSG33" s="678"/>
      <c r="GSH33" s="678"/>
      <c r="GSI33" s="678"/>
      <c r="GSJ33" s="678"/>
      <c r="GSK33" s="678"/>
      <c r="GSL33" s="678"/>
      <c r="GSM33" s="678"/>
      <c r="GSN33" s="678"/>
      <c r="GSO33" s="678"/>
      <c r="GSP33" s="678"/>
      <c r="GSQ33" s="678"/>
      <c r="GSR33" s="678"/>
      <c r="GSS33" s="678"/>
      <c r="GST33" s="678"/>
      <c r="GSU33" s="678"/>
      <c r="GSV33" s="678"/>
      <c r="GSW33" s="678"/>
      <c r="GSX33" s="678"/>
      <c r="GSY33" s="678"/>
      <c r="GSZ33" s="678"/>
      <c r="GTA33" s="678"/>
      <c r="GTB33" s="678"/>
      <c r="GTC33" s="678"/>
      <c r="GTD33" s="678"/>
      <c r="GTE33" s="678"/>
      <c r="GTF33" s="678"/>
      <c r="GTG33" s="678"/>
      <c r="GTH33" s="678"/>
      <c r="GTI33" s="678"/>
      <c r="GTJ33" s="678"/>
      <c r="GTK33" s="678"/>
      <c r="GTL33" s="678"/>
      <c r="GTM33" s="678"/>
      <c r="GTN33" s="678"/>
      <c r="GTO33" s="678"/>
      <c r="GTP33" s="678"/>
      <c r="GTQ33" s="678"/>
      <c r="GTR33" s="678"/>
      <c r="GTS33" s="678"/>
      <c r="GTT33" s="678"/>
      <c r="GTU33" s="678"/>
      <c r="GTV33" s="678"/>
      <c r="GTW33" s="678"/>
      <c r="GTX33" s="678"/>
      <c r="GTY33" s="678"/>
      <c r="GTZ33" s="678"/>
      <c r="GUA33" s="678"/>
      <c r="GUB33" s="678"/>
      <c r="GUC33" s="678"/>
      <c r="GUD33" s="678"/>
      <c r="GUE33" s="678"/>
      <c r="GUF33" s="678"/>
      <c r="GUG33" s="678"/>
      <c r="GUH33" s="678"/>
      <c r="GUI33" s="678"/>
      <c r="GUJ33" s="678"/>
      <c r="GUK33" s="678"/>
      <c r="GUL33" s="678"/>
      <c r="GUM33" s="678"/>
      <c r="GUN33" s="678"/>
      <c r="GUO33" s="678"/>
      <c r="GUP33" s="678"/>
      <c r="GUQ33" s="678"/>
      <c r="GUR33" s="678"/>
      <c r="GUS33" s="678"/>
      <c r="GUT33" s="678"/>
      <c r="GUU33" s="678"/>
      <c r="GUV33" s="678"/>
      <c r="GUW33" s="678"/>
      <c r="GUX33" s="678"/>
      <c r="GUY33" s="678"/>
      <c r="GUZ33" s="678"/>
      <c r="GVA33" s="678"/>
      <c r="GVB33" s="678"/>
      <c r="GVC33" s="678"/>
      <c r="GVD33" s="678"/>
      <c r="GVE33" s="678"/>
      <c r="GVF33" s="678"/>
      <c r="GVG33" s="678"/>
      <c r="GVH33" s="678"/>
      <c r="GVI33" s="678"/>
      <c r="GVJ33" s="678"/>
      <c r="GVK33" s="678"/>
      <c r="GVL33" s="678"/>
      <c r="GVM33" s="678"/>
      <c r="GVN33" s="678"/>
      <c r="GVO33" s="678"/>
      <c r="GVP33" s="678"/>
      <c r="GVQ33" s="678"/>
      <c r="GVR33" s="678"/>
      <c r="GVS33" s="678"/>
      <c r="GVT33" s="678"/>
      <c r="GVU33" s="678"/>
      <c r="GVV33" s="678"/>
      <c r="GVW33" s="678"/>
      <c r="GVX33" s="678"/>
      <c r="GVY33" s="678"/>
      <c r="GVZ33" s="678"/>
      <c r="GWA33" s="678"/>
      <c r="GWB33" s="678"/>
      <c r="GWC33" s="678"/>
      <c r="GWD33" s="678"/>
      <c r="GWE33" s="678"/>
      <c r="GWF33" s="678"/>
      <c r="GWG33" s="678"/>
      <c r="GWH33" s="678"/>
      <c r="GWI33" s="678"/>
      <c r="GWJ33" s="678"/>
      <c r="GWK33" s="678"/>
      <c r="GWL33" s="678"/>
      <c r="GWM33" s="678"/>
      <c r="GWN33" s="678"/>
      <c r="GWO33" s="678"/>
      <c r="GWP33" s="678"/>
      <c r="GWQ33" s="678"/>
      <c r="GWR33" s="678"/>
      <c r="GWS33" s="678"/>
      <c r="GWT33" s="678"/>
      <c r="GWU33" s="678"/>
      <c r="GWV33" s="678"/>
      <c r="GWW33" s="678"/>
      <c r="GWX33" s="678"/>
      <c r="GWY33" s="678"/>
      <c r="GWZ33" s="678"/>
      <c r="GXA33" s="678"/>
      <c r="GXB33" s="678"/>
      <c r="GXC33" s="678"/>
      <c r="GXD33" s="678"/>
      <c r="GXE33" s="678"/>
      <c r="GXF33" s="678"/>
      <c r="GXG33" s="678"/>
      <c r="GXH33" s="678"/>
      <c r="GXI33" s="678"/>
      <c r="GXJ33" s="678"/>
      <c r="GXK33" s="678"/>
      <c r="GXL33" s="678"/>
      <c r="GXM33" s="678"/>
      <c r="GXN33" s="678"/>
      <c r="GXO33" s="678"/>
      <c r="GXP33" s="678"/>
      <c r="GXQ33" s="678"/>
      <c r="GXR33" s="678"/>
      <c r="GXS33" s="678"/>
      <c r="GXT33" s="678"/>
      <c r="GXU33" s="678"/>
      <c r="GXV33" s="678"/>
      <c r="GXW33" s="678"/>
      <c r="GXX33" s="678"/>
      <c r="GXY33" s="678"/>
      <c r="GXZ33" s="678"/>
      <c r="GYA33" s="678"/>
      <c r="GYB33" s="678"/>
      <c r="GYC33" s="678"/>
      <c r="GYD33" s="678"/>
      <c r="GYE33" s="678"/>
      <c r="GYF33" s="678"/>
      <c r="GYG33" s="678"/>
      <c r="GYH33" s="678"/>
      <c r="GYI33" s="678"/>
      <c r="GYJ33" s="678"/>
      <c r="GYK33" s="678"/>
      <c r="GYL33" s="678"/>
      <c r="GYM33" s="678"/>
      <c r="GYN33" s="678"/>
      <c r="GYO33" s="678"/>
      <c r="GYP33" s="678"/>
      <c r="GYQ33" s="678"/>
      <c r="GYR33" s="678"/>
      <c r="GYS33" s="678"/>
      <c r="GYT33" s="678"/>
      <c r="GYU33" s="678"/>
      <c r="GYV33" s="678"/>
      <c r="GYW33" s="678"/>
      <c r="GYX33" s="678"/>
      <c r="GYY33" s="678"/>
      <c r="GYZ33" s="678"/>
      <c r="GZA33" s="678"/>
      <c r="GZB33" s="678"/>
      <c r="GZC33" s="678"/>
      <c r="GZD33" s="678"/>
      <c r="GZE33" s="678"/>
      <c r="GZF33" s="678"/>
      <c r="GZG33" s="678"/>
      <c r="GZH33" s="678"/>
      <c r="GZI33" s="678"/>
      <c r="GZJ33" s="678"/>
      <c r="GZK33" s="678"/>
      <c r="GZL33" s="678"/>
      <c r="GZM33" s="678"/>
      <c r="GZN33" s="678"/>
      <c r="GZO33" s="678"/>
      <c r="GZP33" s="678"/>
      <c r="GZQ33" s="678"/>
      <c r="GZR33" s="678"/>
      <c r="GZS33" s="678"/>
      <c r="GZT33" s="678"/>
      <c r="GZU33" s="678"/>
      <c r="GZV33" s="678"/>
      <c r="GZW33" s="678"/>
      <c r="GZX33" s="678"/>
      <c r="GZY33" s="678"/>
      <c r="GZZ33" s="678"/>
      <c r="HAA33" s="678"/>
      <c r="HAB33" s="678"/>
      <c r="HAC33" s="678"/>
      <c r="HAD33" s="678"/>
      <c r="HAE33" s="678"/>
      <c r="HAF33" s="678"/>
      <c r="HAG33" s="678"/>
      <c r="HAH33" s="678"/>
      <c r="HAI33" s="678"/>
      <c r="HAJ33" s="678"/>
      <c r="HAK33" s="678"/>
      <c r="HAL33" s="678"/>
      <c r="HAM33" s="678"/>
      <c r="HAN33" s="678"/>
      <c r="HAO33" s="678"/>
      <c r="HAP33" s="678"/>
      <c r="HAQ33" s="678"/>
      <c r="HAR33" s="678"/>
      <c r="HAS33" s="678"/>
      <c r="HAT33" s="678"/>
      <c r="HAU33" s="678"/>
      <c r="HAV33" s="678"/>
      <c r="HAW33" s="678"/>
      <c r="HAX33" s="678"/>
      <c r="HAY33" s="678"/>
      <c r="HAZ33" s="678"/>
      <c r="HBA33" s="678"/>
      <c r="HBB33" s="678"/>
      <c r="HBC33" s="678"/>
      <c r="HBD33" s="678"/>
      <c r="HBE33" s="678"/>
      <c r="HBF33" s="678"/>
      <c r="HBG33" s="678"/>
      <c r="HBH33" s="678"/>
      <c r="HBI33" s="678"/>
      <c r="HBJ33" s="678"/>
      <c r="HBK33" s="678"/>
      <c r="HBL33" s="678"/>
      <c r="HBM33" s="678"/>
      <c r="HBN33" s="678"/>
      <c r="HBO33" s="678"/>
      <c r="HBP33" s="678"/>
      <c r="HBQ33" s="678"/>
      <c r="HBR33" s="678"/>
      <c r="HBS33" s="678"/>
      <c r="HBT33" s="678"/>
      <c r="HBU33" s="678"/>
      <c r="HBV33" s="678"/>
      <c r="HBW33" s="678"/>
      <c r="HBX33" s="678"/>
      <c r="HBY33" s="678"/>
      <c r="HBZ33" s="678"/>
      <c r="HCA33" s="678"/>
      <c r="HCB33" s="678"/>
      <c r="HCC33" s="678"/>
      <c r="HCD33" s="678"/>
      <c r="HCE33" s="678"/>
      <c r="HCF33" s="678"/>
      <c r="HCG33" s="678"/>
      <c r="HCH33" s="678"/>
      <c r="HCI33" s="678"/>
      <c r="HCJ33" s="678"/>
      <c r="HCK33" s="678"/>
      <c r="HCL33" s="678"/>
      <c r="HCM33" s="678"/>
      <c r="HCN33" s="678"/>
      <c r="HCO33" s="678"/>
      <c r="HCP33" s="678"/>
      <c r="HCQ33" s="678"/>
      <c r="HCR33" s="678"/>
      <c r="HCS33" s="678"/>
      <c r="HCT33" s="678"/>
      <c r="HCU33" s="678"/>
      <c r="HCV33" s="678"/>
      <c r="HCW33" s="678"/>
      <c r="HCX33" s="678"/>
      <c r="HCY33" s="678"/>
      <c r="HCZ33" s="678"/>
      <c r="HDA33" s="678"/>
      <c r="HDB33" s="678"/>
      <c r="HDC33" s="678"/>
      <c r="HDD33" s="678"/>
      <c r="HDE33" s="678"/>
      <c r="HDF33" s="678"/>
      <c r="HDG33" s="678"/>
      <c r="HDH33" s="678"/>
      <c r="HDI33" s="678"/>
      <c r="HDJ33" s="678"/>
      <c r="HDK33" s="678"/>
      <c r="HDL33" s="678"/>
      <c r="HDM33" s="678"/>
      <c r="HDN33" s="678"/>
      <c r="HDO33" s="678"/>
      <c r="HDP33" s="678"/>
      <c r="HDQ33" s="678"/>
      <c r="HDR33" s="678"/>
      <c r="HDS33" s="678"/>
      <c r="HDT33" s="678"/>
      <c r="HDU33" s="678"/>
      <c r="HDV33" s="678"/>
      <c r="HDW33" s="678"/>
      <c r="HDX33" s="678"/>
      <c r="HDY33" s="678"/>
      <c r="HDZ33" s="678"/>
      <c r="HEA33" s="678"/>
      <c r="HEB33" s="678"/>
      <c r="HEC33" s="678"/>
      <c r="HED33" s="678"/>
      <c r="HEE33" s="678"/>
      <c r="HEF33" s="678"/>
      <c r="HEG33" s="678"/>
      <c r="HEH33" s="678"/>
      <c r="HEI33" s="678"/>
      <c r="HEJ33" s="678"/>
      <c r="HEK33" s="678"/>
      <c r="HEL33" s="678"/>
      <c r="HEM33" s="678"/>
      <c r="HEN33" s="678"/>
      <c r="HEO33" s="678"/>
      <c r="HEP33" s="678"/>
      <c r="HEQ33" s="678"/>
      <c r="HER33" s="678"/>
      <c r="HES33" s="678"/>
      <c r="HET33" s="678"/>
      <c r="HEU33" s="678"/>
      <c r="HEV33" s="678"/>
      <c r="HEW33" s="678"/>
      <c r="HEX33" s="678"/>
      <c r="HEY33" s="678"/>
      <c r="HEZ33" s="678"/>
      <c r="HFA33" s="678"/>
      <c r="HFB33" s="678"/>
      <c r="HFC33" s="678"/>
      <c r="HFD33" s="678"/>
      <c r="HFE33" s="678"/>
      <c r="HFF33" s="678"/>
      <c r="HFG33" s="678"/>
      <c r="HFH33" s="678"/>
      <c r="HFI33" s="678"/>
      <c r="HFJ33" s="678"/>
      <c r="HFK33" s="678"/>
      <c r="HFL33" s="678"/>
      <c r="HFM33" s="678"/>
      <c r="HFN33" s="678"/>
      <c r="HFO33" s="678"/>
      <c r="HFP33" s="678"/>
      <c r="HFQ33" s="678"/>
      <c r="HFR33" s="678"/>
      <c r="HFS33" s="678"/>
      <c r="HFT33" s="678"/>
      <c r="HFU33" s="678"/>
      <c r="HFV33" s="678"/>
      <c r="HFW33" s="678"/>
      <c r="HFX33" s="678"/>
      <c r="HFY33" s="678"/>
      <c r="HFZ33" s="678"/>
      <c r="HGA33" s="678"/>
      <c r="HGB33" s="678"/>
      <c r="HGC33" s="678"/>
      <c r="HGD33" s="678"/>
      <c r="HGE33" s="678"/>
      <c r="HGF33" s="678"/>
      <c r="HGG33" s="678"/>
      <c r="HGH33" s="678"/>
      <c r="HGI33" s="678"/>
      <c r="HGJ33" s="678"/>
      <c r="HGK33" s="678"/>
      <c r="HGL33" s="678"/>
      <c r="HGM33" s="678"/>
      <c r="HGN33" s="678"/>
      <c r="HGO33" s="678"/>
      <c r="HGP33" s="678"/>
      <c r="HGQ33" s="678"/>
      <c r="HGR33" s="678"/>
      <c r="HGS33" s="678"/>
      <c r="HGT33" s="678"/>
      <c r="HGU33" s="678"/>
      <c r="HGV33" s="678"/>
      <c r="HGW33" s="678"/>
      <c r="HGX33" s="678"/>
      <c r="HGY33" s="678"/>
      <c r="HGZ33" s="678"/>
      <c r="HHA33" s="678"/>
      <c r="HHB33" s="678"/>
      <c r="HHC33" s="678"/>
      <c r="HHD33" s="678"/>
      <c r="HHE33" s="678"/>
      <c r="HHF33" s="678"/>
      <c r="HHG33" s="678"/>
      <c r="HHH33" s="678"/>
      <c r="HHI33" s="678"/>
      <c r="HHJ33" s="678"/>
      <c r="HHK33" s="678"/>
      <c r="HHL33" s="678"/>
      <c r="HHM33" s="678"/>
      <c r="HHN33" s="678"/>
      <c r="HHO33" s="678"/>
      <c r="HHP33" s="678"/>
      <c r="HHQ33" s="678"/>
      <c r="HHR33" s="678"/>
      <c r="HHS33" s="678"/>
      <c r="HHT33" s="678"/>
      <c r="HHU33" s="678"/>
      <c r="HHV33" s="678"/>
      <c r="HHW33" s="678"/>
      <c r="HHX33" s="678"/>
      <c r="HHY33" s="678"/>
      <c r="HHZ33" s="678"/>
      <c r="HIA33" s="678"/>
      <c r="HIB33" s="678"/>
      <c r="HIC33" s="678"/>
      <c r="HID33" s="678"/>
      <c r="HIE33" s="678"/>
      <c r="HIF33" s="678"/>
      <c r="HIG33" s="678"/>
      <c r="HIH33" s="678"/>
      <c r="HII33" s="678"/>
      <c r="HIJ33" s="678"/>
      <c r="HIK33" s="678"/>
      <c r="HIL33" s="678"/>
      <c r="HIM33" s="678"/>
      <c r="HIN33" s="678"/>
      <c r="HIO33" s="678"/>
      <c r="HIP33" s="678"/>
      <c r="HIQ33" s="678"/>
      <c r="HIR33" s="678"/>
      <c r="HIS33" s="678"/>
      <c r="HIT33" s="678"/>
      <c r="HIU33" s="678"/>
      <c r="HIV33" s="678"/>
      <c r="HIW33" s="678"/>
      <c r="HIX33" s="678"/>
      <c r="HIY33" s="678"/>
      <c r="HIZ33" s="678"/>
      <c r="HJA33" s="678"/>
      <c r="HJB33" s="678"/>
      <c r="HJC33" s="678"/>
      <c r="HJD33" s="678"/>
      <c r="HJE33" s="678"/>
      <c r="HJF33" s="678"/>
      <c r="HJG33" s="678"/>
      <c r="HJH33" s="678"/>
      <c r="HJI33" s="678"/>
      <c r="HJJ33" s="678"/>
      <c r="HJK33" s="678"/>
      <c r="HJL33" s="678"/>
      <c r="HJM33" s="678"/>
      <c r="HJN33" s="678"/>
      <c r="HJO33" s="678"/>
      <c r="HJP33" s="678"/>
      <c r="HJQ33" s="678"/>
      <c r="HJR33" s="678"/>
      <c r="HJS33" s="678"/>
      <c r="HJT33" s="678"/>
      <c r="HJU33" s="678"/>
      <c r="HJV33" s="678"/>
      <c r="HJW33" s="678"/>
      <c r="HJX33" s="678"/>
      <c r="HJY33" s="678"/>
      <c r="HJZ33" s="678"/>
      <c r="HKA33" s="678"/>
      <c r="HKB33" s="678"/>
      <c r="HKC33" s="678"/>
      <c r="HKD33" s="678"/>
      <c r="HKE33" s="678"/>
      <c r="HKF33" s="678"/>
      <c r="HKG33" s="678"/>
      <c r="HKH33" s="678"/>
      <c r="HKI33" s="678"/>
      <c r="HKJ33" s="678"/>
      <c r="HKK33" s="678"/>
      <c r="HKL33" s="678"/>
      <c r="HKM33" s="678"/>
      <c r="HKN33" s="678"/>
      <c r="HKO33" s="678"/>
      <c r="HKP33" s="678"/>
      <c r="HKQ33" s="678"/>
      <c r="HKR33" s="678"/>
      <c r="HKS33" s="678"/>
      <c r="HKT33" s="678"/>
      <c r="HKU33" s="678"/>
      <c r="HKV33" s="678"/>
      <c r="HKW33" s="678"/>
      <c r="HKX33" s="678"/>
      <c r="HKY33" s="678"/>
      <c r="HKZ33" s="678"/>
      <c r="HLA33" s="678"/>
      <c r="HLB33" s="678"/>
      <c r="HLC33" s="678"/>
      <c r="HLD33" s="678"/>
      <c r="HLE33" s="678"/>
      <c r="HLF33" s="678"/>
      <c r="HLG33" s="678"/>
      <c r="HLH33" s="678"/>
      <c r="HLI33" s="678"/>
      <c r="HLJ33" s="678"/>
      <c r="HLK33" s="678"/>
      <c r="HLL33" s="678"/>
      <c r="HLM33" s="678"/>
      <c r="HLN33" s="678"/>
      <c r="HLO33" s="678"/>
      <c r="HLP33" s="678"/>
      <c r="HLQ33" s="678"/>
      <c r="HLR33" s="678"/>
      <c r="HLS33" s="678"/>
      <c r="HLT33" s="678"/>
      <c r="HLU33" s="678"/>
      <c r="HLV33" s="678"/>
      <c r="HLW33" s="678"/>
      <c r="HLX33" s="678"/>
      <c r="HLY33" s="678"/>
      <c r="HLZ33" s="678"/>
      <c r="HMA33" s="678"/>
      <c r="HMB33" s="678"/>
      <c r="HMC33" s="678"/>
      <c r="HMD33" s="678"/>
      <c r="HME33" s="678"/>
      <c r="HMF33" s="678"/>
      <c r="HMG33" s="678"/>
      <c r="HMH33" s="678"/>
      <c r="HMI33" s="678"/>
      <c r="HMJ33" s="678"/>
      <c r="HMK33" s="678"/>
      <c r="HML33" s="678"/>
      <c r="HMM33" s="678"/>
      <c r="HMN33" s="678"/>
      <c r="HMO33" s="678"/>
      <c r="HMP33" s="678"/>
      <c r="HMQ33" s="678"/>
      <c r="HMR33" s="678"/>
      <c r="HMS33" s="678"/>
      <c r="HMT33" s="678"/>
      <c r="HMU33" s="678"/>
      <c r="HMV33" s="678"/>
      <c r="HMW33" s="678"/>
      <c r="HMX33" s="678"/>
      <c r="HMY33" s="678"/>
      <c r="HMZ33" s="678"/>
      <c r="HNA33" s="678"/>
      <c r="HNB33" s="678"/>
      <c r="HNC33" s="678"/>
      <c r="HND33" s="678"/>
      <c r="HNE33" s="678"/>
      <c r="HNF33" s="678"/>
      <c r="HNG33" s="678"/>
      <c r="HNH33" s="678"/>
      <c r="HNI33" s="678"/>
      <c r="HNJ33" s="678"/>
      <c r="HNK33" s="678"/>
      <c r="HNL33" s="678"/>
      <c r="HNM33" s="678"/>
      <c r="HNN33" s="678"/>
      <c r="HNO33" s="678"/>
      <c r="HNP33" s="678"/>
      <c r="HNQ33" s="678"/>
      <c r="HNR33" s="678"/>
      <c r="HNS33" s="678"/>
      <c r="HNT33" s="678"/>
      <c r="HNU33" s="678"/>
      <c r="HNV33" s="678"/>
      <c r="HNW33" s="678"/>
      <c r="HNX33" s="678"/>
      <c r="HNY33" s="678"/>
      <c r="HNZ33" s="678"/>
      <c r="HOA33" s="678"/>
      <c r="HOB33" s="678"/>
      <c r="HOC33" s="678"/>
      <c r="HOD33" s="678"/>
      <c r="HOE33" s="678"/>
      <c r="HOF33" s="678"/>
      <c r="HOG33" s="678"/>
      <c r="HOH33" s="678"/>
      <c r="HOI33" s="678"/>
      <c r="HOJ33" s="678"/>
      <c r="HOK33" s="678"/>
      <c r="HOL33" s="678"/>
      <c r="HOM33" s="678"/>
      <c r="HON33" s="678"/>
      <c r="HOO33" s="678"/>
      <c r="HOP33" s="678"/>
      <c r="HOQ33" s="678"/>
      <c r="HOR33" s="678"/>
      <c r="HOS33" s="678"/>
      <c r="HOT33" s="678"/>
      <c r="HOU33" s="678"/>
      <c r="HOV33" s="678"/>
      <c r="HOW33" s="678"/>
      <c r="HOX33" s="678"/>
      <c r="HOY33" s="678"/>
      <c r="HOZ33" s="678"/>
      <c r="HPA33" s="678"/>
      <c r="HPB33" s="678"/>
      <c r="HPC33" s="678"/>
      <c r="HPD33" s="678"/>
      <c r="HPE33" s="678"/>
      <c r="HPF33" s="678"/>
      <c r="HPG33" s="678"/>
      <c r="HPH33" s="678"/>
      <c r="HPI33" s="678"/>
      <c r="HPJ33" s="678"/>
      <c r="HPK33" s="678"/>
      <c r="HPL33" s="678"/>
      <c r="HPM33" s="678"/>
      <c r="HPN33" s="678"/>
      <c r="HPO33" s="678"/>
      <c r="HPP33" s="678"/>
      <c r="HPQ33" s="678"/>
      <c r="HPR33" s="678"/>
      <c r="HPS33" s="678"/>
      <c r="HPT33" s="678"/>
      <c r="HPU33" s="678"/>
      <c r="HPV33" s="678"/>
      <c r="HPW33" s="678"/>
      <c r="HPX33" s="678"/>
      <c r="HPY33" s="678"/>
      <c r="HPZ33" s="678"/>
      <c r="HQA33" s="678"/>
      <c r="HQB33" s="678"/>
      <c r="HQC33" s="678"/>
      <c r="HQD33" s="678"/>
      <c r="HQE33" s="678"/>
      <c r="HQF33" s="678"/>
      <c r="HQG33" s="678"/>
      <c r="HQH33" s="678"/>
      <c r="HQI33" s="678"/>
      <c r="HQJ33" s="678"/>
      <c r="HQK33" s="678"/>
      <c r="HQL33" s="678"/>
      <c r="HQM33" s="678"/>
      <c r="HQN33" s="678"/>
      <c r="HQO33" s="678"/>
      <c r="HQP33" s="678"/>
      <c r="HQQ33" s="678"/>
      <c r="HQR33" s="678"/>
      <c r="HQS33" s="678"/>
      <c r="HQT33" s="678"/>
      <c r="HQU33" s="678"/>
      <c r="HQV33" s="678"/>
      <c r="HQW33" s="678"/>
      <c r="HQX33" s="678"/>
      <c r="HQY33" s="678"/>
      <c r="HQZ33" s="678"/>
      <c r="HRA33" s="678"/>
      <c r="HRB33" s="678"/>
      <c r="HRC33" s="678"/>
      <c r="HRD33" s="678"/>
      <c r="HRE33" s="678"/>
      <c r="HRF33" s="678"/>
      <c r="HRG33" s="678"/>
      <c r="HRH33" s="678"/>
      <c r="HRI33" s="678"/>
      <c r="HRJ33" s="678"/>
      <c r="HRK33" s="678"/>
      <c r="HRL33" s="678"/>
      <c r="HRM33" s="678"/>
      <c r="HRN33" s="678"/>
      <c r="HRO33" s="678"/>
      <c r="HRP33" s="678"/>
      <c r="HRQ33" s="678"/>
      <c r="HRR33" s="678"/>
      <c r="HRS33" s="678"/>
      <c r="HRT33" s="678"/>
      <c r="HRU33" s="678"/>
      <c r="HRV33" s="678"/>
      <c r="HRW33" s="678"/>
      <c r="HRX33" s="678"/>
      <c r="HRY33" s="678"/>
      <c r="HRZ33" s="678"/>
      <c r="HSA33" s="678"/>
      <c r="HSB33" s="678"/>
      <c r="HSC33" s="678"/>
      <c r="HSD33" s="678"/>
      <c r="HSE33" s="678"/>
      <c r="HSF33" s="678"/>
      <c r="HSG33" s="678"/>
      <c r="HSH33" s="678"/>
      <c r="HSI33" s="678"/>
      <c r="HSJ33" s="678"/>
      <c r="HSK33" s="678"/>
      <c r="HSL33" s="678"/>
      <c r="HSM33" s="678"/>
      <c r="HSN33" s="678"/>
      <c r="HSO33" s="678"/>
      <c r="HSP33" s="678"/>
      <c r="HSQ33" s="678"/>
      <c r="HSR33" s="678"/>
      <c r="HSS33" s="678"/>
      <c r="HST33" s="678"/>
      <c r="HSU33" s="678"/>
      <c r="HSV33" s="678"/>
      <c r="HSW33" s="678"/>
      <c r="HSX33" s="678"/>
      <c r="HSY33" s="678"/>
      <c r="HSZ33" s="678"/>
      <c r="HTA33" s="678"/>
      <c r="HTB33" s="678"/>
      <c r="HTC33" s="678"/>
      <c r="HTD33" s="678"/>
      <c r="HTE33" s="678"/>
      <c r="HTF33" s="678"/>
      <c r="HTG33" s="678"/>
      <c r="HTH33" s="678"/>
      <c r="HTI33" s="678"/>
      <c r="HTJ33" s="678"/>
      <c r="HTK33" s="678"/>
      <c r="HTL33" s="678"/>
      <c r="HTM33" s="678"/>
      <c r="HTN33" s="678"/>
      <c r="HTO33" s="678"/>
      <c r="HTP33" s="678"/>
      <c r="HTQ33" s="678"/>
      <c r="HTR33" s="678"/>
      <c r="HTS33" s="678"/>
      <c r="HTT33" s="678"/>
      <c r="HTU33" s="678"/>
      <c r="HTV33" s="678"/>
      <c r="HTW33" s="678"/>
      <c r="HTX33" s="678"/>
      <c r="HTY33" s="678"/>
      <c r="HTZ33" s="678"/>
      <c r="HUA33" s="678"/>
      <c r="HUB33" s="678"/>
      <c r="HUC33" s="678"/>
      <c r="HUD33" s="678"/>
      <c r="HUE33" s="678"/>
      <c r="HUF33" s="678"/>
      <c r="HUG33" s="678"/>
      <c r="HUH33" s="678"/>
      <c r="HUI33" s="678"/>
      <c r="HUJ33" s="678"/>
      <c r="HUK33" s="678"/>
      <c r="HUL33" s="678"/>
      <c r="HUM33" s="678"/>
      <c r="HUN33" s="678"/>
      <c r="HUO33" s="678"/>
      <c r="HUP33" s="678"/>
      <c r="HUQ33" s="678"/>
      <c r="HUR33" s="678"/>
      <c r="HUS33" s="678"/>
      <c r="HUT33" s="678"/>
      <c r="HUU33" s="678"/>
      <c r="HUV33" s="678"/>
      <c r="HUW33" s="678"/>
      <c r="HUX33" s="678"/>
      <c r="HUY33" s="678"/>
      <c r="HUZ33" s="678"/>
      <c r="HVA33" s="678"/>
      <c r="HVB33" s="678"/>
      <c r="HVC33" s="678"/>
      <c r="HVD33" s="678"/>
      <c r="HVE33" s="678"/>
      <c r="HVF33" s="678"/>
      <c r="HVG33" s="678"/>
      <c r="HVH33" s="678"/>
      <c r="HVI33" s="678"/>
      <c r="HVJ33" s="678"/>
      <c r="HVK33" s="678"/>
      <c r="HVL33" s="678"/>
      <c r="HVM33" s="678"/>
      <c r="HVN33" s="678"/>
      <c r="HVO33" s="678"/>
      <c r="HVP33" s="678"/>
      <c r="HVQ33" s="678"/>
      <c r="HVR33" s="678"/>
      <c r="HVS33" s="678"/>
      <c r="HVT33" s="678"/>
      <c r="HVU33" s="678"/>
      <c r="HVV33" s="678"/>
      <c r="HVW33" s="678"/>
      <c r="HVX33" s="678"/>
      <c r="HVY33" s="678"/>
      <c r="HVZ33" s="678"/>
      <c r="HWA33" s="678"/>
      <c r="HWB33" s="678"/>
      <c r="HWC33" s="678"/>
      <c r="HWD33" s="678"/>
      <c r="HWE33" s="678"/>
      <c r="HWF33" s="678"/>
      <c r="HWG33" s="678"/>
      <c r="HWH33" s="678"/>
      <c r="HWI33" s="678"/>
      <c r="HWJ33" s="678"/>
      <c r="HWK33" s="678"/>
      <c r="HWL33" s="678"/>
      <c r="HWM33" s="678"/>
      <c r="HWN33" s="678"/>
      <c r="HWO33" s="678"/>
      <c r="HWP33" s="678"/>
      <c r="HWQ33" s="678"/>
      <c r="HWR33" s="678"/>
      <c r="HWS33" s="678"/>
      <c r="HWT33" s="678"/>
      <c r="HWU33" s="678"/>
      <c r="HWV33" s="678"/>
      <c r="HWW33" s="678"/>
      <c r="HWX33" s="678"/>
      <c r="HWY33" s="678"/>
      <c r="HWZ33" s="678"/>
      <c r="HXA33" s="678"/>
      <c r="HXB33" s="678"/>
      <c r="HXC33" s="678"/>
      <c r="HXD33" s="678"/>
      <c r="HXE33" s="678"/>
      <c r="HXF33" s="678"/>
      <c r="HXG33" s="678"/>
      <c r="HXH33" s="678"/>
      <c r="HXI33" s="678"/>
      <c r="HXJ33" s="678"/>
      <c r="HXK33" s="678"/>
      <c r="HXL33" s="678"/>
      <c r="HXM33" s="678"/>
      <c r="HXN33" s="678"/>
      <c r="HXO33" s="678"/>
      <c r="HXP33" s="678"/>
      <c r="HXQ33" s="678"/>
      <c r="HXR33" s="678"/>
      <c r="HXS33" s="678"/>
      <c r="HXT33" s="678"/>
      <c r="HXU33" s="678"/>
      <c r="HXV33" s="678"/>
      <c r="HXW33" s="678"/>
      <c r="HXX33" s="678"/>
      <c r="HXY33" s="678"/>
      <c r="HXZ33" s="678"/>
      <c r="HYA33" s="678"/>
      <c r="HYB33" s="678"/>
      <c r="HYC33" s="678"/>
      <c r="HYD33" s="678"/>
      <c r="HYE33" s="678"/>
      <c r="HYF33" s="678"/>
      <c r="HYG33" s="678"/>
      <c r="HYH33" s="678"/>
      <c r="HYI33" s="678"/>
      <c r="HYJ33" s="678"/>
      <c r="HYK33" s="678"/>
      <c r="HYL33" s="678"/>
      <c r="HYM33" s="678"/>
      <c r="HYN33" s="678"/>
      <c r="HYO33" s="678"/>
      <c r="HYP33" s="678"/>
      <c r="HYQ33" s="678"/>
      <c r="HYR33" s="678"/>
      <c r="HYS33" s="678"/>
      <c r="HYT33" s="678"/>
      <c r="HYU33" s="678"/>
      <c r="HYV33" s="678"/>
      <c r="HYW33" s="678"/>
      <c r="HYX33" s="678"/>
      <c r="HYY33" s="678"/>
      <c r="HYZ33" s="678"/>
      <c r="HZA33" s="678"/>
      <c r="HZB33" s="678"/>
      <c r="HZC33" s="678"/>
      <c r="HZD33" s="678"/>
      <c r="HZE33" s="678"/>
      <c r="HZF33" s="678"/>
      <c r="HZG33" s="678"/>
      <c r="HZH33" s="678"/>
      <c r="HZI33" s="678"/>
      <c r="HZJ33" s="678"/>
      <c r="HZK33" s="678"/>
      <c r="HZL33" s="678"/>
      <c r="HZM33" s="678"/>
      <c r="HZN33" s="678"/>
      <c r="HZO33" s="678"/>
      <c r="HZP33" s="678"/>
      <c r="HZQ33" s="678"/>
      <c r="HZR33" s="678"/>
      <c r="HZS33" s="678"/>
      <c r="HZT33" s="678"/>
      <c r="HZU33" s="678"/>
      <c r="HZV33" s="678"/>
      <c r="HZW33" s="678"/>
      <c r="HZX33" s="678"/>
      <c r="HZY33" s="678"/>
      <c r="HZZ33" s="678"/>
      <c r="IAA33" s="678"/>
      <c r="IAB33" s="678"/>
      <c r="IAC33" s="678"/>
      <c r="IAD33" s="678"/>
      <c r="IAE33" s="678"/>
      <c r="IAF33" s="678"/>
      <c r="IAG33" s="678"/>
      <c r="IAH33" s="678"/>
      <c r="IAI33" s="678"/>
      <c r="IAJ33" s="678"/>
      <c r="IAK33" s="678"/>
      <c r="IAL33" s="678"/>
      <c r="IAM33" s="678"/>
      <c r="IAN33" s="678"/>
      <c r="IAO33" s="678"/>
      <c r="IAP33" s="678"/>
      <c r="IAQ33" s="678"/>
      <c r="IAR33" s="678"/>
      <c r="IAS33" s="678"/>
      <c r="IAT33" s="678"/>
      <c r="IAU33" s="678"/>
      <c r="IAV33" s="678"/>
      <c r="IAW33" s="678"/>
      <c r="IAX33" s="678"/>
      <c r="IAY33" s="678"/>
      <c r="IAZ33" s="678"/>
      <c r="IBA33" s="678"/>
      <c r="IBB33" s="678"/>
      <c r="IBC33" s="678"/>
      <c r="IBD33" s="678"/>
      <c r="IBE33" s="678"/>
      <c r="IBF33" s="678"/>
      <c r="IBG33" s="678"/>
      <c r="IBH33" s="678"/>
      <c r="IBI33" s="678"/>
      <c r="IBJ33" s="678"/>
      <c r="IBK33" s="678"/>
      <c r="IBL33" s="678"/>
      <c r="IBM33" s="678"/>
      <c r="IBN33" s="678"/>
      <c r="IBO33" s="678"/>
      <c r="IBP33" s="678"/>
      <c r="IBQ33" s="678"/>
      <c r="IBR33" s="678"/>
      <c r="IBS33" s="678"/>
      <c r="IBT33" s="678"/>
      <c r="IBU33" s="678"/>
      <c r="IBV33" s="678"/>
      <c r="IBW33" s="678"/>
      <c r="IBX33" s="678"/>
      <c r="IBY33" s="678"/>
      <c r="IBZ33" s="678"/>
      <c r="ICA33" s="678"/>
      <c r="ICB33" s="678"/>
      <c r="ICC33" s="678"/>
      <c r="ICD33" s="678"/>
      <c r="ICE33" s="678"/>
      <c r="ICF33" s="678"/>
      <c r="ICG33" s="678"/>
      <c r="ICH33" s="678"/>
      <c r="ICI33" s="678"/>
      <c r="ICJ33" s="678"/>
      <c r="ICK33" s="678"/>
      <c r="ICL33" s="678"/>
      <c r="ICM33" s="678"/>
      <c r="ICN33" s="678"/>
      <c r="ICO33" s="678"/>
      <c r="ICP33" s="678"/>
      <c r="ICQ33" s="678"/>
      <c r="ICR33" s="678"/>
      <c r="ICS33" s="678"/>
      <c r="ICT33" s="678"/>
      <c r="ICU33" s="678"/>
      <c r="ICV33" s="678"/>
      <c r="ICW33" s="678"/>
      <c r="ICX33" s="678"/>
      <c r="ICY33" s="678"/>
      <c r="ICZ33" s="678"/>
      <c r="IDA33" s="678"/>
      <c r="IDB33" s="678"/>
      <c r="IDC33" s="678"/>
      <c r="IDD33" s="678"/>
      <c r="IDE33" s="678"/>
      <c r="IDF33" s="678"/>
      <c r="IDG33" s="678"/>
      <c r="IDH33" s="678"/>
      <c r="IDI33" s="678"/>
      <c r="IDJ33" s="678"/>
      <c r="IDK33" s="678"/>
      <c r="IDL33" s="678"/>
      <c r="IDM33" s="678"/>
      <c r="IDN33" s="678"/>
      <c r="IDO33" s="678"/>
      <c r="IDP33" s="678"/>
      <c r="IDQ33" s="678"/>
      <c r="IDR33" s="678"/>
      <c r="IDS33" s="678"/>
      <c r="IDT33" s="678"/>
      <c r="IDU33" s="678"/>
      <c r="IDV33" s="678"/>
      <c r="IDW33" s="678"/>
      <c r="IDX33" s="678"/>
      <c r="IDY33" s="678"/>
      <c r="IDZ33" s="678"/>
      <c r="IEA33" s="678"/>
      <c r="IEB33" s="678"/>
      <c r="IEC33" s="678"/>
      <c r="IED33" s="678"/>
      <c r="IEE33" s="678"/>
      <c r="IEF33" s="678"/>
      <c r="IEG33" s="678"/>
      <c r="IEH33" s="678"/>
      <c r="IEI33" s="678"/>
      <c r="IEJ33" s="678"/>
      <c r="IEK33" s="678"/>
      <c r="IEL33" s="678"/>
      <c r="IEM33" s="678"/>
      <c r="IEN33" s="678"/>
      <c r="IEO33" s="678"/>
      <c r="IEP33" s="678"/>
      <c r="IEQ33" s="678"/>
      <c r="IER33" s="678"/>
      <c r="IES33" s="678"/>
      <c r="IET33" s="678"/>
      <c r="IEU33" s="678"/>
      <c r="IEV33" s="678"/>
      <c r="IEW33" s="678"/>
      <c r="IEX33" s="678"/>
      <c r="IEY33" s="678"/>
      <c r="IEZ33" s="678"/>
      <c r="IFA33" s="678"/>
      <c r="IFB33" s="678"/>
      <c r="IFC33" s="678"/>
      <c r="IFD33" s="678"/>
      <c r="IFE33" s="678"/>
      <c r="IFF33" s="678"/>
      <c r="IFG33" s="678"/>
      <c r="IFH33" s="678"/>
      <c r="IFI33" s="678"/>
      <c r="IFJ33" s="678"/>
      <c r="IFK33" s="678"/>
      <c r="IFL33" s="678"/>
      <c r="IFM33" s="678"/>
      <c r="IFN33" s="678"/>
      <c r="IFO33" s="678"/>
      <c r="IFP33" s="678"/>
      <c r="IFQ33" s="678"/>
      <c r="IFR33" s="678"/>
      <c r="IFS33" s="678"/>
      <c r="IFT33" s="678"/>
      <c r="IFU33" s="678"/>
      <c r="IFV33" s="678"/>
      <c r="IFW33" s="678"/>
      <c r="IFX33" s="678"/>
      <c r="IFY33" s="678"/>
      <c r="IFZ33" s="678"/>
      <c r="IGA33" s="678"/>
      <c r="IGB33" s="678"/>
      <c r="IGC33" s="678"/>
      <c r="IGD33" s="678"/>
      <c r="IGE33" s="678"/>
      <c r="IGF33" s="678"/>
      <c r="IGG33" s="678"/>
      <c r="IGH33" s="678"/>
      <c r="IGI33" s="678"/>
      <c r="IGJ33" s="678"/>
      <c r="IGK33" s="678"/>
      <c r="IGL33" s="678"/>
      <c r="IGM33" s="678"/>
      <c r="IGN33" s="678"/>
      <c r="IGO33" s="678"/>
      <c r="IGP33" s="678"/>
      <c r="IGQ33" s="678"/>
      <c r="IGR33" s="678"/>
      <c r="IGS33" s="678"/>
      <c r="IGT33" s="678"/>
      <c r="IGU33" s="678"/>
      <c r="IGV33" s="678"/>
      <c r="IGW33" s="678"/>
      <c r="IGX33" s="678"/>
      <c r="IGY33" s="678"/>
      <c r="IGZ33" s="678"/>
      <c r="IHA33" s="678"/>
      <c r="IHB33" s="678"/>
      <c r="IHC33" s="678"/>
      <c r="IHD33" s="678"/>
      <c r="IHE33" s="678"/>
      <c r="IHF33" s="678"/>
      <c r="IHG33" s="678"/>
      <c r="IHH33" s="678"/>
      <c r="IHI33" s="678"/>
      <c r="IHJ33" s="678"/>
      <c r="IHK33" s="678"/>
      <c r="IHL33" s="678"/>
      <c r="IHM33" s="678"/>
      <c r="IHN33" s="678"/>
      <c r="IHO33" s="678"/>
      <c r="IHP33" s="678"/>
      <c r="IHQ33" s="678"/>
      <c r="IHR33" s="678"/>
      <c r="IHS33" s="678"/>
      <c r="IHT33" s="678"/>
      <c r="IHU33" s="678"/>
      <c r="IHV33" s="678"/>
      <c r="IHW33" s="678"/>
      <c r="IHX33" s="678"/>
      <c r="IHY33" s="678"/>
      <c r="IHZ33" s="678"/>
      <c r="IIA33" s="678"/>
      <c r="IIB33" s="678"/>
      <c r="IIC33" s="678"/>
      <c r="IID33" s="678"/>
      <c r="IIE33" s="678"/>
      <c r="IIF33" s="678"/>
      <c r="IIG33" s="678"/>
      <c r="IIH33" s="678"/>
      <c r="III33" s="678"/>
      <c r="IIJ33" s="678"/>
      <c r="IIK33" s="678"/>
      <c r="IIL33" s="678"/>
      <c r="IIM33" s="678"/>
      <c r="IIN33" s="678"/>
      <c r="IIO33" s="678"/>
      <c r="IIP33" s="678"/>
      <c r="IIQ33" s="678"/>
      <c r="IIR33" s="678"/>
      <c r="IIS33" s="678"/>
      <c r="IIT33" s="678"/>
      <c r="IIU33" s="678"/>
      <c r="IIV33" s="678"/>
      <c r="IIW33" s="678"/>
      <c r="IIX33" s="678"/>
      <c r="IIY33" s="678"/>
      <c r="IIZ33" s="678"/>
      <c r="IJA33" s="678"/>
      <c r="IJB33" s="678"/>
      <c r="IJC33" s="678"/>
      <c r="IJD33" s="678"/>
      <c r="IJE33" s="678"/>
      <c r="IJF33" s="678"/>
      <c r="IJG33" s="678"/>
      <c r="IJH33" s="678"/>
      <c r="IJI33" s="678"/>
      <c r="IJJ33" s="678"/>
      <c r="IJK33" s="678"/>
      <c r="IJL33" s="678"/>
      <c r="IJM33" s="678"/>
      <c r="IJN33" s="678"/>
      <c r="IJO33" s="678"/>
      <c r="IJP33" s="678"/>
      <c r="IJQ33" s="678"/>
      <c r="IJR33" s="678"/>
      <c r="IJS33" s="678"/>
      <c r="IJT33" s="678"/>
      <c r="IJU33" s="678"/>
      <c r="IJV33" s="678"/>
      <c r="IJW33" s="678"/>
      <c r="IJX33" s="678"/>
      <c r="IJY33" s="678"/>
      <c r="IJZ33" s="678"/>
      <c r="IKA33" s="678"/>
      <c r="IKB33" s="678"/>
      <c r="IKC33" s="678"/>
      <c r="IKD33" s="678"/>
      <c r="IKE33" s="678"/>
      <c r="IKF33" s="678"/>
      <c r="IKG33" s="678"/>
      <c r="IKH33" s="678"/>
      <c r="IKI33" s="678"/>
      <c r="IKJ33" s="678"/>
      <c r="IKK33" s="678"/>
      <c r="IKL33" s="678"/>
      <c r="IKM33" s="678"/>
      <c r="IKN33" s="678"/>
      <c r="IKO33" s="678"/>
      <c r="IKP33" s="678"/>
      <c r="IKQ33" s="678"/>
      <c r="IKR33" s="678"/>
      <c r="IKS33" s="678"/>
      <c r="IKT33" s="678"/>
      <c r="IKU33" s="678"/>
      <c r="IKV33" s="678"/>
      <c r="IKW33" s="678"/>
      <c r="IKX33" s="678"/>
      <c r="IKY33" s="678"/>
      <c r="IKZ33" s="678"/>
      <c r="ILA33" s="678"/>
      <c r="ILB33" s="678"/>
      <c r="ILC33" s="678"/>
      <c r="ILD33" s="678"/>
      <c r="ILE33" s="678"/>
      <c r="ILF33" s="678"/>
      <c r="ILG33" s="678"/>
      <c r="ILH33" s="678"/>
      <c r="ILI33" s="678"/>
      <c r="ILJ33" s="678"/>
      <c r="ILK33" s="678"/>
      <c r="ILL33" s="678"/>
      <c r="ILM33" s="678"/>
      <c r="ILN33" s="678"/>
      <c r="ILO33" s="678"/>
      <c r="ILP33" s="678"/>
      <c r="ILQ33" s="678"/>
      <c r="ILR33" s="678"/>
      <c r="ILS33" s="678"/>
      <c r="ILT33" s="678"/>
      <c r="ILU33" s="678"/>
      <c r="ILV33" s="678"/>
      <c r="ILW33" s="678"/>
      <c r="ILX33" s="678"/>
      <c r="ILY33" s="678"/>
      <c r="ILZ33" s="678"/>
      <c r="IMA33" s="678"/>
      <c r="IMB33" s="678"/>
      <c r="IMC33" s="678"/>
      <c r="IMD33" s="678"/>
      <c r="IME33" s="678"/>
      <c r="IMF33" s="678"/>
      <c r="IMG33" s="678"/>
      <c r="IMH33" s="678"/>
      <c r="IMI33" s="678"/>
      <c r="IMJ33" s="678"/>
      <c r="IMK33" s="678"/>
      <c r="IML33" s="678"/>
      <c r="IMM33" s="678"/>
      <c r="IMN33" s="678"/>
      <c r="IMO33" s="678"/>
      <c r="IMP33" s="678"/>
      <c r="IMQ33" s="678"/>
      <c r="IMR33" s="678"/>
      <c r="IMS33" s="678"/>
      <c r="IMT33" s="678"/>
      <c r="IMU33" s="678"/>
      <c r="IMV33" s="678"/>
      <c r="IMW33" s="678"/>
      <c r="IMX33" s="678"/>
      <c r="IMY33" s="678"/>
      <c r="IMZ33" s="678"/>
      <c r="INA33" s="678"/>
      <c r="INB33" s="678"/>
      <c r="INC33" s="678"/>
      <c r="IND33" s="678"/>
      <c r="INE33" s="678"/>
      <c r="INF33" s="678"/>
      <c r="ING33" s="678"/>
      <c r="INH33" s="678"/>
      <c r="INI33" s="678"/>
      <c r="INJ33" s="678"/>
      <c r="INK33" s="678"/>
      <c r="INL33" s="678"/>
      <c r="INM33" s="678"/>
      <c r="INN33" s="678"/>
      <c r="INO33" s="678"/>
      <c r="INP33" s="678"/>
      <c r="INQ33" s="678"/>
      <c r="INR33" s="678"/>
      <c r="INS33" s="678"/>
      <c r="INT33" s="678"/>
      <c r="INU33" s="678"/>
      <c r="INV33" s="678"/>
      <c r="INW33" s="678"/>
      <c r="INX33" s="678"/>
      <c r="INY33" s="678"/>
      <c r="INZ33" s="678"/>
      <c r="IOA33" s="678"/>
      <c r="IOB33" s="678"/>
      <c r="IOC33" s="678"/>
      <c r="IOD33" s="678"/>
      <c r="IOE33" s="678"/>
      <c r="IOF33" s="678"/>
      <c r="IOG33" s="678"/>
      <c r="IOH33" s="678"/>
      <c r="IOI33" s="678"/>
      <c r="IOJ33" s="678"/>
      <c r="IOK33" s="678"/>
      <c r="IOL33" s="678"/>
      <c r="IOM33" s="678"/>
      <c r="ION33" s="678"/>
      <c r="IOO33" s="678"/>
      <c r="IOP33" s="678"/>
      <c r="IOQ33" s="678"/>
      <c r="IOR33" s="678"/>
      <c r="IOS33" s="678"/>
      <c r="IOT33" s="678"/>
      <c r="IOU33" s="678"/>
      <c r="IOV33" s="678"/>
      <c r="IOW33" s="678"/>
      <c r="IOX33" s="678"/>
      <c r="IOY33" s="678"/>
      <c r="IOZ33" s="678"/>
      <c r="IPA33" s="678"/>
      <c r="IPB33" s="678"/>
      <c r="IPC33" s="678"/>
      <c r="IPD33" s="678"/>
      <c r="IPE33" s="678"/>
      <c r="IPF33" s="678"/>
      <c r="IPG33" s="678"/>
      <c r="IPH33" s="678"/>
      <c r="IPI33" s="678"/>
      <c r="IPJ33" s="678"/>
      <c r="IPK33" s="678"/>
      <c r="IPL33" s="678"/>
      <c r="IPM33" s="678"/>
      <c r="IPN33" s="678"/>
      <c r="IPO33" s="678"/>
      <c r="IPP33" s="678"/>
      <c r="IPQ33" s="678"/>
      <c r="IPR33" s="678"/>
      <c r="IPS33" s="678"/>
      <c r="IPT33" s="678"/>
      <c r="IPU33" s="678"/>
      <c r="IPV33" s="678"/>
      <c r="IPW33" s="678"/>
      <c r="IPX33" s="678"/>
      <c r="IPY33" s="678"/>
      <c r="IPZ33" s="678"/>
      <c r="IQA33" s="678"/>
      <c r="IQB33" s="678"/>
      <c r="IQC33" s="678"/>
      <c r="IQD33" s="678"/>
      <c r="IQE33" s="678"/>
      <c r="IQF33" s="678"/>
      <c r="IQG33" s="678"/>
      <c r="IQH33" s="678"/>
      <c r="IQI33" s="678"/>
      <c r="IQJ33" s="678"/>
      <c r="IQK33" s="678"/>
      <c r="IQL33" s="678"/>
      <c r="IQM33" s="678"/>
      <c r="IQN33" s="678"/>
      <c r="IQO33" s="678"/>
      <c r="IQP33" s="678"/>
      <c r="IQQ33" s="678"/>
      <c r="IQR33" s="678"/>
      <c r="IQS33" s="678"/>
      <c r="IQT33" s="678"/>
      <c r="IQU33" s="678"/>
      <c r="IQV33" s="678"/>
      <c r="IQW33" s="678"/>
      <c r="IQX33" s="678"/>
      <c r="IQY33" s="678"/>
      <c r="IQZ33" s="678"/>
      <c r="IRA33" s="678"/>
      <c r="IRB33" s="678"/>
      <c r="IRC33" s="678"/>
      <c r="IRD33" s="678"/>
      <c r="IRE33" s="678"/>
      <c r="IRF33" s="678"/>
      <c r="IRG33" s="678"/>
      <c r="IRH33" s="678"/>
      <c r="IRI33" s="678"/>
      <c r="IRJ33" s="678"/>
      <c r="IRK33" s="678"/>
      <c r="IRL33" s="678"/>
      <c r="IRM33" s="678"/>
      <c r="IRN33" s="678"/>
      <c r="IRO33" s="678"/>
      <c r="IRP33" s="678"/>
      <c r="IRQ33" s="678"/>
      <c r="IRR33" s="678"/>
      <c r="IRS33" s="678"/>
      <c r="IRT33" s="678"/>
      <c r="IRU33" s="678"/>
      <c r="IRV33" s="678"/>
      <c r="IRW33" s="678"/>
      <c r="IRX33" s="678"/>
      <c r="IRY33" s="678"/>
      <c r="IRZ33" s="678"/>
      <c r="ISA33" s="678"/>
      <c r="ISB33" s="678"/>
      <c r="ISC33" s="678"/>
      <c r="ISD33" s="678"/>
      <c r="ISE33" s="678"/>
      <c r="ISF33" s="678"/>
      <c r="ISG33" s="678"/>
      <c r="ISH33" s="678"/>
      <c r="ISI33" s="678"/>
      <c r="ISJ33" s="678"/>
      <c r="ISK33" s="678"/>
      <c r="ISL33" s="678"/>
      <c r="ISM33" s="678"/>
      <c r="ISN33" s="678"/>
      <c r="ISO33" s="678"/>
      <c r="ISP33" s="678"/>
      <c r="ISQ33" s="678"/>
      <c r="ISR33" s="678"/>
      <c r="ISS33" s="678"/>
      <c r="IST33" s="678"/>
      <c r="ISU33" s="678"/>
      <c r="ISV33" s="678"/>
      <c r="ISW33" s="678"/>
      <c r="ISX33" s="678"/>
      <c r="ISY33" s="678"/>
      <c r="ISZ33" s="678"/>
      <c r="ITA33" s="678"/>
      <c r="ITB33" s="678"/>
      <c r="ITC33" s="678"/>
      <c r="ITD33" s="678"/>
      <c r="ITE33" s="678"/>
      <c r="ITF33" s="678"/>
      <c r="ITG33" s="678"/>
      <c r="ITH33" s="678"/>
      <c r="ITI33" s="678"/>
      <c r="ITJ33" s="678"/>
      <c r="ITK33" s="678"/>
      <c r="ITL33" s="678"/>
      <c r="ITM33" s="678"/>
      <c r="ITN33" s="678"/>
      <c r="ITO33" s="678"/>
      <c r="ITP33" s="678"/>
      <c r="ITQ33" s="678"/>
      <c r="ITR33" s="678"/>
      <c r="ITS33" s="678"/>
      <c r="ITT33" s="678"/>
      <c r="ITU33" s="678"/>
      <c r="ITV33" s="678"/>
      <c r="ITW33" s="678"/>
      <c r="ITX33" s="678"/>
      <c r="ITY33" s="678"/>
      <c r="ITZ33" s="678"/>
      <c r="IUA33" s="678"/>
      <c r="IUB33" s="678"/>
      <c r="IUC33" s="678"/>
      <c r="IUD33" s="678"/>
      <c r="IUE33" s="678"/>
      <c r="IUF33" s="678"/>
      <c r="IUG33" s="678"/>
      <c r="IUH33" s="678"/>
      <c r="IUI33" s="678"/>
      <c r="IUJ33" s="678"/>
      <c r="IUK33" s="678"/>
      <c r="IUL33" s="678"/>
      <c r="IUM33" s="678"/>
      <c r="IUN33" s="678"/>
      <c r="IUO33" s="678"/>
      <c r="IUP33" s="678"/>
      <c r="IUQ33" s="678"/>
      <c r="IUR33" s="678"/>
      <c r="IUS33" s="678"/>
      <c r="IUT33" s="678"/>
      <c r="IUU33" s="678"/>
      <c r="IUV33" s="678"/>
      <c r="IUW33" s="678"/>
      <c r="IUX33" s="678"/>
      <c r="IUY33" s="678"/>
      <c r="IUZ33" s="678"/>
      <c r="IVA33" s="678"/>
      <c r="IVB33" s="678"/>
      <c r="IVC33" s="678"/>
      <c r="IVD33" s="678"/>
      <c r="IVE33" s="678"/>
      <c r="IVF33" s="678"/>
      <c r="IVG33" s="678"/>
      <c r="IVH33" s="678"/>
      <c r="IVI33" s="678"/>
      <c r="IVJ33" s="678"/>
      <c r="IVK33" s="678"/>
      <c r="IVL33" s="678"/>
      <c r="IVM33" s="678"/>
      <c r="IVN33" s="678"/>
      <c r="IVO33" s="678"/>
      <c r="IVP33" s="678"/>
      <c r="IVQ33" s="678"/>
      <c r="IVR33" s="678"/>
      <c r="IVS33" s="678"/>
      <c r="IVT33" s="678"/>
      <c r="IVU33" s="678"/>
      <c r="IVV33" s="678"/>
      <c r="IVW33" s="678"/>
      <c r="IVX33" s="678"/>
      <c r="IVY33" s="678"/>
      <c r="IVZ33" s="678"/>
      <c r="IWA33" s="678"/>
      <c r="IWB33" s="678"/>
      <c r="IWC33" s="678"/>
      <c r="IWD33" s="678"/>
      <c r="IWE33" s="678"/>
      <c r="IWF33" s="678"/>
      <c r="IWG33" s="678"/>
      <c r="IWH33" s="678"/>
      <c r="IWI33" s="678"/>
      <c r="IWJ33" s="678"/>
      <c r="IWK33" s="678"/>
      <c r="IWL33" s="678"/>
      <c r="IWM33" s="678"/>
      <c r="IWN33" s="678"/>
      <c r="IWO33" s="678"/>
      <c r="IWP33" s="678"/>
      <c r="IWQ33" s="678"/>
      <c r="IWR33" s="678"/>
      <c r="IWS33" s="678"/>
      <c r="IWT33" s="678"/>
      <c r="IWU33" s="678"/>
      <c r="IWV33" s="678"/>
      <c r="IWW33" s="678"/>
      <c r="IWX33" s="678"/>
      <c r="IWY33" s="678"/>
      <c r="IWZ33" s="678"/>
      <c r="IXA33" s="678"/>
      <c r="IXB33" s="678"/>
      <c r="IXC33" s="678"/>
      <c r="IXD33" s="678"/>
      <c r="IXE33" s="678"/>
      <c r="IXF33" s="678"/>
      <c r="IXG33" s="678"/>
      <c r="IXH33" s="678"/>
      <c r="IXI33" s="678"/>
      <c r="IXJ33" s="678"/>
      <c r="IXK33" s="678"/>
      <c r="IXL33" s="678"/>
      <c r="IXM33" s="678"/>
      <c r="IXN33" s="678"/>
      <c r="IXO33" s="678"/>
      <c r="IXP33" s="678"/>
      <c r="IXQ33" s="678"/>
      <c r="IXR33" s="678"/>
      <c r="IXS33" s="678"/>
      <c r="IXT33" s="678"/>
      <c r="IXU33" s="678"/>
      <c r="IXV33" s="678"/>
      <c r="IXW33" s="678"/>
      <c r="IXX33" s="678"/>
      <c r="IXY33" s="678"/>
      <c r="IXZ33" s="678"/>
      <c r="IYA33" s="678"/>
      <c r="IYB33" s="678"/>
      <c r="IYC33" s="678"/>
      <c r="IYD33" s="678"/>
      <c r="IYE33" s="678"/>
      <c r="IYF33" s="678"/>
      <c r="IYG33" s="678"/>
      <c r="IYH33" s="678"/>
      <c r="IYI33" s="678"/>
      <c r="IYJ33" s="678"/>
      <c r="IYK33" s="678"/>
      <c r="IYL33" s="678"/>
      <c r="IYM33" s="678"/>
      <c r="IYN33" s="678"/>
      <c r="IYO33" s="678"/>
      <c r="IYP33" s="678"/>
      <c r="IYQ33" s="678"/>
      <c r="IYR33" s="678"/>
      <c r="IYS33" s="678"/>
      <c r="IYT33" s="678"/>
      <c r="IYU33" s="678"/>
      <c r="IYV33" s="678"/>
      <c r="IYW33" s="678"/>
      <c r="IYX33" s="678"/>
      <c r="IYY33" s="678"/>
      <c r="IYZ33" s="678"/>
      <c r="IZA33" s="678"/>
      <c r="IZB33" s="678"/>
      <c r="IZC33" s="678"/>
      <c r="IZD33" s="678"/>
      <c r="IZE33" s="678"/>
      <c r="IZF33" s="678"/>
      <c r="IZG33" s="678"/>
      <c r="IZH33" s="678"/>
      <c r="IZI33" s="678"/>
      <c r="IZJ33" s="678"/>
      <c r="IZK33" s="678"/>
      <c r="IZL33" s="678"/>
      <c r="IZM33" s="678"/>
      <c r="IZN33" s="678"/>
      <c r="IZO33" s="678"/>
      <c r="IZP33" s="678"/>
      <c r="IZQ33" s="678"/>
      <c r="IZR33" s="678"/>
      <c r="IZS33" s="678"/>
      <c r="IZT33" s="678"/>
      <c r="IZU33" s="678"/>
      <c r="IZV33" s="678"/>
      <c r="IZW33" s="678"/>
      <c r="IZX33" s="678"/>
      <c r="IZY33" s="678"/>
      <c r="IZZ33" s="678"/>
      <c r="JAA33" s="678"/>
      <c r="JAB33" s="678"/>
      <c r="JAC33" s="678"/>
      <c r="JAD33" s="678"/>
      <c r="JAE33" s="678"/>
      <c r="JAF33" s="678"/>
      <c r="JAG33" s="678"/>
      <c r="JAH33" s="678"/>
      <c r="JAI33" s="678"/>
      <c r="JAJ33" s="678"/>
      <c r="JAK33" s="678"/>
      <c r="JAL33" s="678"/>
      <c r="JAM33" s="678"/>
      <c r="JAN33" s="678"/>
      <c r="JAO33" s="678"/>
      <c r="JAP33" s="678"/>
      <c r="JAQ33" s="678"/>
      <c r="JAR33" s="678"/>
      <c r="JAS33" s="678"/>
      <c r="JAT33" s="678"/>
      <c r="JAU33" s="678"/>
      <c r="JAV33" s="678"/>
      <c r="JAW33" s="678"/>
      <c r="JAX33" s="678"/>
      <c r="JAY33" s="678"/>
      <c r="JAZ33" s="678"/>
      <c r="JBA33" s="678"/>
      <c r="JBB33" s="678"/>
      <c r="JBC33" s="678"/>
      <c r="JBD33" s="678"/>
      <c r="JBE33" s="678"/>
      <c r="JBF33" s="678"/>
      <c r="JBG33" s="678"/>
      <c r="JBH33" s="678"/>
      <c r="JBI33" s="678"/>
      <c r="JBJ33" s="678"/>
      <c r="JBK33" s="678"/>
      <c r="JBL33" s="678"/>
      <c r="JBM33" s="678"/>
      <c r="JBN33" s="678"/>
      <c r="JBO33" s="678"/>
      <c r="JBP33" s="678"/>
      <c r="JBQ33" s="678"/>
      <c r="JBR33" s="678"/>
      <c r="JBS33" s="678"/>
      <c r="JBT33" s="678"/>
      <c r="JBU33" s="678"/>
      <c r="JBV33" s="678"/>
      <c r="JBW33" s="678"/>
      <c r="JBX33" s="678"/>
      <c r="JBY33" s="678"/>
      <c r="JBZ33" s="678"/>
      <c r="JCA33" s="678"/>
      <c r="JCB33" s="678"/>
      <c r="JCC33" s="678"/>
      <c r="JCD33" s="678"/>
      <c r="JCE33" s="678"/>
      <c r="JCF33" s="678"/>
      <c r="JCG33" s="678"/>
      <c r="JCH33" s="678"/>
      <c r="JCI33" s="678"/>
      <c r="JCJ33" s="678"/>
      <c r="JCK33" s="678"/>
      <c r="JCL33" s="678"/>
      <c r="JCM33" s="678"/>
      <c r="JCN33" s="678"/>
      <c r="JCO33" s="678"/>
      <c r="JCP33" s="678"/>
      <c r="JCQ33" s="678"/>
      <c r="JCR33" s="678"/>
      <c r="JCS33" s="678"/>
      <c r="JCT33" s="678"/>
      <c r="JCU33" s="678"/>
      <c r="JCV33" s="678"/>
      <c r="JCW33" s="678"/>
      <c r="JCX33" s="678"/>
      <c r="JCY33" s="678"/>
      <c r="JCZ33" s="678"/>
      <c r="JDA33" s="678"/>
      <c r="JDB33" s="678"/>
      <c r="JDC33" s="678"/>
      <c r="JDD33" s="678"/>
      <c r="JDE33" s="678"/>
      <c r="JDF33" s="678"/>
      <c r="JDG33" s="678"/>
      <c r="JDH33" s="678"/>
      <c r="JDI33" s="678"/>
      <c r="JDJ33" s="678"/>
      <c r="JDK33" s="678"/>
      <c r="JDL33" s="678"/>
      <c r="JDM33" s="678"/>
      <c r="JDN33" s="678"/>
      <c r="JDO33" s="678"/>
      <c r="JDP33" s="678"/>
      <c r="JDQ33" s="678"/>
      <c r="JDR33" s="678"/>
      <c r="JDS33" s="678"/>
      <c r="JDT33" s="678"/>
      <c r="JDU33" s="678"/>
      <c r="JDV33" s="678"/>
      <c r="JDW33" s="678"/>
      <c r="JDX33" s="678"/>
      <c r="JDY33" s="678"/>
      <c r="JDZ33" s="678"/>
      <c r="JEA33" s="678"/>
      <c r="JEB33" s="678"/>
      <c r="JEC33" s="678"/>
      <c r="JED33" s="678"/>
      <c r="JEE33" s="678"/>
      <c r="JEF33" s="678"/>
      <c r="JEG33" s="678"/>
      <c r="JEH33" s="678"/>
      <c r="JEI33" s="678"/>
      <c r="JEJ33" s="678"/>
      <c r="JEK33" s="678"/>
      <c r="JEL33" s="678"/>
      <c r="JEM33" s="678"/>
      <c r="JEN33" s="678"/>
      <c r="JEO33" s="678"/>
      <c r="JEP33" s="678"/>
      <c r="JEQ33" s="678"/>
      <c r="JER33" s="678"/>
      <c r="JES33" s="678"/>
      <c r="JET33" s="678"/>
      <c r="JEU33" s="678"/>
      <c r="JEV33" s="678"/>
      <c r="JEW33" s="678"/>
      <c r="JEX33" s="678"/>
      <c r="JEY33" s="678"/>
      <c r="JEZ33" s="678"/>
      <c r="JFA33" s="678"/>
      <c r="JFB33" s="678"/>
      <c r="JFC33" s="678"/>
      <c r="JFD33" s="678"/>
      <c r="JFE33" s="678"/>
      <c r="JFF33" s="678"/>
      <c r="JFG33" s="678"/>
      <c r="JFH33" s="678"/>
      <c r="JFI33" s="678"/>
      <c r="JFJ33" s="678"/>
      <c r="JFK33" s="678"/>
      <c r="JFL33" s="678"/>
      <c r="JFM33" s="678"/>
      <c r="JFN33" s="678"/>
      <c r="JFO33" s="678"/>
      <c r="JFP33" s="678"/>
      <c r="JFQ33" s="678"/>
      <c r="JFR33" s="678"/>
      <c r="JFS33" s="678"/>
      <c r="JFT33" s="678"/>
      <c r="JFU33" s="678"/>
      <c r="JFV33" s="678"/>
      <c r="JFW33" s="678"/>
      <c r="JFX33" s="678"/>
      <c r="JFY33" s="678"/>
      <c r="JFZ33" s="678"/>
      <c r="JGA33" s="678"/>
      <c r="JGB33" s="678"/>
      <c r="JGC33" s="678"/>
      <c r="JGD33" s="678"/>
      <c r="JGE33" s="678"/>
      <c r="JGF33" s="678"/>
      <c r="JGG33" s="678"/>
      <c r="JGH33" s="678"/>
      <c r="JGI33" s="678"/>
      <c r="JGJ33" s="678"/>
      <c r="JGK33" s="678"/>
      <c r="JGL33" s="678"/>
      <c r="JGM33" s="678"/>
      <c r="JGN33" s="678"/>
      <c r="JGO33" s="678"/>
      <c r="JGP33" s="678"/>
      <c r="JGQ33" s="678"/>
      <c r="JGR33" s="678"/>
      <c r="JGS33" s="678"/>
      <c r="JGT33" s="678"/>
      <c r="JGU33" s="678"/>
      <c r="JGV33" s="678"/>
      <c r="JGW33" s="678"/>
      <c r="JGX33" s="678"/>
      <c r="JGY33" s="678"/>
      <c r="JGZ33" s="678"/>
      <c r="JHA33" s="678"/>
      <c r="JHB33" s="678"/>
      <c r="JHC33" s="678"/>
      <c r="JHD33" s="678"/>
      <c r="JHE33" s="678"/>
      <c r="JHF33" s="678"/>
      <c r="JHG33" s="678"/>
      <c r="JHH33" s="678"/>
      <c r="JHI33" s="678"/>
      <c r="JHJ33" s="678"/>
      <c r="JHK33" s="678"/>
      <c r="JHL33" s="678"/>
      <c r="JHM33" s="678"/>
      <c r="JHN33" s="678"/>
      <c r="JHO33" s="678"/>
      <c r="JHP33" s="678"/>
      <c r="JHQ33" s="678"/>
      <c r="JHR33" s="678"/>
      <c r="JHS33" s="678"/>
      <c r="JHT33" s="678"/>
      <c r="JHU33" s="678"/>
      <c r="JHV33" s="678"/>
      <c r="JHW33" s="678"/>
      <c r="JHX33" s="678"/>
      <c r="JHY33" s="678"/>
      <c r="JHZ33" s="678"/>
      <c r="JIA33" s="678"/>
      <c r="JIB33" s="678"/>
      <c r="JIC33" s="678"/>
      <c r="JID33" s="678"/>
      <c r="JIE33" s="678"/>
      <c r="JIF33" s="678"/>
      <c r="JIG33" s="678"/>
      <c r="JIH33" s="678"/>
      <c r="JII33" s="678"/>
      <c r="JIJ33" s="678"/>
      <c r="JIK33" s="678"/>
      <c r="JIL33" s="678"/>
      <c r="JIM33" s="678"/>
      <c r="JIN33" s="678"/>
      <c r="JIO33" s="678"/>
      <c r="JIP33" s="678"/>
      <c r="JIQ33" s="678"/>
      <c r="JIR33" s="678"/>
      <c r="JIS33" s="678"/>
      <c r="JIT33" s="678"/>
      <c r="JIU33" s="678"/>
      <c r="JIV33" s="678"/>
      <c r="JIW33" s="678"/>
      <c r="JIX33" s="678"/>
      <c r="JIY33" s="678"/>
      <c r="JIZ33" s="678"/>
      <c r="JJA33" s="678"/>
      <c r="JJB33" s="678"/>
      <c r="JJC33" s="678"/>
      <c r="JJD33" s="678"/>
      <c r="JJE33" s="678"/>
      <c r="JJF33" s="678"/>
      <c r="JJG33" s="678"/>
      <c r="JJH33" s="678"/>
      <c r="JJI33" s="678"/>
      <c r="JJJ33" s="678"/>
      <c r="JJK33" s="678"/>
      <c r="JJL33" s="678"/>
      <c r="JJM33" s="678"/>
      <c r="JJN33" s="678"/>
      <c r="JJO33" s="678"/>
      <c r="JJP33" s="678"/>
      <c r="JJQ33" s="678"/>
      <c r="JJR33" s="678"/>
      <c r="JJS33" s="678"/>
      <c r="JJT33" s="678"/>
      <c r="JJU33" s="678"/>
      <c r="JJV33" s="678"/>
      <c r="JJW33" s="678"/>
      <c r="JJX33" s="678"/>
      <c r="JJY33" s="678"/>
      <c r="JJZ33" s="678"/>
      <c r="JKA33" s="678"/>
      <c r="JKB33" s="678"/>
      <c r="JKC33" s="678"/>
      <c r="JKD33" s="678"/>
      <c r="JKE33" s="678"/>
      <c r="JKF33" s="678"/>
      <c r="JKG33" s="678"/>
      <c r="JKH33" s="678"/>
      <c r="JKI33" s="678"/>
      <c r="JKJ33" s="678"/>
      <c r="JKK33" s="678"/>
      <c r="JKL33" s="678"/>
      <c r="JKM33" s="678"/>
      <c r="JKN33" s="678"/>
      <c r="JKO33" s="678"/>
      <c r="JKP33" s="678"/>
      <c r="JKQ33" s="678"/>
      <c r="JKR33" s="678"/>
      <c r="JKS33" s="678"/>
      <c r="JKT33" s="678"/>
      <c r="JKU33" s="678"/>
      <c r="JKV33" s="678"/>
      <c r="JKW33" s="678"/>
      <c r="JKX33" s="678"/>
      <c r="JKY33" s="678"/>
      <c r="JKZ33" s="678"/>
      <c r="JLA33" s="678"/>
      <c r="JLB33" s="678"/>
      <c r="JLC33" s="678"/>
      <c r="JLD33" s="678"/>
      <c r="JLE33" s="678"/>
      <c r="JLF33" s="678"/>
      <c r="JLG33" s="678"/>
      <c r="JLH33" s="678"/>
      <c r="JLI33" s="678"/>
      <c r="JLJ33" s="678"/>
      <c r="JLK33" s="678"/>
      <c r="JLL33" s="678"/>
      <c r="JLM33" s="678"/>
      <c r="JLN33" s="678"/>
      <c r="JLO33" s="678"/>
      <c r="JLP33" s="678"/>
      <c r="JLQ33" s="678"/>
      <c r="JLR33" s="678"/>
      <c r="JLS33" s="678"/>
      <c r="JLT33" s="678"/>
      <c r="JLU33" s="678"/>
      <c r="JLV33" s="678"/>
      <c r="JLW33" s="678"/>
      <c r="JLX33" s="678"/>
      <c r="JLY33" s="678"/>
      <c r="JLZ33" s="678"/>
      <c r="JMA33" s="678"/>
      <c r="JMB33" s="678"/>
      <c r="JMC33" s="678"/>
      <c r="JMD33" s="678"/>
      <c r="JME33" s="678"/>
      <c r="JMF33" s="678"/>
      <c r="JMG33" s="678"/>
      <c r="JMH33" s="678"/>
      <c r="JMI33" s="678"/>
      <c r="JMJ33" s="678"/>
      <c r="JMK33" s="678"/>
      <c r="JML33" s="678"/>
      <c r="JMM33" s="678"/>
      <c r="JMN33" s="678"/>
      <c r="JMO33" s="678"/>
      <c r="JMP33" s="678"/>
      <c r="JMQ33" s="678"/>
      <c r="JMR33" s="678"/>
      <c r="JMS33" s="678"/>
      <c r="JMT33" s="678"/>
      <c r="JMU33" s="678"/>
      <c r="JMV33" s="678"/>
      <c r="JMW33" s="678"/>
      <c r="JMX33" s="678"/>
      <c r="JMY33" s="678"/>
      <c r="JMZ33" s="678"/>
      <c r="JNA33" s="678"/>
      <c r="JNB33" s="678"/>
      <c r="JNC33" s="678"/>
      <c r="JND33" s="678"/>
      <c r="JNE33" s="678"/>
      <c r="JNF33" s="678"/>
      <c r="JNG33" s="678"/>
      <c r="JNH33" s="678"/>
      <c r="JNI33" s="678"/>
      <c r="JNJ33" s="678"/>
      <c r="JNK33" s="678"/>
      <c r="JNL33" s="678"/>
      <c r="JNM33" s="678"/>
      <c r="JNN33" s="678"/>
      <c r="JNO33" s="678"/>
      <c r="JNP33" s="678"/>
      <c r="JNQ33" s="678"/>
      <c r="JNR33" s="678"/>
      <c r="JNS33" s="678"/>
      <c r="JNT33" s="678"/>
      <c r="JNU33" s="678"/>
      <c r="JNV33" s="678"/>
      <c r="JNW33" s="678"/>
      <c r="JNX33" s="678"/>
      <c r="JNY33" s="678"/>
      <c r="JNZ33" s="678"/>
      <c r="JOA33" s="678"/>
      <c r="JOB33" s="678"/>
      <c r="JOC33" s="678"/>
      <c r="JOD33" s="678"/>
      <c r="JOE33" s="678"/>
      <c r="JOF33" s="678"/>
      <c r="JOG33" s="678"/>
      <c r="JOH33" s="678"/>
      <c r="JOI33" s="678"/>
      <c r="JOJ33" s="678"/>
      <c r="JOK33" s="678"/>
      <c r="JOL33" s="678"/>
      <c r="JOM33" s="678"/>
      <c r="JON33" s="678"/>
      <c r="JOO33" s="678"/>
      <c r="JOP33" s="678"/>
      <c r="JOQ33" s="678"/>
      <c r="JOR33" s="678"/>
      <c r="JOS33" s="678"/>
      <c r="JOT33" s="678"/>
      <c r="JOU33" s="678"/>
      <c r="JOV33" s="678"/>
      <c r="JOW33" s="678"/>
      <c r="JOX33" s="678"/>
      <c r="JOY33" s="678"/>
      <c r="JOZ33" s="678"/>
      <c r="JPA33" s="678"/>
      <c r="JPB33" s="678"/>
      <c r="JPC33" s="678"/>
      <c r="JPD33" s="678"/>
      <c r="JPE33" s="678"/>
      <c r="JPF33" s="678"/>
      <c r="JPG33" s="678"/>
      <c r="JPH33" s="678"/>
      <c r="JPI33" s="678"/>
      <c r="JPJ33" s="678"/>
      <c r="JPK33" s="678"/>
      <c r="JPL33" s="678"/>
      <c r="JPM33" s="678"/>
      <c r="JPN33" s="678"/>
      <c r="JPO33" s="678"/>
      <c r="JPP33" s="678"/>
      <c r="JPQ33" s="678"/>
      <c r="JPR33" s="678"/>
      <c r="JPS33" s="678"/>
      <c r="JPT33" s="678"/>
      <c r="JPU33" s="678"/>
      <c r="JPV33" s="678"/>
      <c r="JPW33" s="678"/>
      <c r="JPX33" s="678"/>
      <c r="JPY33" s="678"/>
      <c r="JPZ33" s="678"/>
      <c r="JQA33" s="678"/>
      <c r="JQB33" s="678"/>
      <c r="JQC33" s="678"/>
      <c r="JQD33" s="678"/>
      <c r="JQE33" s="678"/>
      <c r="JQF33" s="678"/>
      <c r="JQG33" s="678"/>
      <c r="JQH33" s="678"/>
      <c r="JQI33" s="678"/>
      <c r="JQJ33" s="678"/>
      <c r="JQK33" s="678"/>
      <c r="JQL33" s="678"/>
      <c r="JQM33" s="678"/>
      <c r="JQN33" s="678"/>
      <c r="JQO33" s="678"/>
      <c r="JQP33" s="678"/>
      <c r="JQQ33" s="678"/>
      <c r="JQR33" s="678"/>
      <c r="JQS33" s="678"/>
      <c r="JQT33" s="678"/>
      <c r="JQU33" s="678"/>
      <c r="JQV33" s="678"/>
      <c r="JQW33" s="678"/>
      <c r="JQX33" s="678"/>
      <c r="JQY33" s="678"/>
      <c r="JQZ33" s="678"/>
      <c r="JRA33" s="678"/>
      <c r="JRB33" s="678"/>
      <c r="JRC33" s="678"/>
      <c r="JRD33" s="678"/>
      <c r="JRE33" s="678"/>
      <c r="JRF33" s="678"/>
      <c r="JRG33" s="678"/>
      <c r="JRH33" s="678"/>
      <c r="JRI33" s="678"/>
      <c r="JRJ33" s="678"/>
      <c r="JRK33" s="678"/>
      <c r="JRL33" s="678"/>
      <c r="JRM33" s="678"/>
      <c r="JRN33" s="678"/>
      <c r="JRO33" s="678"/>
      <c r="JRP33" s="678"/>
      <c r="JRQ33" s="678"/>
      <c r="JRR33" s="678"/>
      <c r="JRS33" s="678"/>
      <c r="JRT33" s="678"/>
      <c r="JRU33" s="678"/>
      <c r="JRV33" s="678"/>
      <c r="JRW33" s="678"/>
      <c r="JRX33" s="678"/>
      <c r="JRY33" s="678"/>
      <c r="JRZ33" s="678"/>
      <c r="JSA33" s="678"/>
      <c r="JSB33" s="678"/>
      <c r="JSC33" s="678"/>
      <c r="JSD33" s="678"/>
      <c r="JSE33" s="678"/>
      <c r="JSF33" s="678"/>
      <c r="JSG33" s="678"/>
      <c r="JSH33" s="678"/>
      <c r="JSI33" s="678"/>
      <c r="JSJ33" s="678"/>
      <c r="JSK33" s="678"/>
      <c r="JSL33" s="678"/>
      <c r="JSM33" s="678"/>
      <c r="JSN33" s="678"/>
      <c r="JSO33" s="678"/>
      <c r="JSP33" s="678"/>
      <c r="JSQ33" s="678"/>
      <c r="JSR33" s="678"/>
      <c r="JSS33" s="678"/>
      <c r="JST33" s="678"/>
      <c r="JSU33" s="678"/>
      <c r="JSV33" s="678"/>
      <c r="JSW33" s="678"/>
      <c r="JSX33" s="678"/>
      <c r="JSY33" s="678"/>
      <c r="JSZ33" s="678"/>
      <c r="JTA33" s="678"/>
      <c r="JTB33" s="678"/>
      <c r="JTC33" s="678"/>
      <c r="JTD33" s="678"/>
      <c r="JTE33" s="678"/>
      <c r="JTF33" s="678"/>
      <c r="JTG33" s="678"/>
      <c r="JTH33" s="678"/>
      <c r="JTI33" s="678"/>
      <c r="JTJ33" s="678"/>
      <c r="JTK33" s="678"/>
      <c r="JTL33" s="678"/>
      <c r="JTM33" s="678"/>
      <c r="JTN33" s="678"/>
      <c r="JTO33" s="678"/>
      <c r="JTP33" s="678"/>
      <c r="JTQ33" s="678"/>
      <c r="JTR33" s="678"/>
      <c r="JTS33" s="678"/>
      <c r="JTT33" s="678"/>
      <c r="JTU33" s="678"/>
      <c r="JTV33" s="678"/>
      <c r="JTW33" s="678"/>
      <c r="JTX33" s="678"/>
      <c r="JTY33" s="678"/>
      <c r="JTZ33" s="678"/>
      <c r="JUA33" s="678"/>
      <c r="JUB33" s="678"/>
      <c r="JUC33" s="678"/>
      <c r="JUD33" s="678"/>
      <c r="JUE33" s="678"/>
      <c r="JUF33" s="678"/>
      <c r="JUG33" s="678"/>
      <c r="JUH33" s="678"/>
      <c r="JUI33" s="678"/>
      <c r="JUJ33" s="678"/>
      <c r="JUK33" s="678"/>
      <c r="JUL33" s="678"/>
      <c r="JUM33" s="678"/>
      <c r="JUN33" s="678"/>
      <c r="JUO33" s="678"/>
      <c r="JUP33" s="678"/>
      <c r="JUQ33" s="678"/>
      <c r="JUR33" s="678"/>
      <c r="JUS33" s="678"/>
      <c r="JUT33" s="678"/>
      <c r="JUU33" s="678"/>
      <c r="JUV33" s="678"/>
      <c r="JUW33" s="678"/>
      <c r="JUX33" s="678"/>
      <c r="JUY33" s="678"/>
      <c r="JUZ33" s="678"/>
      <c r="JVA33" s="678"/>
      <c r="JVB33" s="678"/>
      <c r="JVC33" s="678"/>
      <c r="JVD33" s="678"/>
      <c r="JVE33" s="678"/>
      <c r="JVF33" s="678"/>
      <c r="JVG33" s="678"/>
      <c r="JVH33" s="678"/>
      <c r="JVI33" s="678"/>
      <c r="JVJ33" s="678"/>
      <c r="JVK33" s="678"/>
      <c r="JVL33" s="678"/>
      <c r="JVM33" s="678"/>
      <c r="JVN33" s="678"/>
      <c r="JVO33" s="678"/>
      <c r="JVP33" s="678"/>
      <c r="JVQ33" s="678"/>
      <c r="JVR33" s="678"/>
      <c r="JVS33" s="678"/>
      <c r="JVT33" s="678"/>
      <c r="JVU33" s="678"/>
      <c r="JVV33" s="678"/>
      <c r="JVW33" s="678"/>
      <c r="JVX33" s="678"/>
      <c r="JVY33" s="678"/>
      <c r="JVZ33" s="678"/>
      <c r="JWA33" s="678"/>
      <c r="JWB33" s="678"/>
      <c r="JWC33" s="678"/>
      <c r="JWD33" s="678"/>
      <c r="JWE33" s="678"/>
      <c r="JWF33" s="678"/>
      <c r="JWG33" s="678"/>
      <c r="JWH33" s="678"/>
      <c r="JWI33" s="678"/>
      <c r="JWJ33" s="678"/>
      <c r="JWK33" s="678"/>
      <c r="JWL33" s="678"/>
      <c r="JWM33" s="678"/>
      <c r="JWN33" s="678"/>
      <c r="JWO33" s="678"/>
      <c r="JWP33" s="678"/>
      <c r="JWQ33" s="678"/>
      <c r="JWR33" s="678"/>
      <c r="JWS33" s="678"/>
      <c r="JWT33" s="678"/>
      <c r="JWU33" s="678"/>
      <c r="JWV33" s="678"/>
      <c r="JWW33" s="678"/>
      <c r="JWX33" s="678"/>
      <c r="JWY33" s="678"/>
      <c r="JWZ33" s="678"/>
      <c r="JXA33" s="678"/>
      <c r="JXB33" s="678"/>
      <c r="JXC33" s="678"/>
      <c r="JXD33" s="678"/>
      <c r="JXE33" s="678"/>
      <c r="JXF33" s="678"/>
      <c r="JXG33" s="678"/>
      <c r="JXH33" s="678"/>
      <c r="JXI33" s="678"/>
      <c r="JXJ33" s="678"/>
      <c r="JXK33" s="678"/>
      <c r="JXL33" s="678"/>
      <c r="JXM33" s="678"/>
      <c r="JXN33" s="678"/>
      <c r="JXO33" s="678"/>
      <c r="JXP33" s="678"/>
      <c r="JXQ33" s="678"/>
      <c r="JXR33" s="678"/>
      <c r="JXS33" s="678"/>
      <c r="JXT33" s="678"/>
      <c r="JXU33" s="678"/>
      <c r="JXV33" s="678"/>
      <c r="JXW33" s="678"/>
      <c r="JXX33" s="678"/>
      <c r="JXY33" s="678"/>
      <c r="JXZ33" s="678"/>
      <c r="JYA33" s="678"/>
      <c r="JYB33" s="678"/>
      <c r="JYC33" s="678"/>
      <c r="JYD33" s="678"/>
      <c r="JYE33" s="678"/>
      <c r="JYF33" s="678"/>
      <c r="JYG33" s="678"/>
      <c r="JYH33" s="678"/>
      <c r="JYI33" s="678"/>
      <c r="JYJ33" s="678"/>
      <c r="JYK33" s="678"/>
      <c r="JYL33" s="678"/>
      <c r="JYM33" s="678"/>
      <c r="JYN33" s="678"/>
      <c r="JYO33" s="678"/>
      <c r="JYP33" s="678"/>
      <c r="JYQ33" s="678"/>
      <c r="JYR33" s="678"/>
      <c r="JYS33" s="678"/>
      <c r="JYT33" s="678"/>
      <c r="JYU33" s="678"/>
      <c r="JYV33" s="678"/>
      <c r="JYW33" s="678"/>
      <c r="JYX33" s="678"/>
      <c r="JYY33" s="678"/>
      <c r="JYZ33" s="678"/>
      <c r="JZA33" s="678"/>
      <c r="JZB33" s="678"/>
      <c r="JZC33" s="678"/>
      <c r="JZD33" s="678"/>
      <c r="JZE33" s="678"/>
      <c r="JZF33" s="678"/>
      <c r="JZG33" s="678"/>
      <c r="JZH33" s="678"/>
      <c r="JZI33" s="678"/>
      <c r="JZJ33" s="678"/>
      <c r="JZK33" s="678"/>
      <c r="JZL33" s="678"/>
      <c r="JZM33" s="678"/>
      <c r="JZN33" s="678"/>
      <c r="JZO33" s="678"/>
      <c r="JZP33" s="678"/>
      <c r="JZQ33" s="678"/>
      <c r="JZR33" s="678"/>
      <c r="JZS33" s="678"/>
      <c r="JZT33" s="678"/>
      <c r="JZU33" s="678"/>
      <c r="JZV33" s="678"/>
      <c r="JZW33" s="678"/>
      <c r="JZX33" s="678"/>
      <c r="JZY33" s="678"/>
      <c r="JZZ33" s="678"/>
      <c r="KAA33" s="678"/>
      <c r="KAB33" s="678"/>
      <c r="KAC33" s="678"/>
      <c r="KAD33" s="678"/>
      <c r="KAE33" s="678"/>
      <c r="KAF33" s="678"/>
      <c r="KAG33" s="678"/>
      <c r="KAH33" s="678"/>
      <c r="KAI33" s="678"/>
      <c r="KAJ33" s="678"/>
      <c r="KAK33" s="678"/>
      <c r="KAL33" s="678"/>
      <c r="KAM33" s="678"/>
      <c r="KAN33" s="678"/>
      <c r="KAO33" s="678"/>
      <c r="KAP33" s="678"/>
      <c r="KAQ33" s="678"/>
      <c r="KAR33" s="678"/>
      <c r="KAS33" s="678"/>
      <c r="KAT33" s="678"/>
      <c r="KAU33" s="678"/>
      <c r="KAV33" s="678"/>
      <c r="KAW33" s="678"/>
      <c r="KAX33" s="678"/>
      <c r="KAY33" s="678"/>
      <c r="KAZ33" s="678"/>
      <c r="KBA33" s="678"/>
      <c r="KBB33" s="678"/>
      <c r="KBC33" s="678"/>
      <c r="KBD33" s="678"/>
      <c r="KBE33" s="678"/>
      <c r="KBF33" s="678"/>
      <c r="KBG33" s="678"/>
      <c r="KBH33" s="678"/>
      <c r="KBI33" s="678"/>
      <c r="KBJ33" s="678"/>
      <c r="KBK33" s="678"/>
      <c r="KBL33" s="678"/>
      <c r="KBM33" s="678"/>
      <c r="KBN33" s="678"/>
      <c r="KBO33" s="678"/>
      <c r="KBP33" s="678"/>
      <c r="KBQ33" s="678"/>
      <c r="KBR33" s="678"/>
      <c r="KBS33" s="678"/>
      <c r="KBT33" s="678"/>
      <c r="KBU33" s="678"/>
      <c r="KBV33" s="678"/>
      <c r="KBW33" s="678"/>
      <c r="KBX33" s="678"/>
      <c r="KBY33" s="678"/>
      <c r="KBZ33" s="678"/>
      <c r="KCA33" s="678"/>
      <c r="KCB33" s="678"/>
      <c r="KCC33" s="678"/>
      <c r="KCD33" s="678"/>
      <c r="KCE33" s="678"/>
      <c r="KCF33" s="678"/>
      <c r="KCG33" s="678"/>
      <c r="KCH33" s="678"/>
      <c r="KCI33" s="678"/>
      <c r="KCJ33" s="678"/>
      <c r="KCK33" s="678"/>
      <c r="KCL33" s="678"/>
      <c r="KCM33" s="678"/>
      <c r="KCN33" s="678"/>
      <c r="KCO33" s="678"/>
      <c r="KCP33" s="678"/>
      <c r="KCQ33" s="678"/>
      <c r="KCR33" s="678"/>
      <c r="KCS33" s="678"/>
      <c r="KCT33" s="678"/>
      <c r="KCU33" s="678"/>
      <c r="KCV33" s="678"/>
      <c r="KCW33" s="678"/>
      <c r="KCX33" s="678"/>
      <c r="KCY33" s="678"/>
      <c r="KCZ33" s="678"/>
      <c r="KDA33" s="678"/>
      <c r="KDB33" s="678"/>
      <c r="KDC33" s="678"/>
      <c r="KDD33" s="678"/>
      <c r="KDE33" s="678"/>
      <c r="KDF33" s="678"/>
      <c r="KDG33" s="678"/>
      <c r="KDH33" s="678"/>
      <c r="KDI33" s="678"/>
      <c r="KDJ33" s="678"/>
      <c r="KDK33" s="678"/>
      <c r="KDL33" s="678"/>
      <c r="KDM33" s="678"/>
      <c r="KDN33" s="678"/>
      <c r="KDO33" s="678"/>
      <c r="KDP33" s="678"/>
      <c r="KDQ33" s="678"/>
      <c r="KDR33" s="678"/>
      <c r="KDS33" s="678"/>
      <c r="KDT33" s="678"/>
      <c r="KDU33" s="678"/>
      <c r="KDV33" s="678"/>
      <c r="KDW33" s="678"/>
      <c r="KDX33" s="678"/>
      <c r="KDY33" s="678"/>
      <c r="KDZ33" s="678"/>
      <c r="KEA33" s="678"/>
      <c r="KEB33" s="678"/>
      <c r="KEC33" s="678"/>
      <c r="KED33" s="678"/>
      <c r="KEE33" s="678"/>
      <c r="KEF33" s="678"/>
      <c r="KEG33" s="678"/>
      <c r="KEH33" s="678"/>
      <c r="KEI33" s="678"/>
      <c r="KEJ33" s="678"/>
      <c r="KEK33" s="678"/>
      <c r="KEL33" s="678"/>
      <c r="KEM33" s="678"/>
      <c r="KEN33" s="678"/>
      <c r="KEO33" s="678"/>
      <c r="KEP33" s="678"/>
      <c r="KEQ33" s="678"/>
      <c r="KER33" s="678"/>
      <c r="KES33" s="678"/>
      <c r="KET33" s="678"/>
      <c r="KEU33" s="678"/>
      <c r="KEV33" s="678"/>
      <c r="KEW33" s="678"/>
      <c r="KEX33" s="678"/>
      <c r="KEY33" s="678"/>
      <c r="KEZ33" s="678"/>
      <c r="KFA33" s="678"/>
      <c r="KFB33" s="678"/>
      <c r="KFC33" s="678"/>
      <c r="KFD33" s="678"/>
      <c r="KFE33" s="678"/>
      <c r="KFF33" s="678"/>
      <c r="KFG33" s="678"/>
      <c r="KFH33" s="678"/>
      <c r="KFI33" s="678"/>
      <c r="KFJ33" s="678"/>
      <c r="KFK33" s="678"/>
      <c r="KFL33" s="678"/>
      <c r="KFM33" s="678"/>
      <c r="KFN33" s="678"/>
      <c r="KFO33" s="678"/>
      <c r="KFP33" s="678"/>
      <c r="KFQ33" s="678"/>
      <c r="KFR33" s="678"/>
      <c r="KFS33" s="678"/>
      <c r="KFT33" s="678"/>
      <c r="KFU33" s="678"/>
      <c r="KFV33" s="678"/>
      <c r="KFW33" s="678"/>
      <c r="KFX33" s="678"/>
      <c r="KFY33" s="678"/>
      <c r="KFZ33" s="678"/>
      <c r="KGA33" s="678"/>
      <c r="KGB33" s="678"/>
      <c r="KGC33" s="678"/>
      <c r="KGD33" s="678"/>
      <c r="KGE33" s="678"/>
      <c r="KGF33" s="678"/>
      <c r="KGG33" s="678"/>
      <c r="KGH33" s="678"/>
      <c r="KGI33" s="678"/>
      <c r="KGJ33" s="678"/>
      <c r="KGK33" s="678"/>
      <c r="KGL33" s="678"/>
      <c r="KGM33" s="678"/>
      <c r="KGN33" s="678"/>
      <c r="KGO33" s="678"/>
      <c r="KGP33" s="678"/>
      <c r="KGQ33" s="678"/>
      <c r="KGR33" s="678"/>
      <c r="KGS33" s="678"/>
      <c r="KGT33" s="678"/>
      <c r="KGU33" s="678"/>
      <c r="KGV33" s="678"/>
      <c r="KGW33" s="678"/>
      <c r="KGX33" s="678"/>
      <c r="KGY33" s="678"/>
      <c r="KGZ33" s="678"/>
      <c r="KHA33" s="678"/>
      <c r="KHB33" s="678"/>
      <c r="KHC33" s="678"/>
      <c r="KHD33" s="678"/>
      <c r="KHE33" s="678"/>
      <c r="KHF33" s="678"/>
      <c r="KHG33" s="678"/>
      <c r="KHH33" s="678"/>
      <c r="KHI33" s="678"/>
      <c r="KHJ33" s="678"/>
      <c r="KHK33" s="678"/>
      <c r="KHL33" s="678"/>
      <c r="KHM33" s="678"/>
      <c r="KHN33" s="678"/>
      <c r="KHO33" s="678"/>
      <c r="KHP33" s="678"/>
      <c r="KHQ33" s="678"/>
      <c r="KHR33" s="678"/>
      <c r="KHS33" s="678"/>
      <c r="KHT33" s="678"/>
      <c r="KHU33" s="678"/>
      <c r="KHV33" s="678"/>
      <c r="KHW33" s="678"/>
      <c r="KHX33" s="678"/>
      <c r="KHY33" s="678"/>
      <c r="KHZ33" s="678"/>
      <c r="KIA33" s="678"/>
      <c r="KIB33" s="678"/>
      <c r="KIC33" s="678"/>
      <c r="KID33" s="678"/>
      <c r="KIE33" s="678"/>
      <c r="KIF33" s="678"/>
      <c r="KIG33" s="678"/>
      <c r="KIH33" s="678"/>
      <c r="KII33" s="678"/>
      <c r="KIJ33" s="678"/>
      <c r="KIK33" s="678"/>
      <c r="KIL33" s="678"/>
      <c r="KIM33" s="678"/>
      <c r="KIN33" s="678"/>
      <c r="KIO33" s="678"/>
      <c r="KIP33" s="678"/>
      <c r="KIQ33" s="678"/>
      <c r="KIR33" s="678"/>
      <c r="KIS33" s="678"/>
      <c r="KIT33" s="678"/>
      <c r="KIU33" s="678"/>
      <c r="KIV33" s="678"/>
      <c r="KIW33" s="678"/>
      <c r="KIX33" s="678"/>
      <c r="KIY33" s="678"/>
      <c r="KIZ33" s="678"/>
      <c r="KJA33" s="678"/>
      <c r="KJB33" s="678"/>
      <c r="KJC33" s="678"/>
      <c r="KJD33" s="678"/>
      <c r="KJE33" s="678"/>
      <c r="KJF33" s="678"/>
      <c r="KJG33" s="678"/>
      <c r="KJH33" s="678"/>
      <c r="KJI33" s="678"/>
      <c r="KJJ33" s="678"/>
      <c r="KJK33" s="678"/>
      <c r="KJL33" s="678"/>
      <c r="KJM33" s="678"/>
      <c r="KJN33" s="678"/>
      <c r="KJO33" s="678"/>
      <c r="KJP33" s="678"/>
      <c r="KJQ33" s="678"/>
      <c r="KJR33" s="678"/>
      <c r="KJS33" s="678"/>
      <c r="KJT33" s="678"/>
      <c r="KJU33" s="678"/>
      <c r="KJV33" s="678"/>
      <c r="KJW33" s="678"/>
      <c r="KJX33" s="678"/>
      <c r="KJY33" s="678"/>
      <c r="KJZ33" s="678"/>
      <c r="KKA33" s="678"/>
      <c r="KKB33" s="678"/>
      <c r="KKC33" s="678"/>
      <c r="KKD33" s="678"/>
      <c r="KKE33" s="678"/>
      <c r="KKF33" s="678"/>
      <c r="KKG33" s="678"/>
      <c r="KKH33" s="678"/>
      <c r="KKI33" s="678"/>
      <c r="KKJ33" s="678"/>
      <c r="KKK33" s="678"/>
      <c r="KKL33" s="678"/>
      <c r="KKM33" s="678"/>
      <c r="KKN33" s="678"/>
      <c r="KKO33" s="678"/>
      <c r="KKP33" s="678"/>
      <c r="KKQ33" s="678"/>
      <c r="KKR33" s="678"/>
      <c r="KKS33" s="678"/>
      <c r="KKT33" s="678"/>
      <c r="KKU33" s="678"/>
      <c r="KKV33" s="678"/>
      <c r="KKW33" s="678"/>
      <c r="KKX33" s="678"/>
      <c r="KKY33" s="678"/>
      <c r="KKZ33" s="678"/>
      <c r="KLA33" s="678"/>
      <c r="KLB33" s="678"/>
      <c r="KLC33" s="678"/>
      <c r="KLD33" s="678"/>
      <c r="KLE33" s="678"/>
      <c r="KLF33" s="678"/>
      <c r="KLG33" s="678"/>
      <c r="KLH33" s="678"/>
      <c r="KLI33" s="678"/>
      <c r="KLJ33" s="678"/>
      <c r="KLK33" s="678"/>
      <c r="KLL33" s="678"/>
      <c r="KLM33" s="678"/>
      <c r="KLN33" s="678"/>
      <c r="KLO33" s="678"/>
      <c r="KLP33" s="678"/>
      <c r="KLQ33" s="678"/>
      <c r="KLR33" s="678"/>
      <c r="KLS33" s="678"/>
      <c r="KLT33" s="678"/>
      <c r="KLU33" s="678"/>
      <c r="KLV33" s="678"/>
      <c r="KLW33" s="678"/>
      <c r="KLX33" s="678"/>
      <c r="KLY33" s="678"/>
      <c r="KLZ33" s="678"/>
      <c r="KMA33" s="678"/>
      <c r="KMB33" s="678"/>
      <c r="KMC33" s="678"/>
      <c r="KMD33" s="678"/>
      <c r="KME33" s="678"/>
      <c r="KMF33" s="678"/>
      <c r="KMG33" s="678"/>
      <c r="KMH33" s="678"/>
      <c r="KMI33" s="678"/>
      <c r="KMJ33" s="678"/>
      <c r="KMK33" s="678"/>
      <c r="KML33" s="678"/>
      <c r="KMM33" s="678"/>
      <c r="KMN33" s="678"/>
      <c r="KMO33" s="678"/>
      <c r="KMP33" s="678"/>
      <c r="KMQ33" s="678"/>
      <c r="KMR33" s="678"/>
      <c r="KMS33" s="678"/>
      <c r="KMT33" s="678"/>
      <c r="KMU33" s="678"/>
      <c r="KMV33" s="678"/>
      <c r="KMW33" s="678"/>
      <c r="KMX33" s="678"/>
      <c r="KMY33" s="678"/>
      <c r="KMZ33" s="678"/>
      <c r="KNA33" s="678"/>
      <c r="KNB33" s="678"/>
      <c r="KNC33" s="678"/>
      <c r="KND33" s="678"/>
      <c r="KNE33" s="678"/>
      <c r="KNF33" s="678"/>
      <c r="KNG33" s="678"/>
      <c r="KNH33" s="678"/>
      <c r="KNI33" s="678"/>
      <c r="KNJ33" s="678"/>
      <c r="KNK33" s="678"/>
      <c r="KNL33" s="678"/>
      <c r="KNM33" s="678"/>
      <c r="KNN33" s="678"/>
      <c r="KNO33" s="678"/>
      <c r="KNP33" s="678"/>
      <c r="KNQ33" s="678"/>
      <c r="KNR33" s="678"/>
      <c r="KNS33" s="678"/>
      <c r="KNT33" s="678"/>
      <c r="KNU33" s="678"/>
      <c r="KNV33" s="678"/>
      <c r="KNW33" s="678"/>
      <c r="KNX33" s="678"/>
      <c r="KNY33" s="678"/>
      <c r="KNZ33" s="678"/>
      <c r="KOA33" s="678"/>
      <c r="KOB33" s="678"/>
      <c r="KOC33" s="678"/>
      <c r="KOD33" s="678"/>
      <c r="KOE33" s="678"/>
      <c r="KOF33" s="678"/>
      <c r="KOG33" s="678"/>
      <c r="KOH33" s="678"/>
      <c r="KOI33" s="678"/>
      <c r="KOJ33" s="678"/>
      <c r="KOK33" s="678"/>
      <c r="KOL33" s="678"/>
      <c r="KOM33" s="678"/>
      <c r="KON33" s="678"/>
      <c r="KOO33" s="678"/>
      <c r="KOP33" s="678"/>
      <c r="KOQ33" s="678"/>
      <c r="KOR33" s="678"/>
      <c r="KOS33" s="678"/>
      <c r="KOT33" s="678"/>
      <c r="KOU33" s="678"/>
      <c r="KOV33" s="678"/>
      <c r="KOW33" s="678"/>
      <c r="KOX33" s="678"/>
      <c r="KOY33" s="678"/>
      <c r="KOZ33" s="678"/>
      <c r="KPA33" s="678"/>
      <c r="KPB33" s="678"/>
      <c r="KPC33" s="678"/>
      <c r="KPD33" s="678"/>
      <c r="KPE33" s="678"/>
      <c r="KPF33" s="678"/>
      <c r="KPG33" s="678"/>
      <c r="KPH33" s="678"/>
      <c r="KPI33" s="678"/>
      <c r="KPJ33" s="678"/>
      <c r="KPK33" s="678"/>
      <c r="KPL33" s="678"/>
      <c r="KPM33" s="678"/>
      <c r="KPN33" s="678"/>
      <c r="KPO33" s="678"/>
      <c r="KPP33" s="678"/>
      <c r="KPQ33" s="678"/>
      <c r="KPR33" s="678"/>
      <c r="KPS33" s="678"/>
      <c r="KPT33" s="678"/>
      <c r="KPU33" s="678"/>
      <c r="KPV33" s="678"/>
      <c r="KPW33" s="678"/>
      <c r="KPX33" s="678"/>
      <c r="KPY33" s="678"/>
      <c r="KPZ33" s="678"/>
      <c r="KQA33" s="678"/>
      <c r="KQB33" s="678"/>
      <c r="KQC33" s="678"/>
      <c r="KQD33" s="678"/>
      <c r="KQE33" s="678"/>
      <c r="KQF33" s="678"/>
      <c r="KQG33" s="678"/>
      <c r="KQH33" s="678"/>
      <c r="KQI33" s="678"/>
      <c r="KQJ33" s="678"/>
      <c r="KQK33" s="678"/>
      <c r="KQL33" s="678"/>
      <c r="KQM33" s="678"/>
      <c r="KQN33" s="678"/>
      <c r="KQO33" s="678"/>
      <c r="KQP33" s="678"/>
      <c r="KQQ33" s="678"/>
      <c r="KQR33" s="678"/>
      <c r="KQS33" s="678"/>
      <c r="KQT33" s="678"/>
      <c r="KQU33" s="678"/>
      <c r="KQV33" s="678"/>
      <c r="KQW33" s="678"/>
      <c r="KQX33" s="678"/>
      <c r="KQY33" s="678"/>
      <c r="KQZ33" s="678"/>
      <c r="KRA33" s="678"/>
      <c r="KRB33" s="678"/>
      <c r="KRC33" s="678"/>
      <c r="KRD33" s="678"/>
      <c r="KRE33" s="678"/>
      <c r="KRF33" s="678"/>
      <c r="KRG33" s="678"/>
      <c r="KRH33" s="678"/>
      <c r="KRI33" s="678"/>
      <c r="KRJ33" s="678"/>
      <c r="KRK33" s="678"/>
      <c r="KRL33" s="678"/>
      <c r="KRM33" s="678"/>
      <c r="KRN33" s="678"/>
      <c r="KRO33" s="678"/>
      <c r="KRP33" s="678"/>
      <c r="KRQ33" s="678"/>
      <c r="KRR33" s="678"/>
      <c r="KRS33" s="678"/>
      <c r="KRT33" s="678"/>
      <c r="KRU33" s="678"/>
      <c r="KRV33" s="678"/>
      <c r="KRW33" s="678"/>
      <c r="KRX33" s="678"/>
      <c r="KRY33" s="678"/>
      <c r="KRZ33" s="678"/>
      <c r="KSA33" s="678"/>
      <c r="KSB33" s="678"/>
      <c r="KSC33" s="678"/>
      <c r="KSD33" s="678"/>
      <c r="KSE33" s="678"/>
      <c r="KSF33" s="678"/>
      <c r="KSG33" s="678"/>
      <c r="KSH33" s="678"/>
      <c r="KSI33" s="678"/>
      <c r="KSJ33" s="678"/>
      <c r="KSK33" s="678"/>
      <c r="KSL33" s="678"/>
      <c r="KSM33" s="678"/>
      <c r="KSN33" s="678"/>
      <c r="KSO33" s="678"/>
      <c r="KSP33" s="678"/>
      <c r="KSQ33" s="678"/>
      <c r="KSR33" s="678"/>
      <c r="KSS33" s="678"/>
      <c r="KST33" s="678"/>
      <c r="KSU33" s="678"/>
      <c r="KSV33" s="678"/>
      <c r="KSW33" s="678"/>
      <c r="KSX33" s="678"/>
      <c r="KSY33" s="678"/>
      <c r="KSZ33" s="678"/>
      <c r="KTA33" s="678"/>
      <c r="KTB33" s="678"/>
      <c r="KTC33" s="678"/>
      <c r="KTD33" s="678"/>
      <c r="KTE33" s="678"/>
      <c r="KTF33" s="678"/>
      <c r="KTG33" s="678"/>
      <c r="KTH33" s="678"/>
      <c r="KTI33" s="678"/>
      <c r="KTJ33" s="678"/>
      <c r="KTK33" s="678"/>
      <c r="KTL33" s="678"/>
      <c r="KTM33" s="678"/>
      <c r="KTN33" s="678"/>
      <c r="KTO33" s="678"/>
      <c r="KTP33" s="678"/>
      <c r="KTQ33" s="678"/>
      <c r="KTR33" s="678"/>
      <c r="KTS33" s="678"/>
      <c r="KTT33" s="678"/>
      <c r="KTU33" s="678"/>
      <c r="KTV33" s="678"/>
      <c r="KTW33" s="678"/>
      <c r="KTX33" s="678"/>
      <c r="KTY33" s="678"/>
      <c r="KTZ33" s="678"/>
      <c r="KUA33" s="678"/>
      <c r="KUB33" s="678"/>
      <c r="KUC33" s="678"/>
      <c r="KUD33" s="678"/>
      <c r="KUE33" s="678"/>
      <c r="KUF33" s="678"/>
      <c r="KUG33" s="678"/>
      <c r="KUH33" s="678"/>
      <c r="KUI33" s="678"/>
      <c r="KUJ33" s="678"/>
      <c r="KUK33" s="678"/>
      <c r="KUL33" s="678"/>
      <c r="KUM33" s="678"/>
      <c r="KUN33" s="678"/>
      <c r="KUO33" s="678"/>
      <c r="KUP33" s="678"/>
      <c r="KUQ33" s="678"/>
      <c r="KUR33" s="678"/>
      <c r="KUS33" s="678"/>
      <c r="KUT33" s="678"/>
      <c r="KUU33" s="678"/>
      <c r="KUV33" s="678"/>
      <c r="KUW33" s="678"/>
      <c r="KUX33" s="678"/>
      <c r="KUY33" s="678"/>
      <c r="KUZ33" s="678"/>
      <c r="KVA33" s="678"/>
      <c r="KVB33" s="678"/>
      <c r="KVC33" s="678"/>
      <c r="KVD33" s="678"/>
      <c r="KVE33" s="678"/>
      <c r="KVF33" s="678"/>
      <c r="KVG33" s="678"/>
      <c r="KVH33" s="678"/>
      <c r="KVI33" s="678"/>
      <c r="KVJ33" s="678"/>
      <c r="KVK33" s="678"/>
      <c r="KVL33" s="678"/>
      <c r="KVM33" s="678"/>
      <c r="KVN33" s="678"/>
      <c r="KVO33" s="678"/>
      <c r="KVP33" s="678"/>
      <c r="KVQ33" s="678"/>
      <c r="KVR33" s="678"/>
      <c r="KVS33" s="678"/>
      <c r="KVT33" s="678"/>
      <c r="KVU33" s="678"/>
      <c r="KVV33" s="678"/>
      <c r="KVW33" s="678"/>
      <c r="KVX33" s="678"/>
      <c r="KVY33" s="678"/>
      <c r="KVZ33" s="678"/>
      <c r="KWA33" s="678"/>
      <c r="KWB33" s="678"/>
      <c r="KWC33" s="678"/>
      <c r="KWD33" s="678"/>
      <c r="KWE33" s="678"/>
      <c r="KWF33" s="678"/>
      <c r="KWG33" s="678"/>
      <c r="KWH33" s="678"/>
      <c r="KWI33" s="678"/>
      <c r="KWJ33" s="678"/>
      <c r="KWK33" s="678"/>
      <c r="KWL33" s="678"/>
      <c r="KWM33" s="678"/>
      <c r="KWN33" s="678"/>
      <c r="KWO33" s="678"/>
      <c r="KWP33" s="678"/>
      <c r="KWQ33" s="678"/>
      <c r="KWR33" s="678"/>
      <c r="KWS33" s="678"/>
      <c r="KWT33" s="678"/>
      <c r="KWU33" s="678"/>
      <c r="KWV33" s="678"/>
      <c r="KWW33" s="678"/>
      <c r="KWX33" s="678"/>
      <c r="KWY33" s="678"/>
      <c r="KWZ33" s="678"/>
      <c r="KXA33" s="678"/>
      <c r="KXB33" s="678"/>
      <c r="KXC33" s="678"/>
      <c r="KXD33" s="678"/>
      <c r="KXE33" s="678"/>
      <c r="KXF33" s="678"/>
      <c r="KXG33" s="678"/>
      <c r="KXH33" s="678"/>
      <c r="KXI33" s="678"/>
      <c r="KXJ33" s="678"/>
      <c r="KXK33" s="678"/>
      <c r="KXL33" s="678"/>
      <c r="KXM33" s="678"/>
      <c r="KXN33" s="678"/>
      <c r="KXO33" s="678"/>
      <c r="KXP33" s="678"/>
      <c r="KXQ33" s="678"/>
      <c r="KXR33" s="678"/>
      <c r="KXS33" s="678"/>
      <c r="KXT33" s="678"/>
      <c r="KXU33" s="678"/>
      <c r="KXV33" s="678"/>
      <c r="KXW33" s="678"/>
      <c r="KXX33" s="678"/>
      <c r="KXY33" s="678"/>
      <c r="KXZ33" s="678"/>
      <c r="KYA33" s="678"/>
      <c r="KYB33" s="678"/>
      <c r="KYC33" s="678"/>
      <c r="KYD33" s="678"/>
      <c r="KYE33" s="678"/>
      <c r="KYF33" s="678"/>
      <c r="KYG33" s="678"/>
      <c r="KYH33" s="678"/>
      <c r="KYI33" s="678"/>
      <c r="KYJ33" s="678"/>
      <c r="KYK33" s="678"/>
      <c r="KYL33" s="678"/>
      <c r="KYM33" s="678"/>
      <c r="KYN33" s="678"/>
      <c r="KYO33" s="678"/>
      <c r="KYP33" s="678"/>
      <c r="KYQ33" s="678"/>
      <c r="KYR33" s="678"/>
      <c r="KYS33" s="678"/>
      <c r="KYT33" s="678"/>
      <c r="KYU33" s="678"/>
      <c r="KYV33" s="678"/>
      <c r="KYW33" s="678"/>
      <c r="KYX33" s="678"/>
      <c r="KYY33" s="678"/>
      <c r="KYZ33" s="678"/>
      <c r="KZA33" s="678"/>
      <c r="KZB33" s="678"/>
      <c r="KZC33" s="678"/>
      <c r="KZD33" s="678"/>
      <c r="KZE33" s="678"/>
      <c r="KZF33" s="678"/>
      <c r="KZG33" s="678"/>
      <c r="KZH33" s="678"/>
      <c r="KZI33" s="678"/>
      <c r="KZJ33" s="678"/>
      <c r="KZK33" s="678"/>
      <c r="KZL33" s="678"/>
      <c r="KZM33" s="678"/>
      <c r="KZN33" s="678"/>
      <c r="KZO33" s="678"/>
      <c r="KZP33" s="678"/>
      <c r="KZQ33" s="678"/>
      <c r="KZR33" s="678"/>
      <c r="KZS33" s="678"/>
      <c r="KZT33" s="678"/>
      <c r="KZU33" s="678"/>
      <c r="KZV33" s="678"/>
      <c r="KZW33" s="678"/>
      <c r="KZX33" s="678"/>
      <c r="KZY33" s="678"/>
      <c r="KZZ33" s="678"/>
      <c r="LAA33" s="678"/>
      <c r="LAB33" s="678"/>
      <c r="LAC33" s="678"/>
      <c r="LAD33" s="678"/>
      <c r="LAE33" s="678"/>
      <c r="LAF33" s="678"/>
      <c r="LAG33" s="678"/>
      <c r="LAH33" s="678"/>
      <c r="LAI33" s="678"/>
      <c r="LAJ33" s="678"/>
      <c r="LAK33" s="678"/>
      <c r="LAL33" s="678"/>
      <c r="LAM33" s="678"/>
      <c r="LAN33" s="678"/>
      <c r="LAO33" s="678"/>
      <c r="LAP33" s="678"/>
      <c r="LAQ33" s="678"/>
      <c r="LAR33" s="678"/>
      <c r="LAS33" s="678"/>
      <c r="LAT33" s="678"/>
      <c r="LAU33" s="678"/>
      <c r="LAV33" s="678"/>
      <c r="LAW33" s="678"/>
      <c r="LAX33" s="678"/>
      <c r="LAY33" s="678"/>
      <c r="LAZ33" s="678"/>
      <c r="LBA33" s="678"/>
      <c r="LBB33" s="678"/>
      <c r="LBC33" s="678"/>
      <c r="LBD33" s="678"/>
      <c r="LBE33" s="678"/>
      <c r="LBF33" s="678"/>
      <c r="LBG33" s="678"/>
      <c r="LBH33" s="678"/>
      <c r="LBI33" s="678"/>
      <c r="LBJ33" s="678"/>
      <c r="LBK33" s="678"/>
      <c r="LBL33" s="678"/>
      <c r="LBM33" s="678"/>
      <c r="LBN33" s="678"/>
      <c r="LBO33" s="678"/>
      <c r="LBP33" s="678"/>
      <c r="LBQ33" s="678"/>
      <c r="LBR33" s="678"/>
      <c r="LBS33" s="678"/>
      <c r="LBT33" s="678"/>
      <c r="LBU33" s="678"/>
      <c r="LBV33" s="678"/>
      <c r="LBW33" s="678"/>
      <c r="LBX33" s="678"/>
      <c r="LBY33" s="678"/>
      <c r="LBZ33" s="678"/>
      <c r="LCA33" s="678"/>
      <c r="LCB33" s="678"/>
      <c r="LCC33" s="678"/>
      <c r="LCD33" s="678"/>
      <c r="LCE33" s="678"/>
      <c r="LCF33" s="678"/>
      <c r="LCG33" s="678"/>
      <c r="LCH33" s="678"/>
      <c r="LCI33" s="678"/>
      <c r="LCJ33" s="678"/>
      <c r="LCK33" s="678"/>
      <c r="LCL33" s="678"/>
      <c r="LCM33" s="678"/>
      <c r="LCN33" s="678"/>
      <c r="LCO33" s="678"/>
      <c r="LCP33" s="678"/>
      <c r="LCQ33" s="678"/>
      <c r="LCR33" s="678"/>
      <c r="LCS33" s="678"/>
      <c r="LCT33" s="678"/>
      <c r="LCU33" s="678"/>
      <c r="LCV33" s="678"/>
      <c r="LCW33" s="678"/>
      <c r="LCX33" s="678"/>
      <c r="LCY33" s="678"/>
      <c r="LCZ33" s="678"/>
      <c r="LDA33" s="678"/>
      <c r="LDB33" s="678"/>
      <c r="LDC33" s="678"/>
      <c r="LDD33" s="678"/>
      <c r="LDE33" s="678"/>
      <c r="LDF33" s="678"/>
      <c r="LDG33" s="678"/>
      <c r="LDH33" s="678"/>
      <c r="LDI33" s="678"/>
      <c r="LDJ33" s="678"/>
      <c r="LDK33" s="678"/>
      <c r="LDL33" s="678"/>
      <c r="LDM33" s="678"/>
      <c r="LDN33" s="678"/>
      <c r="LDO33" s="678"/>
      <c r="LDP33" s="678"/>
      <c r="LDQ33" s="678"/>
      <c r="LDR33" s="678"/>
      <c r="LDS33" s="678"/>
      <c r="LDT33" s="678"/>
      <c r="LDU33" s="678"/>
      <c r="LDV33" s="678"/>
      <c r="LDW33" s="678"/>
      <c r="LDX33" s="678"/>
      <c r="LDY33" s="678"/>
      <c r="LDZ33" s="678"/>
      <c r="LEA33" s="678"/>
      <c r="LEB33" s="678"/>
      <c r="LEC33" s="678"/>
      <c r="LED33" s="678"/>
      <c r="LEE33" s="678"/>
      <c r="LEF33" s="678"/>
      <c r="LEG33" s="678"/>
      <c r="LEH33" s="678"/>
      <c r="LEI33" s="678"/>
      <c r="LEJ33" s="678"/>
      <c r="LEK33" s="678"/>
      <c r="LEL33" s="678"/>
      <c r="LEM33" s="678"/>
      <c r="LEN33" s="678"/>
      <c r="LEO33" s="678"/>
      <c r="LEP33" s="678"/>
      <c r="LEQ33" s="678"/>
      <c r="LER33" s="678"/>
      <c r="LES33" s="678"/>
      <c r="LET33" s="678"/>
      <c r="LEU33" s="678"/>
      <c r="LEV33" s="678"/>
      <c r="LEW33" s="678"/>
      <c r="LEX33" s="678"/>
      <c r="LEY33" s="678"/>
      <c r="LEZ33" s="678"/>
      <c r="LFA33" s="678"/>
      <c r="LFB33" s="678"/>
      <c r="LFC33" s="678"/>
      <c r="LFD33" s="678"/>
      <c r="LFE33" s="678"/>
      <c r="LFF33" s="678"/>
      <c r="LFG33" s="678"/>
      <c r="LFH33" s="678"/>
      <c r="LFI33" s="678"/>
      <c r="LFJ33" s="678"/>
      <c r="LFK33" s="678"/>
      <c r="LFL33" s="678"/>
      <c r="LFM33" s="678"/>
      <c r="LFN33" s="678"/>
      <c r="LFO33" s="678"/>
      <c r="LFP33" s="678"/>
      <c r="LFQ33" s="678"/>
      <c r="LFR33" s="678"/>
      <c r="LFS33" s="678"/>
      <c r="LFT33" s="678"/>
      <c r="LFU33" s="678"/>
      <c r="LFV33" s="678"/>
      <c r="LFW33" s="678"/>
      <c r="LFX33" s="678"/>
      <c r="LFY33" s="678"/>
      <c r="LFZ33" s="678"/>
      <c r="LGA33" s="678"/>
      <c r="LGB33" s="678"/>
      <c r="LGC33" s="678"/>
      <c r="LGD33" s="678"/>
      <c r="LGE33" s="678"/>
      <c r="LGF33" s="678"/>
      <c r="LGG33" s="678"/>
      <c r="LGH33" s="678"/>
      <c r="LGI33" s="678"/>
      <c r="LGJ33" s="678"/>
      <c r="LGK33" s="678"/>
      <c r="LGL33" s="678"/>
      <c r="LGM33" s="678"/>
      <c r="LGN33" s="678"/>
      <c r="LGO33" s="678"/>
      <c r="LGP33" s="678"/>
      <c r="LGQ33" s="678"/>
      <c r="LGR33" s="678"/>
      <c r="LGS33" s="678"/>
      <c r="LGT33" s="678"/>
      <c r="LGU33" s="678"/>
      <c r="LGV33" s="678"/>
      <c r="LGW33" s="678"/>
      <c r="LGX33" s="678"/>
      <c r="LGY33" s="678"/>
      <c r="LGZ33" s="678"/>
      <c r="LHA33" s="678"/>
      <c r="LHB33" s="678"/>
      <c r="LHC33" s="678"/>
      <c r="LHD33" s="678"/>
      <c r="LHE33" s="678"/>
      <c r="LHF33" s="678"/>
      <c r="LHG33" s="678"/>
      <c r="LHH33" s="678"/>
      <c r="LHI33" s="678"/>
      <c r="LHJ33" s="678"/>
      <c r="LHK33" s="678"/>
      <c r="LHL33" s="678"/>
      <c r="LHM33" s="678"/>
      <c r="LHN33" s="678"/>
      <c r="LHO33" s="678"/>
      <c r="LHP33" s="678"/>
      <c r="LHQ33" s="678"/>
      <c r="LHR33" s="678"/>
      <c r="LHS33" s="678"/>
      <c r="LHT33" s="678"/>
      <c r="LHU33" s="678"/>
      <c r="LHV33" s="678"/>
      <c r="LHW33" s="678"/>
      <c r="LHX33" s="678"/>
      <c r="LHY33" s="678"/>
      <c r="LHZ33" s="678"/>
      <c r="LIA33" s="678"/>
      <c r="LIB33" s="678"/>
      <c r="LIC33" s="678"/>
      <c r="LID33" s="678"/>
      <c r="LIE33" s="678"/>
      <c r="LIF33" s="678"/>
      <c r="LIG33" s="678"/>
      <c r="LIH33" s="678"/>
      <c r="LII33" s="678"/>
      <c r="LIJ33" s="678"/>
      <c r="LIK33" s="678"/>
      <c r="LIL33" s="678"/>
      <c r="LIM33" s="678"/>
      <c r="LIN33" s="678"/>
      <c r="LIO33" s="678"/>
      <c r="LIP33" s="678"/>
      <c r="LIQ33" s="678"/>
      <c r="LIR33" s="678"/>
      <c r="LIS33" s="678"/>
      <c r="LIT33" s="678"/>
      <c r="LIU33" s="678"/>
      <c r="LIV33" s="678"/>
      <c r="LIW33" s="678"/>
      <c r="LIX33" s="678"/>
      <c r="LIY33" s="678"/>
      <c r="LIZ33" s="678"/>
      <c r="LJA33" s="678"/>
      <c r="LJB33" s="678"/>
      <c r="LJC33" s="678"/>
      <c r="LJD33" s="678"/>
      <c r="LJE33" s="678"/>
      <c r="LJF33" s="678"/>
      <c r="LJG33" s="678"/>
      <c r="LJH33" s="678"/>
      <c r="LJI33" s="678"/>
      <c r="LJJ33" s="678"/>
      <c r="LJK33" s="678"/>
      <c r="LJL33" s="678"/>
      <c r="LJM33" s="678"/>
      <c r="LJN33" s="678"/>
      <c r="LJO33" s="678"/>
      <c r="LJP33" s="678"/>
      <c r="LJQ33" s="678"/>
      <c r="LJR33" s="678"/>
      <c r="LJS33" s="678"/>
      <c r="LJT33" s="678"/>
      <c r="LJU33" s="678"/>
      <c r="LJV33" s="678"/>
      <c r="LJW33" s="678"/>
      <c r="LJX33" s="678"/>
      <c r="LJY33" s="678"/>
      <c r="LJZ33" s="678"/>
      <c r="LKA33" s="678"/>
      <c r="LKB33" s="678"/>
      <c r="LKC33" s="678"/>
      <c r="LKD33" s="678"/>
      <c r="LKE33" s="678"/>
      <c r="LKF33" s="678"/>
      <c r="LKG33" s="678"/>
      <c r="LKH33" s="678"/>
      <c r="LKI33" s="678"/>
      <c r="LKJ33" s="678"/>
      <c r="LKK33" s="678"/>
      <c r="LKL33" s="678"/>
      <c r="LKM33" s="678"/>
      <c r="LKN33" s="678"/>
      <c r="LKO33" s="678"/>
      <c r="LKP33" s="678"/>
      <c r="LKQ33" s="678"/>
      <c r="LKR33" s="678"/>
      <c r="LKS33" s="678"/>
      <c r="LKT33" s="678"/>
      <c r="LKU33" s="678"/>
      <c r="LKV33" s="678"/>
      <c r="LKW33" s="678"/>
      <c r="LKX33" s="678"/>
      <c r="LKY33" s="678"/>
      <c r="LKZ33" s="678"/>
      <c r="LLA33" s="678"/>
      <c r="LLB33" s="678"/>
      <c r="LLC33" s="678"/>
      <c r="LLD33" s="678"/>
      <c r="LLE33" s="678"/>
      <c r="LLF33" s="678"/>
      <c r="LLG33" s="678"/>
      <c r="LLH33" s="678"/>
      <c r="LLI33" s="678"/>
      <c r="LLJ33" s="678"/>
      <c r="LLK33" s="678"/>
      <c r="LLL33" s="678"/>
      <c r="LLM33" s="678"/>
      <c r="LLN33" s="678"/>
      <c r="LLO33" s="678"/>
      <c r="LLP33" s="678"/>
      <c r="LLQ33" s="678"/>
      <c r="LLR33" s="678"/>
      <c r="LLS33" s="678"/>
      <c r="LLT33" s="678"/>
      <c r="LLU33" s="678"/>
      <c r="LLV33" s="678"/>
      <c r="LLW33" s="678"/>
      <c r="LLX33" s="678"/>
      <c r="LLY33" s="678"/>
      <c r="LLZ33" s="678"/>
      <c r="LMA33" s="678"/>
      <c r="LMB33" s="678"/>
      <c r="LMC33" s="678"/>
      <c r="LMD33" s="678"/>
      <c r="LME33" s="678"/>
      <c r="LMF33" s="678"/>
      <c r="LMG33" s="678"/>
      <c r="LMH33" s="678"/>
      <c r="LMI33" s="678"/>
      <c r="LMJ33" s="678"/>
      <c r="LMK33" s="678"/>
      <c r="LML33" s="678"/>
      <c r="LMM33" s="678"/>
      <c r="LMN33" s="678"/>
      <c r="LMO33" s="678"/>
      <c r="LMP33" s="678"/>
      <c r="LMQ33" s="678"/>
      <c r="LMR33" s="678"/>
      <c r="LMS33" s="678"/>
      <c r="LMT33" s="678"/>
      <c r="LMU33" s="678"/>
      <c r="LMV33" s="678"/>
      <c r="LMW33" s="678"/>
      <c r="LMX33" s="678"/>
      <c r="LMY33" s="678"/>
      <c r="LMZ33" s="678"/>
      <c r="LNA33" s="678"/>
      <c r="LNB33" s="678"/>
      <c r="LNC33" s="678"/>
      <c r="LND33" s="678"/>
      <c r="LNE33" s="678"/>
      <c r="LNF33" s="678"/>
      <c r="LNG33" s="678"/>
      <c r="LNH33" s="678"/>
      <c r="LNI33" s="678"/>
      <c r="LNJ33" s="678"/>
      <c r="LNK33" s="678"/>
      <c r="LNL33" s="678"/>
      <c r="LNM33" s="678"/>
      <c r="LNN33" s="678"/>
      <c r="LNO33" s="678"/>
      <c r="LNP33" s="678"/>
      <c r="LNQ33" s="678"/>
      <c r="LNR33" s="678"/>
      <c r="LNS33" s="678"/>
      <c r="LNT33" s="678"/>
      <c r="LNU33" s="678"/>
      <c r="LNV33" s="678"/>
      <c r="LNW33" s="678"/>
      <c r="LNX33" s="678"/>
      <c r="LNY33" s="678"/>
      <c r="LNZ33" s="678"/>
      <c r="LOA33" s="678"/>
      <c r="LOB33" s="678"/>
      <c r="LOC33" s="678"/>
      <c r="LOD33" s="678"/>
      <c r="LOE33" s="678"/>
      <c r="LOF33" s="678"/>
      <c r="LOG33" s="678"/>
      <c r="LOH33" s="678"/>
      <c r="LOI33" s="678"/>
      <c r="LOJ33" s="678"/>
      <c r="LOK33" s="678"/>
      <c r="LOL33" s="678"/>
      <c r="LOM33" s="678"/>
      <c r="LON33" s="678"/>
      <c r="LOO33" s="678"/>
      <c r="LOP33" s="678"/>
      <c r="LOQ33" s="678"/>
      <c r="LOR33" s="678"/>
      <c r="LOS33" s="678"/>
      <c r="LOT33" s="678"/>
      <c r="LOU33" s="678"/>
      <c r="LOV33" s="678"/>
      <c r="LOW33" s="678"/>
      <c r="LOX33" s="678"/>
      <c r="LOY33" s="678"/>
      <c r="LOZ33" s="678"/>
      <c r="LPA33" s="678"/>
      <c r="LPB33" s="678"/>
      <c r="LPC33" s="678"/>
      <c r="LPD33" s="678"/>
      <c r="LPE33" s="678"/>
      <c r="LPF33" s="678"/>
      <c r="LPG33" s="678"/>
      <c r="LPH33" s="678"/>
      <c r="LPI33" s="678"/>
      <c r="LPJ33" s="678"/>
      <c r="LPK33" s="678"/>
      <c r="LPL33" s="678"/>
      <c r="LPM33" s="678"/>
      <c r="LPN33" s="678"/>
      <c r="LPO33" s="678"/>
      <c r="LPP33" s="678"/>
      <c r="LPQ33" s="678"/>
      <c r="LPR33" s="678"/>
      <c r="LPS33" s="678"/>
      <c r="LPT33" s="678"/>
      <c r="LPU33" s="678"/>
      <c r="LPV33" s="678"/>
      <c r="LPW33" s="678"/>
      <c r="LPX33" s="678"/>
      <c r="LPY33" s="678"/>
      <c r="LPZ33" s="678"/>
      <c r="LQA33" s="678"/>
      <c r="LQB33" s="678"/>
      <c r="LQC33" s="678"/>
      <c r="LQD33" s="678"/>
      <c r="LQE33" s="678"/>
      <c r="LQF33" s="678"/>
      <c r="LQG33" s="678"/>
      <c r="LQH33" s="678"/>
      <c r="LQI33" s="678"/>
      <c r="LQJ33" s="678"/>
      <c r="LQK33" s="678"/>
      <c r="LQL33" s="678"/>
      <c r="LQM33" s="678"/>
      <c r="LQN33" s="678"/>
      <c r="LQO33" s="678"/>
      <c r="LQP33" s="678"/>
      <c r="LQQ33" s="678"/>
      <c r="LQR33" s="678"/>
      <c r="LQS33" s="678"/>
      <c r="LQT33" s="678"/>
      <c r="LQU33" s="678"/>
      <c r="LQV33" s="678"/>
      <c r="LQW33" s="678"/>
      <c r="LQX33" s="678"/>
      <c r="LQY33" s="678"/>
      <c r="LQZ33" s="678"/>
      <c r="LRA33" s="678"/>
      <c r="LRB33" s="678"/>
      <c r="LRC33" s="678"/>
      <c r="LRD33" s="678"/>
      <c r="LRE33" s="678"/>
      <c r="LRF33" s="678"/>
      <c r="LRG33" s="678"/>
      <c r="LRH33" s="678"/>
      <c r="LRI33" s="678"/>
      <c r="LRJ33" s="678"/>
      <c r="LRK33" s="678"/>
      <c r="LRL33" s="678"/>
      <c r="LRM33" s="678"/>
      <c r="LRN33" s="678"/>
      <c r="LRO33" s="678"/>
      <c r="LRP33" s="678"/>
      <c r="LRQ33" s="678"/>
      <c r="LRR33" s="678"/>
      <c r="LRS33" s="678"/>
      <c r="LRT33" s="678"/>
      <c r="LRU33" s="678"/>
      <c r="LRV33" s="678"/>
      <c r="LRW33" s="678"/>
      <c r="LRX33" s="678"/>
      <c r="LRY33" s="678"/>
      <c r="LRZ33" s="678"/>
      <c r="LSA33" s="678"/>
      <c r="LSB33" s="678"/>
      <c r="LSC33" s="678"/>
      <c r="LSD33" s="678"/>
      <c r="LSE33" s="678"/>
      <c r="LSF33" s="678"/>
      <c r="LSG33" s="678"/>
      <c r="LSH33" s="678"/>
      <c r="LSI33" s="678"/>
      <c r="LSJ33" s="678"/>
      <c r="LSK33" s="678"/>
      <c r="LSL33" s="678"/>
      <c r="LSM33" s="678"/>
      <c r="LSN33" s="678"/>
      <c r="LSO33" s="678"/>
      <c r="LSP33" s="678"/>
      <c r="LSQ33" s="678"/>
      <c r="LSR33" s="678"/>
      <c r="LSS33" s="678"/>
      <c r="LST33" s="678"/>
      <c r="LSU33" s="678"/>
      <c r="LSV33" s="678"/>
      <c r="LSW33" s="678"/>
      <c r="LSX33" s="678"/>
      <c r="LSY33" s="678"/>
      <c r="LSZ33" s="678"/>
      <c r="LTA33" s="678"/>
      <c r="LTB33" s="678"/>
      <c r="LTC33" s="678"/>
      <c r="LTD33" s="678"/>
      <c r="LTE33" s="678"/>
      <c r="LTF33" s="678"/>
      <c r="LTG33" s="678"/>
      <c r="LTH33" s="678"/>
      <c r="LTI33" s="678"/>
      <c r="LTJ33" s="678"/>
      <c r="LTK33" s="678"/>
      <c r="LTL33" s="678"/>
      <c r="LTM33" s="678"/>
      <c r="LTN33" s="678"/>
      <c r="LTO33" s="678"/>
      <c r="LTP33" s="678"/>
      <c r="LTQ33" s="678"/>
      <c r="LTR33" s="678"/>
      <c r="LTS33" s="678"/>
      <c r="LTT33" s="678"/>
      <c r="LTU33" s="678"/>
      <c r="LTV33" s="678"/>
      <c r="LTW33" s="678"/>
      <c r="LTX33" s="678"/>
      <c r="LTY33" s="678"/>
      <c r="LTZ33" s="678"/>
      <c r="LUA33" s="678"/>
      <c r="LUB33" s="678"/>
      <c r="LUC33" s="678"/>
      <c r="LUD33" s="678"/>
      <c r="LUE33" s="678"/>
      <c r="LUF33" s="678"/>
      <c r="LUG33" s="678"/>
      <c r="LUH33" s="678"/>
      <c r="LUI33" s="678"/>
      <c r="LUJ33" s="678"/>
      <c r="LUK33" s="678"/>
      <c r="LUL33" s="678"/>
      <c r="LUM33" s="678"/>
      <c r="LUN33" s="678"/>
      <c r="LUO33" s="678"/>
      <c r="LUP33" s="678"/>
      <c r="LUQ33" s="678"/>
      <c r="LUR33" s="678"/>
      <c r="LUS33" s="678"/>
      <c r="LUT33" s="678"/>
      <c r="LUU33" s="678"/>
      <c r="LUV33" s="678"/>
      <c r="LUW33" s="678"/>
      <c r="LUX33" s="678"/>
      <c r="LUY33" s="678"/>
      <c r="LUZ33" s="678"/>
      <c r="LVA33" s="678"/>
      <c r="LVB33" s="678"/>
      <c r="LVC33" s="678"/>
      <c r="LVD33" s="678"/>
      <c r="LVE33" s="678"/>
      <c r="LVF33" s="678"/>
      <c r="LVG33" s="678"/>
      <c r="LVH33" s="678"/>
      <c r="LVI33" s="678"/>
      <c r="LVJ33" s="678"/>
      <c r="LVK33" s="678"/>
      <c r="LVL33" s="678"/>
      <c r="LVM33" s="678"/>
      <c r="LVN33" s="678"/>
      <c r="LVO33" s="678"/>
      <c r="LVP33" s="678"/>
      <c r="LVQ33" s="678"/>
      <c r="LVR33" s="678"/>
      <c r="LVS33" s="678"/>
      <c r="LVT33" s="678"/>
      <c r="LVU33" s="678"/>
      <c r="LVV33" s="678"/>
      <c r="LVW33" s="678"/>
      <c r="LVX33" s="678"/>
      <c r="LVY33" s="678"/>
      <c r="LVZ33" s="678"/>
      <c r="LWA33" s="678"/>
      <c r="LWB33" s="678"/>
      <c r="LWC33" s="678"/>
      <c r="LWD33" s="678"/>
      <c r="LWE33" s="678"/>
      <c r="LWF33" s="678"/>
      <c r="LWG33" s="678"/>
      <c r="LWH33" s="678"/>
      <c r="LWI33" s="678"/>
      <c r="LWJ33" s="678"/>
      <c r="LWK33" s="678"/>
      <c r="LWL33" s="678"/>
      <c r="LWM33" s="678"/>
      <c r="LWN33" s="678"/>
      <c r="LWO33" s="678"/>
      <c r="LWP33" s="678"/>
      <c r="LWQ33" s="678"/>
      <c r="LWR33" s="678"/>
      <c r="LWS33" s="678"/>
      <c r="LWT33" s="678"/>
      <c r="LWU33" s="678"/>
      <c r="LWV33" s="678"/>
      <c r="LWW33" s="678"/>
      <c r="LWX33" s="678"/>
      <c r="LWY33" s="678"/>
      <c r="LWZ33" s="678"/>
      <c r="LXA33" s="678"/>
      <c r="LXB33" s="678"/>
      <c r="LXC33" s="678"/>
      <c r="LXD33" s="678"/>
      <c r="LXE33" s="678"/>
      <c r="LXF33" s="678"/>
      <c r="LXG33" s="678"/>
      <c r="LXH33" s="678"/>
      <c r="LXI33" s="678"/>
      <c r="LXJ33" s="678"/>
      <c r="LXK33" s="678"/>
      <c r="LXL33" s="678"/>
      <c r="LXM33" s="678"/>
      <c r="LXN33" s="678"/>
      <c r="LXO33" s="678"/>
      <c r="LXP33" s="678"/>
      <c r="LXQ33" s="678"/>
      <c r="LXR33" s="678"/>
      <c r="LXS33" s="678"/>
      <c r="LXT33" s="678"/>
      <c r="LXU33" s="678"/>
      <c r="LXV33" s="678"/>
      <c r="LXW33" s="678"/>
      <c r="LXX33" s="678"/>
      <c r="LXY33" s="678"/>
      <c r="LXZ33" s="678"/>
      <c r="LYA33" s="678"/>
      <c r="LYB33" s="678"/>
      <c r="LYC33" s="678"/>
      <c r="LYD33" s="678"/>
      <c r="LYE33" s="678"/>
      <c r="LYF33" s="678"/>
      <c r="LYG33" s="678"/>
      <c r="LYH33" s="678"/>
      <c r="LYI33" s="678"/>
      <c r="LYJ33" s="678"/>
      <c r="LYK33" s="678"/>
      <c r="LYL33" s="678"/>
      <c r="LYM33" s="678"/>
      <c r="LYN33" s="678"/>
      <c r="LYO33" s="678"/>
      <c r="LYP33" s="678"/>
      <c r="LYQ33" s="678"/>
      <c r="LYR33" s="678"/>
      <c r="LYS33" s="678"/>
      <c r="LYT33" s="678"/>
      <c r="LYU33" s="678"/>
      <c r="LYV33" s="678"/>
      <c r="LYW33" s="678"/>
      <c r="LYX33" s="678"/>
      <c r="LYY33" s="678"/>
      <c r="LYZ33" s="678"/>
      <c r="LZA33" s="678"/>
      <c r="LZB33" s="678"/>
      <c r="LZC33" s="678"/>
      <c r="LZD33" s="678"/>
      <c r="LZE33" s="678"/>
      <c r="LZF33" s="678"/>
      <c r="LZG33" s="678"/>
      <c r="LZH33" s="678"/>
      <c r="LZI33" s="678"/>
      <c r="LZJ33" s="678"/>
      <c r="LZK33" s="678"/>
      <c r="LZL33" s="678"/>
      <c r="LZM33" s="678"/>
      <c r="LZN33" s="678"/>
      <c r="LZO33" s="678"/>
      <c r="LZP33" s="678"/>
      <c r="LZQ33" s="678"/>
      <c r="LZR33" s="678"/>
      <c r="LZS33" s="678"/>
      <c r="LZT33" s="678"/>
      <c r="LZU33" s="678"/>
      <c r="LZV33" s="678"/>
      <c r="LZW33" s="678"/>
      <c r="LZX33" s="678"/>
      <c r="LZY33" s="678"/>
      <c r="LZZ33" s="678"/>
      <c r="MAA33" s="678"/>
      <c r="MAB33" s="678"/>
      <c r="MAC33" s="678"/>
      <c r="MAD33" s="678"/>
      <c r="MAE33" s="678"/>
      <c r="MAF33" s="678"/>
      <c r="MAG33" s="678"/>
      <c r="MAH33" s="678"/>
      <c r="MAI33" s="678"/>
      <c r="MAJ33" s="678"/>
      <c r="MAK33" s="678"/>
      <c r="MAL33" s="678"/>
      <c r="MAM33" s="678"/>
      <c r="MAN33" s="678"/>
      <c r="MAO33" s="678"/>
      <c r="MAP33" s="678"/>
      <c r="MAQ33" s="678"/>
      <c r="MAR33" s="678"/>
      <c r="MAS33" s="678"/>
      <c r="MAT33" s="678"/>
      <c r="MAU33" s="678"/>
      <c r="MAV33" s="678"/>
      <c r="MAW33" s="678"/>
      <c r="MAX33" s="678"/>
      <c r="MAY33" s="678"/>
      <c r="MAZ33" s="678"/>
      <c r="MBA33" s="678"/>
      <c r="MBB33" s="678"/>
      <c r="MBC33" s="678"/>
      <c r="MBD33" s="678"/>
      <c r="MBE33" s="678"/>
      <c r="MBF33" s="678"/>
      <c r="MBG33" s="678"/>
      <c r="MBH33" s="678"/>
      <c r="MBI33" s="678"/>
      <c r="MBJ33" s="678"/>
      <c r="MBK33" s="678"/>
      <c r="MBL33" s="678"/>
      <c r="MBM33" s="678"/>
      <c r="MBN33" s="678"/>
      <c r="MBO33" s="678"/>
      <c r="MBP33" s="678"/>
      <c r="MBQ33" s="678"/>
      <c r="MBR33" s="678"/>
      <c r="MBS33" s="678"/>
      <c r="MBT33" s="678"/>
      <c r="MBU33" s="678"/>
      <c r="MBV33" s="678"/>
      <c r="MBW33" s="678"/>
      <c r="MBX33" s="678"/>
      <c r="MBY33" s="678"/>
      <c r="MBZ33" s="678"/>
      <c r="MCA33" s="678"/>
      <c r="MCB33" s="678"/>
      <c r="MCC33" s="678"/>
      <c r="MCD33" s="678"/>
      <c r="MCE33" s="678"/>
      <c r="MCF33" s="678"/>
      <c r="MCG33" s="678"/>
      <c r="MCH33" s="678"/>
      <c r="MCI33" s="678"/>
      <c r="MCJ33" s="678"/>
      <c r="MCK33" s="678"/>
      <c r="MCL33" s="678"/>
      <c r="MCM33" s="678"/>
      <c r="MCN33" s="678"/>
      <c r="MCO33" s="678"/>
      <c r="MCP33" s="678"/>
      <c r="MCQ33" s="678"/>
      <c r="MCR33" s="678"/>
      <c r="MCS33" s="678"/>
      <c r="MCT33" s="678"/>
      <c r="MCU33" s="678"/>
      <c r="MCV33" s="678"/>
      <c r="MCW33" s="678"/>
      <c r="MCX33" s="678"/>
      <c r="MCY33" s="678"/>
      <c r="MCZ33" s="678"/>
      <c r="MDA33" s="678"/>
      <c r="MDB33" s="678"/>
      <c r="MDC33" s="678"/>
      <c r="MDD33" s="678"/>
      <c r="MDE33" s="678"/>
      <c r="MDF33" s="678"/>
      <c r="MDG33" s="678"/>
      <c r="MDH33" s="678"/>
      <c r="MDI33" s="678"/>
      <c r="MDJ33" s="678"/>
      <c r="MDK33" s="678"/>
      <c r="MDL33" s="678"/>
      <c r="MDM33" s="678"/>
      <c r="MDN33" s="678"/>
      <c r="MDO33" s="678"/>
      <c r="MDP33" s="678"/>
      <c r="MDQ33" s="678"/>
      <c r="MDR33" s="678"/>
      <c r="MDS33" s="678"/>
      <c r="MDT33" s="678"/>
      <c r="MDU33" s="678"/>
      <c r="MDV33" s="678"/>
      <c r="MDW33" s="678"/>
      <c r="MDX33" s="678"/>
      <c r="MDY33" s="678"/>
      <c r="MDZ33" s="678"/>
      <c r="MEA33" s="678"/>
      <c r="MEB33" s="678"/>
      <c r="MEC33" s="678"/>
      <c r="MED33" s="678"/>
      <c r="MEE33" s="678"/>
      <c r="MEF33" s="678"/>
      <c r="MEG33" s="678"/>
      <c r="MEH33" s="678"/>
      <c r="MEI33" s="678"/>
      <c r="MEJ33" s="678"/>
      <c r="MEK33" s="678"/>
      <c r="MEL33" s="678"/>
      <c r="MEM33" s="678"/>
      <c r="MEN33" s="678"/>
      <c r="MEO33" s="678"/>
      <c r="MEP33" s="678"/>
      <c r="MEQ33" s="678"/>
      <c r="MER33" s="678"/>
      <c r="MES33" s="678"/>
      <c r="MET33" s="678"/>
      <c r="MEU33" s="678"/>
      <c r="MEV33" s="678"/>
      <c r="MEW33" s="678"/>
      <c r="MEX33" s="678"/>
      <c r="MEY33" s="678"/>
      <c r="MEZ33" s="678"/>
      <c r="MFA33" s="678"/>
      <c r="MFB33" s="678"/>
      <c r="MFC33" s="678"/>
      <c r="MFD33" s="678"/>
      <c r="MFE33" s="678"/>
      <c r="MFF33" s="678"/>
      <c r="MFG33" s="678"/>
      <c r="MFH33" s="678"/>
      <c r="MFI33" s="678"/>
      <c r="MFJ33" s="678"/>
      <c r="MFK33" s="678"/>
      <c r="MFL33" s="678"/>
      <c r="MFM33" s="678"/>
      <c r="MFN33" s="678"/>
      <c r="MFO33" s="678"/>
      <c r="MFP33" s="678"/>
      <c r="MFQ33" s="678"/>
      <c r="MFR33" s="678"/>
      <c r="MFS33" s="678"/>
      <c r="MFT33" s="678"/>
      <c r="MFU33" s="678"/>
      <c r="MFV33" s="678"/>
      <c r="MFW33" s="678"/>
      <c r="MFX33" s="678"/>
      <c r="MFY33" s="678"/>
      <c r="MFZ33" s="678"/>
      <c r="MGA33" s="678"/>
      <c r="MGB33" s="678"/>
      <c r="MGC33" s="678"/>
      <c r="MGD33" s="678"/>
      <c r="MGE33" s="678"/>
      <c r="MGF33" s="678"/>
      <c r="MGG33" s="678"/>
      <c r="MGH33" s="678"/>
      <c r="MGI33" s="678"/>
      <c r="MGJ33" s="678"/>
      <c r="MGK33" s="678"/>
      <c r="MGL33" s="678"/>
      <c r="MGM33" s="678"/>
      <c r="MGN33" s="678"/>
      <c r="MGO33" s="678"/>
      <c r="MGP33" s="678"/>
      <c r="MGQ33" s="678"/>
      <c r="MGR33" s="678"/>
      <c r="MGS33" s="678"/>
      <c r="MGT33" s="678"/>
      <c r="MGU33" s="678"/>
      <c r="MGV33" s="678"/>
      <c r="MGW33" s="678"/>
      <c r="MGX33" s="678"/>
      <c r="MGY33" s="678"/>
      <c r="MGZ33" s="678"/>
      <c r="MHA33" s="678"/>
      <c r="MHB33" s="678"/>
      <c r="MHC33" s="678"/>
      <c r="MHD33" s="678"/>
      <c r="MHE33" s="678"/>
      <c r="MHF33" s="678"/>
      <c r="MHG33" s="678"/>
      <c r="MHH33" s="678"/>
      <c r="MHI33" s="678"/>
      <c r="MHJ33" s="678"/>
      <c r="MHK33" s="678"/>
      <c r="MHL33" s="678"/>
      <c r="MHM33" s="678"/>
      <c r="MHN33" s="678"/>
      <c r="MHO33" s="678"/>
      <c r="MHP33" s="678"/>
      <c r="MHQ33" s="678"/>
      <c r="MHR33" s="678"/>
      <c r="MHS33" s="678"/>
      <c r="MHT33" s="678"/>
      <c r="MHU33" s="678"/>
      <c r="MHV33" s="678"/>
      <c r="MHW33" s="678"/>
      <c r="MHX33" s="678"/>
      <c r="MHY33" s="678"/>
      <c r="MHZ33" s="678"/>
      <c r="MIA33" s="678"/>
      <c r="MIB33" s="678"/>
      <c r="MIC33" s="678"/>
      <c r="MID33" s="678"/>
      <c r="MIE33" s="678"/>
      <c r="MIF33" s="678"/>
      <c r="MIG33" s="678"/>
      <c r="MIH33" s="678"/>
      <c r="MII33" s="678"/>
      <c r="MIJ33" s="678"/>
      <c r="MIK33" s="678"/>
      <c r="MIL33" s="678"/>
      <c r="MIM33" s="678"/>
      <c r="MIN33" s="678"/>
      <c r="MIO33" s="678"/>
      <c r="MIP33" s="678"/>
      <c r="MIQ33" s="678"/>
      <c r="MIR33" s="678"/>
      <c r="MIS33" s="678"/>
      <c r="MIT33" s="678"/>
      <c r="MIU33" s="678"/>
      <c r="MIV33" s="678"/>
      <c r="MIW33" s="678"/>
      <c r="MIX33" s="678"/>
      <c r="MIY33" s="678"/>
      <c r="MIZ33" s="678"/>
      <c r="MJA33" s="678"/>
      <c r="MJB33" s="678"/>
      <c r="MJC33" s="678"/>
      <c r="MJD33" s="678"/>
      <c r="MJE33" s="678"/>
      <c r="MJF33" s="678"/>
      <c r="MJG33" s="678"/>
      <c r="MJH33" s="678"/>
      <c r="MJI33" s="678"/>
      <c r="MJJ33" s="678"/>
      <c r="MJK33" s="678"/>
      <c r="MJL33" s="678"/>
      <c r="MJM33" s="678"/>
      <c r="MJN33" s="678"/>
      <c r="MJO33" s="678"/>
      <c r="MJP33" s="678"/>
      <c r="MJQ33" s="678"/>
      <c r="MJR33" s="678"/>
      <c r="MJS33" s="678"/>
      <c r="MJT33" s="678"/>
      <c r="MJU33" s="678"/>
      <c r="MJV33" s="678"/>
      <c r="MJW33" s="678"/>
      <c r="MJX33" s="678"/>
      <c r="MJY33" s="678"/>
      <c r="MJZ33" s="678"/>
      <c r="MKA33" s="678"/>
      <c r="MKB33" s="678"/>
      <c r="MKC33" s="678"/>
      <c r="MKD33" s="678"/>
      <c r="MKE33" s="678"/>
      <c r="MKF33" s="678"/>
      <c r="MKG33" s="678"/>
      <c r="MKH33" s="678"/>
      <c r="MKI33" s="678"/>
      <c r="MKJ33" s="678"/>
      <c r="MKK33" s="678"/>
      <c r="MKL33" s="678"/>
      <c r="MKM33" s="678"/>
      <c r="MKN33" s="678"/>
      <c r="MKO33" s="678"/>
      <c r="MKP33" s="678"/>
      <c r="MKQ33" s="678"/>
      <c r="MKR33" s="678"/>
      <c r="MKS33" s="678"/>
      <c r="MKT33" s="678"/>
      <c r="MKU33" s="678"/>
      <c r="MKV33" s="678"/>
      <c r="MKW33" s="678"/>
      <c r="MKX33" s="678"/>
      <c r="MKY33" s="678"/>
      <c r="MKZ33" s="678"/>
      <c r="MLA33" s="678"/>
      <c r="MLB33" s="678"/>
      <c r="MLC33" s="678"/>
      <c r="MLD33" s="678"/>
      <c r="MLE33" s="678"/>
      <c r="MLF33" s="678"/>
      <c r="MLG33" s="678"/>
      <c r="MLH33" s="678"/>
      <c r="MLI33" s="678"/>
      <c r="MLJ33" s="678"/>
      <c r="MLK33" s="678"/>
      <c r="MLL33" s="678"/>
      <c r="MLM33" s="678"/>
      <c r="MLN33" s="678"/>
      <c r="MLO33" s="678"/>
      <c r="MLP33" s="678"/>
      <c r="MLQ33" s="678"/>
      <c r="MLR33" s="678"/>
      <c r="MLS33" s="678"/>
      <c r="MLT33" s="678"/>
      <c r="MLU33" s="678"/>
      <c r="MLV33" s="678"/>
      <c r="MLW33" s="678"/>
      <c r="MLX33" s="678"/>
      <c r="MLY33" s="678"/>
      <c r="MLZ33" s="678"/>
      <c r="MMA33" s="678"/>
      <c r="MMB33" s="678"/>
      <c r="MMC33" s="678"/>
      <c r="MMD33" s="678"/>
      <c r="MME33" s="678"/>
      <c r="MMF33" s="678"/>
      <c r="MMG33" s="678"/>
      <c r="MMH33" s="678"/>
      <c r="MMI33" s="678"/>
      <c r="MMJ33" s="678"/>
      <c r="MMK33" s="678"/>
      <c r="MML33" s="678"/>
      <c r="MMM33" s="678"/>
      <c r="MMN33" s="678"/>
      <c r="MMO33" s="678"/>
      <c r="MMP33" s="678"/>
      <c r="MMQ33" s="678"/>
      <c r="MMR33" s="678"/>
      <c r="MMS33" s="678"/>
      <c r="MMT33" s="678"/>
      <c r="MMU33" s="678"/>
      <c r="MMV33" s="678"/>
      <c r="MMW33" s="678"/>
      <c r="MMX33" s="678"/>
      <c r="MMY33" s="678"/>
      <c r="MMZ33" s="678"/>
      <c r="MNA33" s="678"/>
      <c r="MNB33" s="678"/>
      <c r="MNC33" s="678"/>
      <c r="MND33" s="678"/>
      <c r="MNE33" s="678"/>
      <c r="MNF33" s="678"/>
      <c r="MNG33" s="678"/>
      <c r="MNH33" s="678"/>
      <c r="MNI33" s="678"/>
      <c r="MNJ33" s="678"/>
      <c r="MNK33" s="678"/>
      <c r="MNL33" s="678"/>
      <c r="MNM33" s="678"/>
      <c r="MNN33" s="678"/>
      <c r="MNO33" s="678"/>
      <c r="MNP33" s="678"/>
      <c r="MNQ33" s="678"/>
      <c r="MNR33" s="678"/>
      <c r="MNS33" s="678"/>
      <c r="MNT33" s="678"/>
      <c r="MNU33" s="678"/>
      <c r="MNV33" s="678"/>
      <c r="MNW33" s="678"/>
      <c r="MNX33" s="678"/>
      <c r="MNY33" s="678"/>
      <c r="MNZ33" s="678"/>
      <c r="MOA33" s="678"/>
      <c r="MOB33" s="678"/>
      <c r="MOC33" s="678"/>
      <c r="MOD33" s="678"/>
      <c r="MOE33" s="678"/>
      <c r="MOF33" s="678"/>
      <c r="MOG33" s="678"/>
      <c r="MOH33" s="678"/>
      <c r="MOI33" s="678"/>
      <c r="MOJ33" s="678"/>
      <c r="MOK33" s="678"/>
      <c r="MOL33" s="678"/>
      <c r="MOM33" s="678"/>
      <c r="MON33" s="678"/>
      <c r="MOO33" s="678"/>
      <c r="MOP33" s="678"/>
      <c r="MOQ33" s="678"/>
      <c r="MOR33" s="678"/>
      <c r="MOS33" s="678"/>
      <c r="MOT33" s="678"/>
      <c r="MOU33" s="678"/>
      <c r="MOV33" s="678"/>
      <c r="MOW33" s="678"/>
      <c r="MOX33" s="678"/>
      <c r="MOY33" s="678"/>
      <c r="MOZ33" s="678"/>
      <c r="MPA33" s="678"/>
      <c r="MPB33" s="678"/>
      <c r="MPC33" s="678"/>
      <c r="MPD33" s="678"/>
      <c r="MPE33" s="678"/>
      <c r="MPF33" s="678"/>
      <c r="MPG33" s="678"/>
      <c r="MPH33" s="678"/>
      <c r="MPI33" s="678"/>
      <c r="MPJ33" s="678"/>
      <c r="MPK33" s="678"/>
      <c r="MPL33" s="678"/>
      <c r="MPM33" s="678"/>
      <c r="MPN33" s="678"/>
      <c r="MPO33" s="678"/>
      <c r="MPP33" s="678"/>
      <c r="MPQ33" s="678"/>
      <c r="MPR33" s="678"/>
      <c r="MPS33" s="678"/>
      <c r="MPT33" s="678"/>
      <c r="MPU33" s="678"/>
      <c r="MPV33" s="678"/>
      <c r="MPW33" s="678"/>
      <c r="MPX33" s="678"/>
      <c r="MPY33" s="678"/>
      <c r="MPZ33" s="678"/>
      <c r="MQA33" s="678"/>
      <c r="MQB33" s="678"/>
      <c r="MQC33" s="678"/>
      <c r="MQD33" s="678"/>
      <c r="MQE33" s="678"/>
      <c r="MQF33" s="678"/>
      <c r="MQG33" s="678"/>
      <c r="MQH33" s="678"/>
      <c r="MQI33" s="678"/>
      <c r="MQJ33" s="678"/>
      <c r="MQK33" s="678"/>
      <c r="MQL33" s="678"/>
      <c r="MQM33" s="678"/>
      <c r="MQN33" s="678"/>
      <c r="MQO33" s="678"/>
      <c r="MQP33" s="678"/>
      <c r="MQQ33" s="678"/>
      <c r="MQR33" s="678"/>
      <c r="MQS33" s="678"/>
      <c r="MQT33" s="678"/>
      <c r="MQU33" s="678"/>
      <c r="MQV33" s="678"/>
      <c r="MQW33" s="678"/>
      <c r="MQX33" s="678"/>
      <c r="MQY33" s="678"/>
      <c r="MQZ33" s="678"/>
      <c r="MRA33" s="678"/>
      <c r="MRB33" s="678"/>
      <c r="MRC33" s="678"/>
      <c r="MRD33" s="678"/>
      <c r="MRE33" s="678"/>
      <c r="MRF33" s="678"/>
      <c r="MRG33" s="678"/>
      <c r="MRH33" s="678"/>
      <c r="MRI33" s="678"/>
      <c r="MRJ33" s="678"/>
      <c r="MRK33" s="678"/>
      <c r="MRL33" s="678"/>
      <c r="MRM33" s="678"/>
      <c r="MRN33" s="678"/>
      <c r="MRO33" s="678"/>
      <c r="MRP33" s="678"/>
      <c r="MRQ33" s="678"/>
      <c r="MRR33" s="678"/>
      <c r="MRS33" s="678"/>
      <c r="MRT33" s="678"/>
      <c r="MRU33" s="678"/>
      <c r="MRV33" s="678"/>
      <c r="MRW33" s="678"/>
      <c r="MRX33" s="678"/>
      <c r="MRY33" s="678"/>
      <c r="MRZ33" s="678"/>
      <c r="MSA33" s="678"/>
      <c r="MSB33" s="678"/>
      <c r="MSC33" s="678"/>
      <c r="MSD33" s="678"/>
      <c r="MSE33" s="678"/>
      <c r="MSF33" s="678"/>
      <c r="MSG33" s="678"/>
      <c r="MSH33" s="678"/>
      <c r="MSI33" s="678"/>
      <c r="MSJ33" s="678"/>
      <c r="MSK33" s="678"/>
      <c r="MSL33" s="678"/>
      <c r="MSM33" s="678"/>
      <c r="MSN33" s="678"/>
      <c r="MSO33" s="678"/>
      <c r="MSP33" s="678"/>
      <c r="MSQ33" s="678"/>
      <c r="MSR33" s="678"/>
      <c r="MSS33" s="678"/>
      <c r="MST33" s="678"/>
      <c r="MSU33" s="678"/>
      <c r="MSV33" s="678"/>
      <c r="MSW33" s="678"/>
      <c r="MSX33" s="678"/>
      <c r="MSY33" s="678"/>
      <c r="MSZ33" s="678"/>
      <c r="MTA33" s="678"/>
      <c r="MTB33" s="678"/>
      <c r="MTC33" s="678"/>
      <c r="MTD33" s="678"/>
      <c r="MTE33" s="678"/>
      <c r="MTF33" s="678"/>
      <c r="MTG33" s="678"/>
      <c r="MTH33" s="678"/>
      <c r="MTI33" s="678"/>
      <c r="MTJ33" s="678"/>
      <c r="MTK33" s="678"/>
      <c r="MTL33" s="678"/>
      <c r="MTM33" s="678"/>
      <c r="MTN33" s="678"/>
      <c r="MTO33" s="678"/>
      <c r="MTP33" s="678"/>
      <c r="MTQ33" s="678"/>
      <c r="MTR33" s="678"/>
      <c r="MTS33" s="678"/>
      <c r="MTT33" s="678"/>
      <c r="MTU33" s="678"/>
      <c r="MTV33" s="678"/>
      <c r="MTW33" s="678"/>
      <c r="MTX33" s="678"/>
      <c r="MTY33" s="678"/>
      <c r="MTZ33" s="678"/>
      <c r="MUA33" s="678"/>
      <c r="MUB33" s="678"/>
      <c r="MUC33" s="678"/>
      <c r="MUD33" s="678"/>
      <c r="MUE33" s="678"/>
      <c r="MUF33" s="678"/>
      <c r="MUG33" s="678"/>
      <c r="MUH33" s="678"/>
      <c r="MUI33" s="678"/>
      <c r="MUJ33" s="678"/>
      <c r="MUK33" s="678"/>
      <c r="MUL33" s="678"/>
      <c r="MUM33" s="678"/>
      <c r="MUN33" s="678"/>
      <c r="MUO33" s="678"/>
      <c r="MUP33" s="678"/>
      <c r="MUQ33" s="678"/>
      <c r="MUR33" s="678"/>
      <c r="MUS33" s="678"/>
      <c r="MUT33" s="678"/>
      <c r="MUU33" s="678"/>
      <c r="MUV33" s="678"/>
      <c r="MUW33" s="678"/>
      <c r="MUX33" s="678"/>
      <c r="MUY33" s="678"/>
      <c r="MUZ33" s="678"/>
      <c r="MVA33" s="678"/>
      <c r="MVB33" s="678"/>
      <c r="MVC33" s="678"/>
      <c r="MVD33" s="678"/>
      <c r="MVE33" s="678"/>
      <c r="MVF33" s="678"/>
      <c r="MVG33" s="678"/>
      <c r="MVH33" s="678"/>
      <c r="MVI33" s="678"/>
      <c r="MVJ33" s="678"/>
      <c r="MVK33" s="678"/>
      <c r="MVL33" s="678"/>
      <c r="MVM33" s="678"/>
      <c r="MVN33" s="678"/>
      <c r="MVO33" s="678"/>
      <c r="MVP33" s="678"/>
      <c r="MVQ33" s="678"/>
      <c r="MVR33" s="678"/>
      <c r="MVS33" s="678"/>
      <c r="MVT33" s="678"/>
      <c r="MVU33" s="678"/>
      <c r="MVV33" s="678"/>
      <c r="MVW33" s="678"/>
      <c r="MVX33" s="678"/>
      <c r="MVY33" s="678"/>
      <c r="MVZ33" s="678"/>
      <c r="MWA33" s="678"/>
      <c r="MWB33" s="678"/>
      <c r="MWC33" s="678"/>
      <c r="MWD33" s="678"/>
      <c r="MWE33" s="678"/>
      <c r="MWF33" s="678"/>
      <c r="MWG33" s="678"/>
      <c r="MWH33" s="678"/>
      <c r="MWI33" s="678"/>
      <c r="MWJ33" s="678"/>
      <c r="MWK33" s="678"/>
      <c r="MWL33" s="678"/>
      <c r="MWM33" s="678"/>
      <c r="MWN33" s="678"/>
      <c r="MWO33" s="678"/>
      <c r="MWP33" s="678"/>
      <c r="MWQ33" s="678"/>
      <c r="MWR33" s="678"/>
      <c r="MWS33" s="678"/>
      <c r="MWT33" s="678"/>
      <c r="MWU33" s="678"/>
      <c r="MWV33" s="678"/>
      <c r="MWW33" s="678"/>
      <c r="MWX33" s="678"/>
      <c r="MWY33" s="678"/>
      <c r="MWZ33" s="678"/>
      <c r="MXA33" s="678"/>
      <c r="MXB33" s="678"/>
      <c r="MXC33" s="678"/>
      <c r="MXD33" s="678"/>
      <c r="MXE33" s="678"/>
      <c r="MXF33" s="678"/>
      <c r="MXG33" s="678"/>
      <c r="MXH33" s="678"/>
      <c r="MXI33" s="678"/>
      <c r="MXJ33" s="678"/>
      <c r="MXK33" s="678"/>
      <c r="MXL33" s="678"/>
      <c r="MXM33" s="678"/>
      <c r="MXN33" s="678"/>
      <c r="MXO33" s="678"/>
      <c r="MXP33" s="678"/>
      <c r="MXQ33" s="678"/>
      <c r="MXR33" s="678"/>
      <c r="MXS33" s="678"/>
      <c r="MXT33" s="678"/>
      <c r="MXU33" s="678"/>
      <c r="MXV33" s="678"/>
      <c r="MXW33" s="678"/>
      <c r="MXX33" s="678"/>
      <c r="MXY33" s="678"/>
      <c r="MXZ33" s="678"/>
      <c r="MYA33" s="678"/>
      <c r="MYB33" s="678"/>
      <c r="MYC33" s="678"/>
      <c r="MYD33" s="678"/>
      <c r="MYE33" s="678"/>
      <c r="MYF33" s="678"/>
      <c r="MYG33" s="678"/>
      <c r="MYH33" s="678"/>
      <c r="MYI33" s="678"/>
      <c r="MYJ33" s="678"/>
      <c r="MYK33" s="678"/>
      <c r="MYL33" s="678"/>
      <c r="MYM33" s="678"/>
      <c r="MYN33" s="678"/>
      <c r="MYO33" s="678"/>
      <c r="MYP33" s="678"/>
      <c r="MYQ33" s="678"/>
      <c r="MYR33" s="678"/>
      <c r="MYS33" s="678"/>
      <c r="MYT33" s="678"/>
      <c r="MYU33" s="678"/>
      <c r="MYV33" s="678"/>
      <c r="MYW33" s="678"/>
      <c r="MYX33" s="678"/>
      <c r="MYY33" s="678"/>
      <c r="MYZ33" s="678"/>
      <c r="MZA33" s="678"/>
      <c r="MZB33" s="678"/>
      <c r="MZC33" s="678"/>
      <c r="MZD33" s="678"/>
      <c r="MZE33" s="678"/>
      <c r="MZF33" s="678"/>
      <c r="MZG33" s="678"/>
      <c r="MZH33" s="678"/>
      <c r="MZI33" s="678"/>
      <c r="MZJ33" s="678"/>
      <c r="MZK33" s="678"/>
      <c r="MZL33" s="678"/>
      <c r="MZM33" s="678"/>
      <c r="MZN33" s="678"/>
      <c r="MZO33" s="678"/>
      <c r="MZP33" s="678"/>
      <c r="MZQ33" s="678"/>
      <c r="MZR33" s="678"/>
      <c r="MZS33" s="678"/>
      <c r="MZT33" s="678"/>
      <c r="MZU33" s="678"/>
      <c r="MZV33" s="678"/>
      <c r="MZW33" s="678"/>
      <c r="MZX33" s="678"/>
      <c r="MZY33" s="678"/>
      <c r="MZZ33" s="678"/>
      <c r="NAA33" s="678"/>
      <c r="NAB33" s="678"/>
      <c r="NAC33" s="678"/>
      <c r="NAD33" s="678"/>
      <c r="NAE33" s="678"/>
      <c r="NAF33" s="678"/>
      <c r="NAG33" s="678"/>
      <c r="NAH33" s="678"/>
      <c r="NAI33" s="678"/>
      <c r="NAJ33" s="678"/>
      <c r="NAK33" s="678"/>
      <c r="NAL33" s="678"/>
      <c r="NAM33" s="678"/>
      <c r="NAN33" s="678"/>
      <c r="NAO33" s="678"/>
      <c r="NAP33" s="678"/>
      <c r="NAQ33" s="678"/>
      <c r="NAR33" s="678"/>
      <c r="NAS33" s="678"/>
      <c r="NAT33" s="678"/>
      <c r="NAU33" s="678"/>
      <c r="NAV33" s="678"/>
      <c r="NAW33" s="678"/>
      <c r="NAX33" s="678"/>
      <c r="NAY33" s="678"/>
      <c r="NAZ33" s="678"/>
      <c r="NBA33" s="678"/>
      <c r="NBB33" s="678"/>
      <c r="NBC33" s="678"/>
      <c r="NBD33" s="678"/>
      <c r="NBE33" s="678"/>
      <c r="NBF33" s="678"/>
      <c r="NBG33" s="678"/>
      <c r="NBH33" s="678"/>
      <c r="NBI33" s="678"/>
      <c r="NBJ33" s="678"/>
      <c r="NBK33" s="678"/>
      <c r="NBL33" s="678"/>
      <c r="NBM33" s="678"/>
      <c r="NBN33" s="678"/>
      <c r="NBO33" s="678"/>
      <c r="NBP33" s="678"/>
      <c r="NBQ33" s="678"/>
      <c r="NBR33" s="678"/>
      <c r="NBS33" s="678"/>
      <c r="NBT33" s="678"/>
      <c r="NBU33" s="678"/>
      <c r="NBV33" s="678"/>
      <c r="NBW33" s="678"/>
      <c r="NBX33" s="678"/>
      <c r="NBY33" s="678"/>
      <c r="NBZ33" s="678"/>
      <c r="NCA33" s="678"/>
      <c r="NCB33" s="678"/>
      <c r="NCC33" s="678"/>
      <c r="NCD33" s="678"/>
      <c r="NCE33" s="678"/>
      <c r="NCF33" s="678"/>
      <c r="NCG33" s="678"/>
      <c r="NCH33" s="678"/>
      <c r="NCI33" s="678"/>
      <c r="NCJ33" s="678"/>
      <c r="NCK33" s="678"/>
      <c r="NCL33" s="678"/>
      <c r="NCM33" s="678"/>
      <c r="NCN33" s="678"/>
      <c r="NCO33" s="678"/>
      <c r="NCP33" s="678"/>
      <c r="NCQ33" s="678"/>
      <c r="NCR33" s="678"/>
      <c r="NCS33" s="678"/>
      <c r="NCT33" s="678"/>
      <c r="NCU33" s="678"/>
      <c r="NCV33" s="678"/>
      <c r="NCW33" s="678"/>
      <c r="NCX33" s="678"/>
      <c r="NCY33" s="678"/>
      <c r="NCZ33" s="678"/>
      <c r="NDA33" s="678"/>
      <c r="NDB33" s="678"/>
      <c r="NDC33" s="678"/>
      <c r="NDD33" s="678"/>
      <c r="NDE33" s="678"/>
      <c r="NDF33" s="678"/>
      <c r="NDG33" s="678"/>
      <c r="NDH33" s="678"/>
      <c r="NDI33" s="678"/>
      <c r="NDJ33" s="678"/>
      <c r="NDK33" s="678"/>
      <c r="NDL33" s="678"/>
      <c r="NDM33" s="678"/>
      <c r="NDN33" s="678"/>
      <c r="NDO33" s="678"/>
      <c r="NDP33" s="678"/>
      <c r="NDQ33" s="678"/>
      <c r="NDR33" s="678"/>
      <c r="NDS33" s="678"/>
      <c r="NDT33" s="678"/>
      <c r="NDU33" s="678"/>
      <c r="NDV33" s="678"/>
      <c r="NDW33" s="678"/>
      <c r="NDX33" s="678"/>
      <c r="NDY33" s="678"/>
      <c r="NDZ33" s="678"/>
      <c r="NEA33" s="678"/>
      <c r="NEB33" s="678"/>
      <c r="NEC33" s="678"/>
      <c r="NED33" s="678"/>
      <c r="NEE33" s="678"/>
      <c r="NEF33" s="678"/>
      <c r="NEG33" s="678"/>
      <c r="NEH33" s="678"/>
      <c r="NEI33" s="678"/>
      <c r="NEJ33" s="678"/>
      <c r="NEK33" s="678"/>
      <c r="NEL33" s="678"/>
      <c r="NEM33" s="678"/>
      <c r="NEN33" s="678"/>
      <c r="NEO33" s="678"/>
      <c r="NEP33" s="678"/>
      <c r="NEQ33" s="678"/>
      <c r="NER33" s="678"/>
      <c r="NES33" s="678"/>
      <c r="NET33" s="678"/>
      <c r="NEU33" s="678"/>
      <c r="NEV33" s="678"/>
      <c r="NEW33" s="678"/>
      <c r="NEX33" s="678"/>
      <c r="NEY33" s="678"/>
      <c r="NEZ33" s="678"/>
      <c r="NFA33" s="678"/>
      <c r="NFB33" s="678"/>
      <c r="NFC33" s="678"/>
      <c r="NFD33" s="678"/>
      <c r="NFE33" s="678"/>
      <c r="NFF33" s="678"/>
      <c r="NFG33" s="678"/>
      <c r="NFH33" s="678"/>
      <c r="NFI33" s="678"/>
      <c r="NFJ33" s="678"/>
      <c r="NFK33" s="678"/>
      <c r="NFL33" s="678"/>
      <c r="NFM33" s="678"/>
      <c r="NFN33" s="678"/>
      <c r="NFO33" s="678"/>
      <c r="NFP33" s="678"/>
      <c r="NFQ33" s="678"/>
      <c r="NFR33" s="678"/>
      <c r="NFS33" s="678"/>
      <c r="NFT33" s="678"/>
      <c r="NFU33" s="678"/>
      <c r="NFV33" s="678"/>
      <c r="NFW33" s="678"/>
      <c r="NFX33" s="678"/>
      <c r="NFY33" s="678"/>
      <c r="NFZ33" s="678"/>
      <c r="NGA33" s="678"/>
      <c r="NGB33" s="678"/>
      <c r="NGC33" s="678"/>
      <c r="NGD33" s="678"/>
      <c r="NGE33" s="678"/>
      <c r="NGF33" s="678"/>
      <c r="NGG33" s="678"/>
      <c r="NGH33" s="678"/>
      <c r="NGI33" s="678"/>
      <c r="NGJ33" s="678"/>
      <c r="NGK33" s="678"/>
      <c r="NGL33" s="678"/>
      <c r="NGM33" s="678"/>
      <c r="NGN33" s="678"/>
      <c r="NGO33" s="678"/>
      <c r="NGP33" s="678"/>
      <c r="NGQ33" s="678"/>
      <c r="NGR33" s="678"/>
      <c r="NGS33" s="678"/>
      <c r="NGT33" s="678"/>
      <c r="NGU33" s="678"/>
      <c r="NGV33" s="678"/>
      <c r="NGW33" s="678"/>
      <c r="NGX33" s="678"/>
      <c r="NGY33" s="678"/>
      <c r="NGZ33" s="678"/>
      <c r="NHA33" s="678"/>
      <c r="NHB33" s="678"/>
      <c r="NHC33" s="678"/>
      <c r="NHD33" s="678"/>
      <c r="NHE33" s="678"/>
      <c r="NHF33" s="678"/>
      <c r="NHG33" s="678"/>
      <c r="NHH33" s="678"/>
      <c r="NHI33" s="678"/>
      <c r="NHJ33" s="678"/>
      <c r="NHK33" s="678"/>
      <c r="NHL33" s="678"/>
      <c r="NHM33" s="678"/>
      <c r="NHN33" s="678"/>
      <c r="NHO33" s="678"/>
      <c r="NHP33" s="678"/>
      <c r="NHQ33" s="678"/>
      <c r="NHR33" s="678"/>
      <c r="NHS33" s="678"/>
      <c r="NHT33" s="678"/>
      <c r="NHU33" s="678"/>
      <c r="NHV33" s="678"/>
      <c r="NHW33" s="678"/>
      <c r="NHX33" s="678"/>
      <c r="NHY33" s="678"/>
      <c r="NHZ33" s="678"/>
      <c r="NIA33" s="678"/>
      <c r="NIB33" s="678"/>
      <c r="NIC33" s="678"/>
      <c r="NID33" s="678"/>
      <c r="NIE33" s="678"/>
      <c r="NIF33" s="678"/>
      <c r="NIG33" s="678"/>
      <c r="NIH33" s="678"/>
      <c r="NII33" s="678"/>
      <c r="NIJ33" s="678"/>
      <c r="NIK33" s="678"/>
      <c r="NIL33" s="678"/>
      <c r="NIM33" s="678"/>
      <c r="NIN33" s="678"/>
      <c r="NIO33" s="678"/>
      <c r="NIP33" s="678"/>
      <c r="NIQ33" s="678"/>
      <c r="NIR33" s="678"/>
      <c r="NIS33" s="678"/>
      <c r="NIT33" s="678"/>
      <c r="NIU33" s="678"/>
      <c r="NIV33" s="678"/>
      <c r="NIW33" s="678"/>
      <c r="NIX33" s="678"/>
      <c r="NIY33" s="678"/>
      <c r="NIZ33" s="678"/>
      <c r="NJA33" s="678"/>
      <c r="NJB33" s="678"/>
      <c r="NJC33" s="678"/>
      <c r="NJD33" s="678"/>
      <c r="NJE33" s="678"/>
      <c r="NJF33" s="678"/>
      <c r="NJG33" s="678"/>
      <c r="NJH33" s="678"/>
      <c r="NJI33" s="678"/>
      <c r="NJJ33" s="678"/>
      <c r="NJK33" s="678"/>
      <c r="NJL33" s="678"/>
      <c r="NJM33" s="678"/>
      <c r="NJN33" s="678"/>
      <c r="NJO33" s="678"/>
      <c r="NJP33" s="678"/>
      <c r="NJQ33" s="678"/>
      <c r="NJR33" s="678"/>
      <c r="NJS33" s="678"/>
      <c r="NJT33" s="678"/>
      <c r="NJU33" s="678"/>
      <c r="NJV33" s="678"/>
      <c r="NJW33" s="678"/>
      <c r="NJX33" s="678"/>
      <c r="NJY33" s="678"/>
      <c r="NJZ33" s="678"/>
      <c r="NKA33" s="678"/>
      <c r="NKB33" s="678"/>
      <c r="NKC33" s="678"/>
      <c r="NKD33" s="678"/>
      <c r="NKE33" s="678"/>
      <c r="NKF33" s="678"/>
      <c r="NKG33" s="678"/>
      <c r="NKH33" s="678"/>
      <c r="NKI33" s="678"/>
      <c r="NKJ33" s="678"/>
      <c r="NKK33" s="678"/>
      <c r="NKL33" s="678"/>
      <c r="NKM33" s="678"/>
      <c r="NKN33" s="678"/>
      <c r="NKO33" s="678"/>
      <c r="NKP33" s="678"/>
      <c r="NKQ33" s="678"/>
      <c r="NKR33" s="678"/>
      <c r="NKS33" s="678"/>
      <c r="NKT33" s="678"/>
      <c r="NKU33" s="678"/>
      <c r="NKV33" s="678"/>
      <c r="NKW33" s="678"/>
      <c r="NKX33" s="678"/>
      <c r="NKY33" s="678"/>
      <c r="NKZ33" s="678"/>
      <c r="NLA33" s="678"/>
      <c r="NLB33" s="678"/>
      <c r="NLC33" s="678"/>
      <c r="NLD33" s="678"/>
      <c r="NLE33" s="678"/>
      <c r="NLF33" s="678"/>
      <c r="NLG33" s="678"/>
      <c r="NLH33" s="678"/>
      <c r="NLI33" s="678"/>
      <c r="NLJ33" s="678"/>
      <c r="NLK33" s="678"/>
      <c r="NLL33" s="678"/>
      <c r="NLM33" s="678"/>
      <c r="NLN33" s="678"/>
      <c r="NLO33" s="678"/>
      <c r="NLP33" s="678"/>
      <c r="NLQ33" s="678"/>
      <c r="NLR33" s="678"/>
      <c r="NLS33" s="678"/>
      <c r="NLT33" s="678"/>
      <c r="NLU33" s="678"/>
      <c r="NLV33" s="678"/>
      <c r="NLW33" s="678"/>
      <c r="NLX33" s="678"/>
      <c r="NLY33" s="678"/>
      <c r="NLZ33" s="678"/>
      <c r="NMA33" s="678"/>
      <c r="NMB33" s="678"/>
      <c r="NMC33" s="678"/>
      <c r="NMD33" s="678"/>
      <c r="NME33" s="678"/>
      <c r="NMF33" s="678"/>
      <c r="NMG33" s="678"/>
      <c r="NMH33" s="678"/>
      <c r="NMI33" s="678"/>
      <c r="NMJ33" s="678"/>
      <c r="NMK33" s="678"/>
      <c r="NML33" s="678"/>
      <c r="NMM33" s="678"/>
      <c r="NMN33" s="678"/>
      <c r="NMO33" s="678"/>
      <c r="NMP33" s="678"/>
      <c r="NMQ33" s="678"/>
      <c r="NMR33" s="678"/>
      <c r="NMS33" s="678"/>
      <c r="NMT33" s="678"/>
      <c r="NMU33" s="678"/>
      <c r="NMV33" s="678"/>
      <c r="NMW33" s="678"/>
      <c r="NMX33" s="678"/>
      <c r="NMY33" s="678"/>
      <c r="NMZ33" s="678"/>
      <c r="NNA33" s="678"/>
      <c r="NNB33" s="678"/>
      <c r="NNC33" s="678"/>
      <c r="NND33" s="678"/>
      <c r="NNE33" s="678"/>
      <c r="NNF33" s="678"/>
      <c r="NNG33" s="678"/>
      <c r="NNH33" s="678"/>
      <c r="NNI33" s="678"/>
      <c r="NNJ33" s="678"/>
      <c r="NNK33" s="678"/>
      <c r="NNL33" s="678"/>
      <c r="NNM33" s="678"/>
      <c r="NNN33" s="678"/>
      <c r="NNO33" s="678"/>
      <c r="NNP33" s="678"/>
      <c r="NNQ33" s="678"/>
      <c r="NNR33" s="678"/>
      <c r="NNS33" s="678"/>
      <c r="NNT33" s="678"/>
      <c r="NNU33" s="678"/>
      <c r="NNV33" s="678"/>
      <c r="NNW33" s="678"/>
      <c r="NNX33" s="678"/>
      <c r="NNY33" s="678"/>
      <c r="NNZ33" s="678"/>
      <c r="NOA33" s="678"/>
      <c r="NOB33" s="678"/>
      <c r="NOC33" s="678"/>
      <c r="NOD33" s="678"/>
      <c r="NOE33" s="678"/>
      <c r="NOF33" s="678"/>
      <c r="NOG33" s="678"/>
      <c r="NOH33" s="678"/>
      <c r="NOI33" s="678"/>
      <c r="NOJ33" s="678"/>
      <c r="NOK33" s="678"/>
      <c r="NOL33" s="678"/>
      <c r="NOM33" s="678"/>
      <c r="NON33" s="678"/>
      <c r="NOO33" s="678"/>
      <c r="NOP33" s="678"/>
      <c r="NOQ33" s="678"/>
      <c r="NOR33" s="678"/>
      <c r="NOS33" s="678"/>
      <c r="NOT33" s="678"/>
      <c r="NOU33" s="678"/>
      <c r="NOV33" s="678"/>
      <c r="NOW33" s="678"/>
      <c r="NOX33" s="678"/>
      <c r="NOY33" s="678"/>
      <c r="NOZ33" s="678"/>
      <c r="NPA33" s="678"/>
      <c r="NPB33" s="678"/>
      <c r="NPC33" s="678"/>
      <c r="NPD33" s="678"/>
      <c r="NPE33" s="678"/>
      <c r="NPF33" s="678"/>
      <c r="NPG33" s="678"/>
      <c r="NPH33" s="678"/>
      <c r="NPI33" s="678"/>
      <c r="NPJ33" s="678"/>
      <c r="NPK33" s="678"/>
      <c r="NPL33" s="678"/>
      <c r="NPM33" s="678"/>
      <c r="NPN33" s="678"/>
      <c r="NPO33" s="678"/>
      <c r="NPP33" s="678"/>
      <c r="NPQ33" s="678"/>
      <c r="NPR33" s="678"/>
      <c r="NPS33" s="678"/>
      <c r="NPT33" s="678"/>
      <c r="NPU33" s="678"/>
      <c r="NPV33" s="678"/>
      <c r="NPW33" s="678"/>
      <c r="NPX33" s="678"/>
      <c r="NPY33" s="678"/>
      <c r="NPZ33" s="678"/>
      <c r="NQA33" s="678"/>
      <c r="NQB33" s="678"/>
      <c r="NQC33" s="678"/>
      <c r="NQD33" s="678"/>
      <c r="NQE33" s="678"/>
      <c r="NQF33" s="678"/>
      <c r="NQG33" s="678"/>
      <c r="NQH33" s="678"/>
      <c r="NQI33" s="678"/>
      <c r="NQJ33" s="678"/>
      <c r="NQK33" s="678"/>
      <c r="NQL33" s="678"/>
      <c r="NQM33" s="678"/>
      <c r="NQN33" s="678"/>
      <c r="NQO33" s="678"/>
      <c r="NQP33" s="678"/>
      <c r="NQQ33" s="678"/>
      <c r="NQR33" s="678"/>
      <c r="NQS33" s="678"/>
      <c r="NQT33" s="678"/>
      <c r="NQU33" s="678"/>
      <c r="NQV33" s="678"/>
      <c r="NQW33" s="678"/>
      <c r="NQX33" s="678"/>
      <c r="NQY33" s="678"/>
      <c r="NQZ33" s="678"/>
      <c r="NRA33" s="678"/>
      <c r="NRB33" s="678"/>
      <c r="NRC33" s="678"/>
      <c r="NRD33" s="678"/>
      <c r="NRE33" s="678"/>
      <c r="NRF33" s="678"/>
      <c r="NRG33" s="678"/>
      <c r="NRH33" s="678"/>
      <c r="NRI33" s="678"/>
      <c r="NRJ33" s="678"/>
      <c r="NRK33" s="678"/>
      <c r="NRL33" s="678"/>
      <c r="NRM33" s="678"/>
      <c r="NRN33" s="678"/>
      <c r="NRO33" s="678"/>
      <c r="NRP33" s="678"/>
      <c r="NRQ33" s="678"/>
      <c r="NRR33" s="678"/>
      <c r="NRS33" s="678"/>
      <c r="NRT33" s="678"/>
      <c r="NRU33" s="678"/>
      <c r="NRV33" s="678"/>
      <c r="NRW33" s="678"/>
      <c r="NRX33" s="678"/>
      <c r="NRY33" s="678"/>
      <c r="NRZ33" s="678"/>
      <c r="NSA33" s="678"/>
      <c r="NSB33" s="678"/>
      <c r="NSC33" s="678"/>
      <c r="NSD33" s="678"/>
      <c r="NSE33" s="678"/>
      <c r="NSF33" s="678"/>
      <c r="NSG33" s="678"/>
      <c r="NSH33" s="678"/>
      <c r="NSI33" s="678"/>
      <c r="NSJ33" s="678"/>
      <c r="NSK33" s="678"/>
      <c r="NSL33" s="678"/>
      <c r="NSM33" s="678"/>
      <c r="NSN33" s="678"/>
      <c r="NSO33" s="678"/>
      <c r="NSP33" s="678"/>
      <c r="NSQ33" s="678"/>
      <c r="NSR33" s="678"/>
      <c r="NSS33" s="678"/>
      <c r="NST33" s="678"/>
      <c r="NSU33" s="678"/>
      <c r="NSV33" s="678"/>
      <c r="NSW33" s="678"/>
      <c r="NSX33" s="678"/>
      <c r="NSY33" s="678"/>
      <c r="NSZ33" s="678"/>
      <c r="NTA33" s="678"/>
      <c r="NTB33" s="678"/>
      <c r="NTC33" s="678"/>
      <c r="NTD33" s="678"/>
      <c r="NTE33" s="678"/>
      <c r="NTF33" s="678"/>
      <c r="NTG33" s="678"/>
      <c r="NTH33" s="678"/>
      <c r="NTI33" s="678"/>
      <c r="NTJ33" s="678"/>
      <c r="NTK33" s="678"/>
      <c r="NTL33" s="678"/>
      <c r="NTM33" s="678"/>
      <c r="NTN33" s="678"/>
      <c r="NTO33" s="678"/>
      <c r="NTP33" s="678"/>
      <c r="NTQ33" s="678"/>
      <c r="NTR33" s="678"/>
      <c r="NTS33" s="678"/>
      <c r="NTT33" s="678"/>
      <c r="NTU33" s="678"/>
      <c r="NTV33" s="678"/>
      <c r="NTW33" s="678"/>
      <c r="NTX33" s="678"/>
      <c r="NTY33" s="678"/>
      <c r="NTZ33" s="678"/>
      <c r="NUA33" s="678"/>
      <c r="NUB33" s="678"/>
      <c r="NUC33" s="678"/>
      <c r="NUD33" s="678"/>
      <c r="NUE33" s="678"/>
      <c r="NUF33" s="678"/>
      <c r="NUG33" s="678"/>
      <c r="NUH33" s="678"/>
      <c r="NUI33" s="678"/>
      <c r="NUJ33" s="678"/>
      <c r="NUK33" s="678"/>
      <c r="NUL33" s="678"/>
      <c r="NUM33" s="678"/>
      <c r="NUN33" s="678"/>
      <c r="NUO33" s="678"/>
      <c r="NUP33" s="678"/>
      <c r="NUQ33" s="678"/>
      <c r="NUR33" s="678"/>
      <c r="NUS33" s="678"/>
      <c r="NUT33" s="678"/>
      <c r="NUU33" s="678"/>
      <c r="NUV33" s="678"/>
      <c r="NUW33" s="678"/>
      <c r="NUX33" s="678"/>
      <c r="NUY33" s="678"/>
      <c r="NUZ33" s="678"/>
      <c r="NVA33" s="678"/>
      <c r="NVB33" s="678"/>
      <c r="NVC33" s="678"/>
      <c r="NVD33" s="678"/>
      <c r="NVE33" s="678"/>
      <c r="NVF33" s="678"/>
      <c r="NVG33" s="678"/>
      <c r="NVH33" s="678"/>
      <c r="NVI33" s="678"/>
      <c r="NVJ33" s="678"/>
      <c r="NVK33" s="678"/>
      <c r="NVL33" s="678"/>
      <c r="NVM33" s="678"/>
      <c r="NVN33" s="678"/>
      <c r="NVO33" s="678"/>
      <c r="NVP33" s="678"/>
      <c r="NVQ33" s="678"/>
      <c r="NVR33" s="678"/>
      <c r="NVS33" s="678"/>
      <c r="NVT33" s="678"/>
      <c r="NVU33" s="678"/>
      <c r="NVV33" s="678"/>
      <c r="NVW33" s="678"/>
      <c r="NVX33" s="678"/>
      <c r="NVY33" s="678"/>
      <c r="NVZ33" s="678"/>
      <c r="NWA33" s="678"/>
      <c r="NWB33" s="678"/>
      <c r="NWC33" s="678"/>
      <c r="NWD33" s="678"/>
      <c r="NWE33" s="678"/>
      <c r="NWF33" s="678"/>
      <c r="NWG33" s="678"/>
      <c r="NWH33" s="678"/>
      <c r="NWI33" s="678"/>
      <c r="NWJ33" s="678"/>
      <c r="NWK33" s="678"/>
      <c r="NWL33" s="678"/>
      <c r="NWM33" s="678"/>
      <c r="NWN33" s="678"/>
      <c r="NWO33" s="678"/>
      <c r="NWP33" s="678"/>
      <c r="NWQ33" s="678"/>
      <c r="NWR33" s="678"/>
      <c r="NWS33" s="678"/>
      <c r="NWT33" s="678"/>
      <c r="NWU33" s="678"/>
      <c r="NWV33" s="678"/>
      <c r="NWW33" s="678"/>
      <c r="NWX33" s="678"/>
      <c r="NWY33" s="678"/>
      <c r="NWZ33" s="678"/>
      <c r="NXA33" s="678"/>
      <c r="NXB33" s="678"/>
      <c r="NXC33" s="678"/>
      <c r="NXD33" s="678"/>
      <c r="NXE33" s="678"/>
      <c r="NXF33" s="678"/>
      <c r="NXG33" s="678"/>
      <c r="NXH33" s="678"/>
      <c r="NXI33" s="678"/>
      <c r="NXJ33" s="678"/>
      <c r="NXK33" s="678"/>
      <c r="NXL33" s="678"/>
      <c r="NXM33" s="678"/>
      <c r="NXN33" s="678"/>
      <c r="NXO33" s="678"/>
      <c r="NXP33" s="678"/>
      <c r="NXQ33" s="678"/>
      <c r="NXR33" s="678"/>
      <c r="NXS33" s="678"/>
      <c r="NXT33" s="678"/>
      <c r="NXU33" s="678"/>
      <c r="NXV33" s="678"/>
      <c r="NXW33" s="678"/>
      <c r="NXX33" s="678"/>
      <c r="NXY33" s="678"/>
      <c r="NXZ33" s="678"/>
      <c r="NYA33" s="678"/>
      <c r="NYB33" s="678"/>
      <c r="NYC33" s="678"/>
      <c r="NYD33" s="678"/>
      <c r="NYE33" s="678"/>
      <c r="NYF33" s="678"/>
      <c r="NYG33" s="678"/>
      <c r="NYH33" s="678"/>
      <c r="NYI33" s="678"/>
      <c r="NYJ33" s="678"/>
      <c r="NYK33" s="678"/>
      <c r="NYL33" s="678"/>
      <c r="NYM33" s="678"/>
      <c r="NYN33" s="678"/>
      <c r="NYO33" s="678"/>
      <c r="NYP33" s="678"/>
      <c r="NYQ33" s="678"/>
      <c r="NYR33" s="678"/>
      <c r="NYS33" s="678"/>
      <c r="NYT33" s="678"/>
      <c r="NYU33" s="678"/>
      <c r="NYV33" s="678"/>
      <c r="NYW33" s="678"/>
      <c r="NYX33" s="678"/>
      <c r="NYY33" s="678"/>
      <c r="NYZ33" s="678"/>
      <c r="NZA33" s="678"/>
      <c r="NZB33" s="678"/>
      <c r="NZC33" s="678"/>
      <c r="NZD33" s="678"/>
      <c r="NZE33" s="678"/>
      <c r="NZF33" s="678"/>
      <c r="NZG33" s="678"/>
      <c r="NZH33" s="678"/>
      <c r="NZI33" s="678"/>
      <c r="NZJ33" s="678"/>
      <c r="NZK33" s="678"/>
      <c r="NZL33" s="678"/>
      <c r="NZM33" s="678"/>
      <c r="NZN33" s="678"/>
      <c r="NZO33" s="678"/>
      <c r="NZP33" s="678"/>
      <c r="NZQ33" s="678"/>
      <c r="NZR33" s="678"/>
      <c r="NZS33" s="678"/>
      <c r="NZT33" s="678"/>
      <c r="NZU33" s="678"/>
      <c r="NZV33" s="678"/>
      <c r="NZW33" s="678"/>
      <c r="NZX33" s="678"/>
      <c r="NZY33" s="678"/>
      <c r="NZZ33" s="678"/>
      <c r="OAA33" s="678"/>
      <c r="OAB33" s="678"/>
      <c r="OAC33" s="678"/>
      <c r="OAD33" s="678"/>
      <c r="OAE33" s="678"/>
      <c r="OAF33" s="678"/>
      <c r="OAG33" s="678"/>
      <c r="OAH33" s="678"/>
      <c r="OAI33" s="678"/>
      <c r="OAJ33" s="678"/>
      <c r="OAK33" s="678"/>
      <c r="OAL33" s="678"/>
      <c r="OAM33" s="678"/>
      <c r="OAN33" s="678"/>
      <c r="OAO33" s="678"/>
      <c r="OAP33" s="678"/>
      <c r="OAQ33" s="678"/>
      <c r="OAR33" s="678"/>
      <c r="OAS33" s="678"/>
      <c r="OAT33" s="678"/>
      <c r="OAU33" s="678"/>
      <c r="OAV33" s="678"/>
      <c r="OAW33" s="678"/>
      <c r="OAX33" s="678"/>
      <c r="OAY33" s="678"/>
      <c r="OAZ33" s="678"/>
      <c r="OBA33" s="678"/>
      <c r="OBB33" s="678"/>
      <c r="OBC33" s="678"/>
      <c r="OBD33" s="678"/>
      <c r="OBE33" s="678"/>
      <c r="OBF33" s="678"/>
      <c r="OBG33" s="678"/>
      <c r="OBH33" s="678"/>
      <c r="OBI33" s="678"/>
      <c r="OBJ33" s="678"/>
      <c r="OBK33" s="678"/>
      <c r="OBL33" s="678"/>
      <c r="OBM33" s="678"/>
      <c r="OBN33" s="678"/>
      <c r="OBO33" s="678"/>
      <c r="OBP33" s="678"/>
      <c r="OBQ33" s="678"/>
      <c r="OBR33" s="678"/>
      <c r="OBS33" s="678"/>
      <c r="OBT33" s="678"/>
      <c r="OBU33" s="678"/>
      <c r="OBV33" s="678"/>
      <c r="OBW33" s="678"/>
      <c r="OBX33" s="678"/>
      <c r="OBY33" s="678"/>
      <c r="OBZ33" s="678"/>
      <c r="OCA33" s="678"/>
      <c r="OCB33" s="678"/>
      <c r="OCC33" s="678"/>
      <c r="OCD33" s="678"/>
      <c r="OCE33" s="678"/>
      <c r="OCF33" s="678"/>
      <c r="OCG33" s="678"/>
      <c r="OCH33" s="678"/>
      <c r="OCI33" s="678"/>
      <c r="OCJ33" s="678"/>
      <c r="OCK33" s="678"/>
      <c r="OCL33" s="678"/>
      <c r="OCM33" s="678"/>
      <c r="OCN33" s="678"/>
      <c r="OCO33" s="678"/>
      <c r="OCP33" s="678"/>
      <c r="OCQ33" s="678"/>
      <c r="OCR33" s="678"/>
      <c r="OCS33" s="678"/>
      <c r="OCT33" s="678"/>
      <c r="OCU33" s="678"/>
      <c r="OCV33" s="678"/>
      <c r="OCW33" s="678"/>
      <c r="OCX33" s="678"/>
      <c r="OCY33" s="678"/>
      <c r="OCZ33" s="678"/>
      <c r="ODA33" s="678"/>
      <c r="ODB33" s="678"/>
      <c r="ODC33" s="678"/>
      <c r="ODD33" s="678"/>
      <c r="ODE33" s="678"/>
      <c r="ODF33" s="678"/>
      <c r="ODG33" s="678"/>
      <c r="ODH33" s="678"/>
      <c r="ODI33" s="678"/>
      <c r="ODJ33" s="678"/>
      <c r="ODK33" s="678"/>
      <c r="ODL33" s="678"/>
      <c r="ODM33" s="678"/>
      <c r="ODN33" s="678"/>
      <c r="ODO33" s="678"/>
      <c r="ODP33" s="678"/>
      <c r="ODQ33" s="678"/>
      <c r="ODR33" s="678"/>
      <c r="ODS33" s="678"/>
      <c r="ODT33" s="678"/>
      <c r="ODU33" s="678"/>
      <c r="ODV33" s="678"/>
      <c r="ODW33" s="678"/>
      <c r="ODX33" s="678"/>
      <c r="ODY33" s="678"/>
      <c r="ODZ33" s="678"/>
      <c r="OEA33" s="678"/>
      <c r="OEB33" s="678"/>
      <c r="OEC33" s="678"/>
      <c r="OED33" s="678"/>
      <c r="OEE33" s="678"/>
      <c r="OEF33" s="678"/>
      <c r="OEG33" s="678"/>
      <c r="OEH33" s="678"/>
      <c r="OEI33" s="678"/>
      <c r="OEJ33" s="678"/>
      <c r="OEK33" s="678"/>
      <c r="OEL33" s="678"/>
      <c r="OEM33" s="678"/>
      <c r="OEN33" s="678"/>
      <c r="OEO33" s="678"/>
      <c r="OEP33" s="678"/>
      <c r="OEQ33" s="678"/>
      <c r="OER33" s="678"/>
      <c r="OES33" s="678"/>
      <c r="OET33" s="678"/>
      <c r="OEU33" s="678"/>
      <c r="OEV33" s="678"/>
      <c r="OEW33" s="678"/>
      <c r="OEX33" s="678"/>
      <c r="OEY33" s="678"/>
      <c r="OEZ33" s="678"/>
      <c r="OFA33" s="678"/>
      <c r="OFB33" s="678"/>
      <c r="OFC33" s="678"/>
      <c r="OFD33" s="678"/>
      <c r="OFE33" s="678"/>
      <c r="OFF33" s="678"/>
      <c r="OFG33" s="678"/>
      <c r="OFH33" s="678"/>
      <c r="OFI33" s="678"/>
      <c r="OFJ33" s="678"/>
      <c r="OFK33" s="678"/>
      <c r="OFL33" s="678"/>
      <c r="OFM33" s="678"/>
      <c r="OFN33" s="678"/>
      <c r="OFO33" s="678"/>
      <c r="OFP33" s="678"/>
      <c r="OFQ33" s="678"/>
      <c r="OFR33" s="678"/>
      <c r="OFS33" s="678"/>
      <c r="OFT33" s="678"/>
      <c r="OFU33" s="678"/>
      <c r="OFV33" s="678"/>
      <c r="OFW33" s="678"/>
      <c r="OFX33" s="678"/>
      <c r="OFY33" s="678"/>
      <c r="OFZ33" s="678"/>
      <c r="OGA33" s="678"/>
      <c r="OGB33" s="678"/>
      <c r="OGC33" s="678"/>
      <c r="OGD33" s="678"/>
      <c r="OGE33" s="678"/>
      <c r="OGF33" s="678"/>
      <c r="OGG33" s="678"/>
      <c r="OGH33" s="678"/>
      <c r="OGI33" s="678"/>
      <c r="OGJ33" s="678"/>
      <c r="OGK33" s="678"/>
      <c r="OGL33" s="678"/>
      <c r="OGM33" s="678"/>
      <c r="OGN33" s="678"/>
      <c r="OGO33" s="678"/>
      <c r="OGP33" s="678"/>
      <c r="OGQ33" s="678"/>
      <c r="OGR33" s="678"/>
      <c r="OGS33" s="678"/>
      <c r="OGT33" s="678"/>
      <c r="OGU33" s="678"/>
      <c r="OGV33" s="678"/>
      <c r="OGW33" s="678"/>
      <c r="OGX33" s="678"/>
      <c r="OGY33" s="678"/>
      <c r="OGZ33" s="678"/>
      <c r="OHA33" s="678"/>
      <c r="OHB33" s="678"/>
      <c r="OHC33" s="678"/>
      <c r="OHD33" s="678"/>
      <c r="OHE33" s="678"/>
      <c r="OHF33" s="678"/>
      <c r="OHG33" s="678"/>
      <c r="OHH33" s="678"/>
      <c r="OHI33" s="678"/>
      <c r="OHJ33" s="678"/>
      <c r="OHK33" s="678"/>
      <c r="OHL33" s="678"/>
      <c r="OHM33" s="678"/>
      <c r="OHN33" s="678"/>
      <c r="OHO33" s="678"/>
      <c r="OHP33" s="678"/>
      <c r="OHQ33" s="678"/>
      <c r="OHR33" s="678"/>
      <c r="OHS33" s="678"/>
      <c r="OHT33" s="678"/>
      <c r="OHU33" s="678"/>
      <c r="OHV33" s="678"/>
      <c r="OHW33" s="678"/>
      <c r="OHX33" s="678"/>
      <c r="OHY33" s="678"/>
      <c r="OHZ33" s="678"/>
      <c r="OIA33" s="678"/>
      <c r="OIB33" s="678"/>
      <c r="OIC33" s="678"/>
      <c r="OID33" s="678"/>
      <c r="OIE33" s="678"/>
      <c r="OIF33" s="678"/>
      <c r="OIG33" s="678"/>
      <c r="OIH33" s="678"/>
      <c r="OII33" s="678"/>
      <c r="OIJ33" s="678"/>
      <c r="OIK33" s="678"/>
      <c r="OIL33" s="678"/>
      <c r="OIM33" s="678"/>
      <c r="OIN33" s="678"/>
      <c r="OIO33" s="678"/>
      <c r="OIP33" s="678"/>
      <c r="OIQ33" s="678"/>
      <c r="OIR33" s="678"/>
      <c r="OIS33" s="678"/>
      <c r="OIT33" s="678"/>
      <c r="OIU33" s="678"/>
      <c r="OIV33" s="678"/>
      <c r="OIW33" s="678"/>
      <c r="OIX33" s="678"/>
      <c r="OIY33" s="678"/>
      <c r="OIZ33" s="678"/>
      <c r="OJA33" s="678"/>
      <c r="OJB33" s="678"/>
      <c r="OJC33" s="678"/>
      <c r="OJD33" s="678"/>
      <c r="OJE33" s="678"/>
      <c r="OJF33" s="678"/>
      <c r="OJG33" s="678"/>
      <c r="OJH33" s="678"/>
      <c r="OJI33" s="678"/>
      <c r="OJJ33" s="678"/>
      <c r="OJK33" s="678"/>
      <c r="OJL33" s="678"/>
      <c r="OJM33" s="678"/>
      <c r="OJN33" s="678"/>
      <c r="OJO33" s="678"/>
      <c r="OJP33" s="678"/>
      <c r="OJQ33" s="678"/>
      <c r="OJR33" s="678"/>
      <c r="OJS33" s="678"/>
      <c r="OJT33" s="678"/>
      <c r="OJU33" s="678"/>
      <c r="OJV33" s="678"/>
      <c r="OJW33" s="678"/>
      <c r="OJX33" s="678"/>
      <c r="OJY33" s="678"/>
      <c r="OJZ33" s="678"/>
      <c r="OKA33" s="678"/>
      <c r="OKB33" s="678"/>
      <c r="OKC33" s="678"/>
      <c r="OKD33" s="678"/>
      <c r="OKE33" s="678"/>
      <c r="OKF33" s="678"/>
      <c r="OKG33" s="678"/>
      <c r="OKH33" s="678"/>
      <c r="OKI33" s="678"/>
      <c r="OKJ33" s="678"/>
      <c r="OKK33" s="678"/>
      <c r="OKL33" s="678"/>
      <c r="OKM33" s="678"/>
      <c r="OKN33" s="678"/>
      <c r="OKO33" s="678"/>
      <c r="OKP33" s="678"/>
      <c r="OKQ33" s="678"/>
      <c r="OKR33" s="678"/>
      <c r="OKS33" s="678"/>
      <c r="OKT33" s="678"/>
      <c r="OKU33" s="678"/>
      <c r="OKV33" s="678"/>
      <c r="OKW33" s="678"/>
      <c r="OKX33" s="678"/>
      <c r="OKY33" s="678"/>
      <c r="OKZ33" s="678"/>
      <c r="OLA33" s="678"/>
      <c r="OLB33" s="678"/>
      <c r="OLC33" s="678"/>
      <c r="OLD33" s="678"/>
      <c r="OLE33" s="678"/>
      <c r="OLF33" s="678"/>
      <c r="OLG33" s="678"/>
      <c r="OLH33" s="678"/>
      <c r="OLI33" s="678"/>
      <c r="OLJ33" s="678"/>
      <c r="OLK33" s="678"/>
      <c r="OLL33" s="678"/>
      <c r="OLM33" s="678"/>
      <c r="OLN33" s="678"/>
      <c r="OLO33" s="678"/>
      <c r="OLP33" s="678"/>
      <c r="OLQ33" s="678"/>
      <c r="OLR33" s="678"/>
      <c r="OLS33" s="678"/>
      <c r="OLT33" s="678"/>
      <c r="OLU33" s="678"/>
      <c r="OLV33" s="678"/>
      <c r="OLW33" s="678"/>
      <c r="OLX33" s="678"/>
      <c r="OLY33" s="678"/>
      <c r="OLZ33" s="678"/>
      <c r="OMA33" s="678"/>
      <c r="OMB33" s="678"/>
      <c r="OMC33" s="678"/>
      <c r="OMD33" s="678"/>
      <c r="OME33" s="678"/>
      <c r="OMF33" s="678"/>
      <c r="OMG33" s="678"/>
      <c r="OMH33" s="678"/>
      <c r="OMI33" s="678"/>
      <c r="OMJ33" s="678"/>
      <c r="OMK33" s="678"/>
      <c r="OML33" s="678"/>
      <c r="OMM33" s="678"/>
      <c r="OMN33" s="678"/>
      <c r="OMO33" s="678"/>
      <c r="OMP33" s="678"/>
      <c r="OMQ33" s="678"/>
      <c r="OMR33" s="678"/>
      <c r="OMS33" s="678"/>
      <c r="OMT33" s="678"/>
      <c r="OMU33" s="678"/>
      <c r="OMV33" s="678"/>
      <c r="OMW33" s="678"/>
      <c r="OMX33" s="678"/>
      <c r="OMY33" s="678"/>
      <c r="OMZ33" s="678"/>
      <c r="ONA33" s="678"/>
      <c r="ONB33" s="678"/>
      <c r="ONC33" s="678"/>
      <c r="OND33" s="678"/>
      <c r="ONE33" s="678"/>
      <c r="ONF33" s="678"/>
      <c r="ONG33" s="678"/>
      <c r="ONH33" s="678"/>
      <c r="ONI33" s="678"/>
      <c r="ONJ33" s="678"/>
      <c r="ONK33" s="678"/>
      <c r="ONL33" s="678"/>
      <c r="ONM33" s="678"/>
      <c r="ONN33" s="678"/>
      <c r="ONO33" s="678"/>
      <c r="ONP33" s="678"/>
      <c r="ONQ33" s="678"/>
      <c r="ONR33" s="678"/>
      <c r="ONS33" s="678"/>
      <c r="ONT33" s="678"/>
      <c r="ONU33" s="678"/>
      <c r="ONV33" s="678"/>
      <c r="ONW33" s="678"/>
      <c r="ONX33" s="678"/>
      <c r="ONY33" s="678"/>
      <c r="ONZ33" s="678"/>
      <c r="OOA33" s="678"/>
      <c r="OOB33" s="678"/>
      <c r="OOC33" s="678"/>
      <c r="OOD33" s="678"/>
      <c r="OOE33" s="678"/>
      <c r="OOF33" s="678"/>
      <c r="OOG33" s="678"/>
      <c r="OOH33" s="678"/>
      <c r="OOI33" s="678"/>
      <c r="OOJ33" s="678"/>
      <c r="OOK33" s="678"/>
      <c r="OOL33" s="678"/>
      <c r="OOM33" s="678"/>
      <c r="OON33" s="678"/>
      <c r="OOO33" s="678"/>
      <c r="OOP33" s="678"/>
      <c r="OOQ33" s="678"/>
      <c r="OOR33" s="678"/>
      <c r="OOS33" s="678"/>
      <c r="OOT33" s="678"/>
      <c r="OOU33" s="678"/>
      <c r="OOV33" s="678"/>
      <c r="OOW33" s="678"/>
      <c r="OOX33" s="678"/>
      <c r="OOY33" s="678"/>
      <c r="OOZ33" s="678"/>
      <c r="OPA33" s="678"/>
      <c r="OPB33" s="678"/>
      <c r="OPC33" s="678"/>
      <c r="OPD33" s="678"/>
      <c r="OPE33" s="678"/>
      <c r="OPF33" s="678"/>
      <c r="OPG33" s="678"/>
      <c r="OPH33" s="678"/>
      <c r="OPI33" s="678"/>
      <c r="OPJ33" s="678"/>
      <c r="OPK33" s="678"/>
      <c r="OPL33" s="678"/>
      <c r="OPM33" s="678"/>
      <c r="OPN33" s="678"/>
      <c r="OPO33" s="678"/>
      <c r="OPP33" s="678"/>
      <c r="OPQ33" s="678"/>
      <c r="OPR33" s="678"/>
      <c r="OPS33" s="678"/>
      <c r="OPT33" s="678"/>
      <c r="OPU33" s="678"/>
      <c r="OPV33" s="678"/>
      <c r="OPW33" s="678"/>
      <c r="OPX33" s="678"/>
      <c r="OPY33" s="678"/>
      <c r="OPZ33" s="678"/>
      <c r="OQA33" s="678"/>
      <c r="OQB33" s="678"/>
      <c r="OQC33" s="678"/>
      <c r="OQD33" s="678"/>
      <c r="OQE33" s="678"/>
      <c r="OQF33" s="678"/>
      <c r="OQG33" s="678"/>
      <c r="OQH33" s="678"/>
      <c r="OQI33" s="678"/>
      <c r="OQJ33" s="678"/>
      <c r="OQK33" s="678"/>
      <c r="OQL33" s="678"/>
      <c r="OQM33" s="678"/>
      <c r="OQN33" s="678"/>
      <c r="OQO33" s="678"/>
      <c r="OQP33" s="678"/>
      <c r="OQQ33" s="678"/>
      <c r="OQR33" s="678"/>
      <c r="OQS33" s="678"/>
      <c r="OQT33" s="678"/>
      <c r="OQU33" s="678"/>
      <c r="OQV33" s="678"/>
      <c r="OQW33" s="678"/>
      <c r="OQX33" s="678"/>
      <c r="OQY33" s="678"/>
      <c r="OQZ33" s="678"/>
      <c r="ORA33" s="678"/>
      <c r="ORB33" s="678"/>
      <c r="ORC33" s="678"/>
      <c r="ORD33" s="678"/>
      <c r="ORE33" s="678"/>
      <c r="ORF33" s="678"/>
      <c r="ORG33" s="678"/>
      <c r="ORH33" s="678"/>
      <c r="ORI33" s="678"/>
      <c r="ORJ33" s="678"/>
      <c r="ORK33" s="678"/>
      <c r="ORL33" s="678"/>
      <c r="ORM33" s="678"/>
      <c r="ORN33" s="678"/>
      <c r="ORO33" s="678"/>
      <c r="ORP33" s="678"/>
      <c r="ORQ33" s="678"/>
      <c r="ORR33" s="678"/>
      <c r="ORS33" s="678"/>
      <c r="ORT33" s="678"/>
      <c r="ORU33" s="678"/>
      <c r="ORV33" s="678"/>
      <c r="ORW33" s="678"/>
      <c r="ORX33" s="678"/>
      <c r="ORY33" s="678"/>
      <c r="ORZ33" s="678"/>
      <c r="OSA33" s="678"/>
      <c r="OSB33" s="678"/>
      <c r="OSC33" s="678"/>
      <c r="OSD33" s="678"/>
      <c r="OSE33" s="678"/>
      <c r="OSF33" s="678"/>
      <c r="OSG33" s="678"/>
      <c r="OSH33" s="678"/>
      <c r="OSI33" s="678"/>
      <c r="OSJ33" s="678"/>
      <c r="OSK33" s="678"/>
      <c r="OSL33" s="678"/>
      <c r="OSM33" s="678"/>
      <c r="OSN33" s="678"/>
      <c r="OSO33" s="678"/>
      <c r="OSP33" s="678"/>
      <c r="OSQ33" s="678"/>
      <c r="OSR33" s="678"/>
      <c r="OSS33" s="678"/>
      <c r="OST33" s="678"/>
      <c r="OSU33" s="678"/>
      <c r="OSV33" s="678"/>
      <c r="OSW33" s="678"/>
      <c r="OSX33" s="678"/>
      <c r="OSY33" s="678"/>
      <c r="OSZ33" s="678"/>
      <c r="OTA33" s="678"/>
      <c r="OTB33" s="678"/>
      <c r="OTC33" s="678"/>
      <c r="OTD33" s="678"/>
      <c r="OTE33" s="678"/>
      <c r="OTF33" s="678"/>
      <c r="OTG33" s="678"/>
      <c r="OTH33" s="678"/>
      <c r="OTI33" s="678"/>
      <c r="OTJ33" s="678"/>
      <c r="OTK33" s="678"/>
      <c r="OTL33" s="678"/>
      <c r="OTM33" s="678"/>
      <c r="OTN33" s="678"/>
      <c r="OTO33" s="678"/>
      <c r="OTP33" s="678"/>
      <c r="OTQ33" s="678"/>
      <c r="OTR33" s="678"/>
      <c r="OTS33" s="678"/>
      <c r="OTT33" s="678"/>
      <c r="OTU33" s="678"/>
      <c r="OTV33" s="678"/>
      <c r="OTW33" s="678"/>
      <c r="OTX33" s="678"/>
      <c r="OTY33" s="678"/>
      <c r="OTZ33" s="678"/>
      <c r="OUA33" s="678"/>
      <c r="OUB33" s="678"/>
      <c r="OUC33" s="678"/>
      <c r="OUD33" s="678"/>
      <c r="OUE33" s="678"/>
      <c r="OUF33" s="678"/>
      <c r="OUG33" s="678"/>
      <c r="OUH33" s="678"/>
      <c r="OUI33" s="678"/>
      <c r="OUJ33" s="678"/>
      <c r="OUK33" s="678"/>
      <c r="OUL33" s="678"/>
      <c r="OUM33" s="678"/>
      <c r="OUN33" s="678"/>
      <c r="OUO33" s="678"/>
      <c r="OUP33" s="678"/>
      <c r="OUQ33" s="678"/>
      <c r="OUR33" s="678"/>
      <c r="OUS33" s="678"/>
      <c r="OUT33" s="678"/>
      <c r="OUU33" s="678"/>
      <c r="OUV33" s="678"/>
      <c r="OUW33" s="678"/>
      <c r="OUX33" s="678"/>
      <c r="OUY33" s="678"/>
      <c r="OUZ33" s="678"/>
      <c r="OVA33" s="678"/>
      <c r="OVB33" s="678"/>
      <c r="OVC33" s="678"/>
      <c r="OVD33" s="678"/>
      <c r="OVE33" s="678"/>
      <c r="OVF33" s="678"/>
      <c r="OVG33" s="678"/>
      <c r="OVH33" s="678"/>
      <c r="OVI33" s="678"/>
      <c r="OVJ33" s="678"/>
      <c r="OVK33" s="678"/>
      <c r="OVL33" s="678"/>
      <c r="OVM33" s="678"/>
      <c r="OVN33" s="678"/>
      <c r="OVO33" s="678"/>
      <c r="OVP33" s="678"/>
      <c r="OVQ33" s="678"/>
      <c r="OVR33" s="678"/>
      <c r="OVS33" s="678"/>
      <c r="OVT33" s="678"/>
      <c r="OVU33" s="678"/>
      <c r="OVV33" s="678"/>
      <c r="OVW33" s="678"/>
      <c r="OVX33" s="678"/>
      <c r="OVY33" s="678"/>
      <c r="OVZ33" s="678"/>
      <c r="OWA33" s="678"/>
      <c r="OWB33" s="678"/>
      <c r="OWC33" s="678"/>
      <c r="OWD33" s="678"/>
      <c r="OWE33" s="678"/>
      <c r="OWF33" s="678"/>
      <c r="OWG33" s="678"/>
      <c r="OWH33" s="678"/>
      <c r="OWI33" s="678"/>
      <c r="OWJ33" s="678"/>
      <c r="OWK33" s="678"/>
      <c r="OWL33" s="678"/>
      <c r="OWM33" s="678"/>
      <c r="OWN33" s="678"/>
      <c r="OWO33" s="678"/>
      <c r="OWP33" s="678"/>
      <c r="OWQ33" s="678"/>
      <c r="OWR33" s="678"/>
      <c r="OWS33" s="678"/>
      <c r="OWT33" s="678"/>
      <c r="OWU33" s="678"/>
      <c r="OWV33" s="678"/>
      <c r="OWW33" s="678"/>
      <c r="OWX33" s="678"/>
      <c r="OWY33" s="678"/>
      <c r="OWZ33" s="678"/>
      <c r="OXA33" s="678"/>
      <c r="OXB33" s="678"/>
      <c r="OXC33" s="678"/>
      <c r="OXD33" s="678"/>
      <c r="OXE33" s="678"/>
      <c r="OXF33" s="678"/>
      <c r="OXG33" s="678"/>
      <c r="OXH33" s="678"/>
      <c r="OXI33" s="678"/>
      <c r="OXJ33" s="678"/>
      <c r="OXK33" s="678"/>
      <c r="OXL33" s="678"/>
      <c r="OXM33" s="678"/>
      <c r="OXN33" s="678"/>
      <c r="OXO33" s="678"/>
      <c r="OXP33" s="678"/>
      <c r="OXQ33" s="678"/>
      <c r="OXR33" s="678"/>
      <c r="OXS33" s="678"/>
      <c r="OXT33" s="678"/>
      <c r="OXU33" s="678"/>
      <c r="OXV33" s="678"/>
      <c r="OXW33" s="678"/>
      <c r="OXX33" s="678"/>
      <c r="OXY33" s="678"/>
      <c r="OXZ33" s="678"/>
      <c r="OYA33" s="678"/>
      <c r="OYB33" s="678"/>
      <c r="OYC33" s="678"/>
      <c r="OYD33" s="678"/>
      <c r="OYE33" s="678"/>
      <c r="OYF33" s="678"/>
      <c r="OYG33" s="678"/>
      <c r="OYH33" s="678"/>
      <c r="OYI33" s="678"/>
      <c r="OYJ33" s="678"/>
      <c r="OYK33" s="678"/>
      <c r="OYL33" s="678"/>
      <c r="OYM33" s="678"/>
      <c r="OYN33" s="678"/>
      <c r="OYO33" s="678"/>
      <c r="OYP33" s="678"/>
      <c r="OYQ33" s="678"/>
      <c r="OYR33" s="678"/>
      <c r="OYS33" s="678"/>
      <c r="OYT33" s="678"/>
      <c r="OYU33" s="678"/>
      <c r="OYV33" s="678"/>
      <c r="OYW33" s="678"/>
      <c r="OYX33" s="678"/>
      <c r="OYY33" s="678"/>
      <c r="OYZ33" s="678"/>
      <c r="OZA33" s="678"/>
      <c r="OZB33" s="678"/>
      <c r="OZC33" s="678"/>
      <c r="OZD33" s="678"/>
      <c r="OZE33" s="678"/>
      <c r="OZF33" s="678"/>
      <c r="OZG33" s="678"/>
      <c r="OZH33" s="678"/>
      <c r="OZI33" s="678"/>
      <c r="OZJ33" s="678"/>
      <c r="OZK33" s="678"/>
      <c r="OZL33" s="678"/>
      <c r="OZM33" s="678"/>
      <c r="OZN33" s="678"/>
      <c r="OZO33" s="678"/>
      <c r="OZP33" s="678"/>
      <c r="OZQ33" s="678"/>
      <c r="OZR33" s="678"/>
      <c r="OZS33" s="678"/>
      <c r="OZT33" s="678"/>
      <c r="OZU33" s="678"/>
      <c r="OZV33" s="678"/>
      <c r="OZW33" s="678"/>
      <c r="OZX33" s="678"/>
      <c r="OZY33" s="678"/>
      <c r="OZZ33" s="678"/>
      <c r="PAA33" s="678"/>
      <c r="PAB33" s="678"/>
      <c r="PAC33" s="678"/>
      <c r="PAD33" s="678"/>
      <c r="PAE33" s="678"/>
      <c r="PAF33" s="678"/>
      <c r="PAG33" s="678"/>
      <c r="PAH33" s="678"/>
      <c r="PAI33" s="678"/>
      <c r="PAJ33" s="678"/>
      <c r="PAK33" s="678"/>
      <c r="PAL33" s="678"/>
      <c r="PAM33" s="678"/>
      <c r="PAN33" s="678"/>
      <c r="PAO33" s="678"/>
      <c r="PAP33" s="678"/>
      <c r="PAQ33" s="678"/>
      <c r="PAR33" s="678"/>
      <c r="PAS33" s="678"/>
      <c r="PAT33" s="678"/>
      <c r="PAU33" s="678"/>
      <c r="PAV33" s="678"/>
      <c r="PAW33" s="678"/>
      <c r="PAX33" s="678"/>
      <c r="PAY33" s="678"/>
      <c r="PAZ33" s="678"/>
      <c r="PBA33" s="678"/>
      <c r="PBB33" s="678"/>
      <c r="PBC33" s="678"/>
      <c r="PBD33" s="678"/>
      <c r="PBE33" s="678"/>
      <c r="PBF33" s="678"/>
      <c r="PBG33" s="678"/>
      <c r="PBH33" s="678"/>
      <c r="PBI33" s="678"/>
      <c r="PBJ33" s="678"/>
      <c r="PBK33" s="678"/>
      <c r="PBL33" s="678"/>
      <c r="PBM33" s="678"/>
      <c r="PBN33" s="678"/>
      <c r="PBO33" s="678"/>
      <c r="PBP33" s="678"/>
      <c r="PBQ33" s="678"/>
      <c r="PBR33" s="678"/>
      <c r="PBS33" s="678"/>
      <c r="PBT33" s="678"/>
      <c r="PBU33" s="678"/>
      <c r="PBV33" s="678"/>
      <c r="PBW33" s="678"/>
      <c r="PBX33" s="678"/>
      <c r="PBY33" s="678"/>
      <c r="PBZ33" s="678"/>
      <c r="PCA33" s="678"/>
      <c r="PCB33" s="678"/>
      <c r="PCC33" s="678"/>
      <c r="PCD33" s="678"/>
      <c r="PCE33" s="678"/>
      <c r="PCF33" s="678"/>
      <c r="PCG33" s="678"/>
      <c r="PCH33" s="678"/>
      <c r="PCI33" s="678"/>
      <c r="PCJ33" s="678"/>
      <c r="PCK33" s="678"/>
      <c r="PCL33" s="678"/>
      <c r="PCM33" s="678"/>
      <c r="PCN33" s="678"/>
      <c r="PCO33" s="678"/>
      <c r="PCP33" s="678"/>
      <c r="PCQ33" s="678"/>
      <c r="PCR33" s="678"/>
      <c r="PCS33" s="678"/>
      <c r="PCT33" s="678"/>
      <c r="PCU33" s="678"/>
      <c r="PCV33" s="678"/>
      <c r="PCW33" s="678"/>
      <c r="PCX33" s="678"/>
      <c r="PCY33" s="678"/>
      <c r="PCZ33" s="678"/>
      <c r="PDA33" s="678"/>
      <c r="PDB33" s="678"/>
      <c r="PDC33" s="678"/>
      <c r="PDD33" s="678"/>
      <c r="PDE33" s="678"/>
      <c r="PDF33" s="678"/>
      <c r="PDG33" s="678"/>
      <c r="PDH33" s="678"/>
      <c r="PDI33" s="678"/>
      <c r="PDJ33" s="678"/>
      <c r="PDK33" s="678"/>
      <c r="PDL33" s="678"/>
      <c r="PDM33" s="678"/>
      <c r="PDN33" s="678"/>
      <c r="PDO33" s="678"/>
      <c r="PDP33" s="678"/>
      <c r="PDQ33" s="678"/>
      <c r="PDR33" s="678"/>
      <c r="PDS33" s="678"/>
      <c r="PDT33" s="678"/>
      <c r="PDU33" s="678"/>
      <c r="PDV33" s="678"/>
      <c r="PDW33" s="678"/>
      <c r="PDX33" s="678"/>
      <c r="PDY33" s="678"/>
      <c r="PDZ33" s="678"/>
      <c r="PEA33" s="678"/>
      <c r="PEB33" s="678"/>
      <c r="PEC33" s="678"/>
      <c r="PED33" s="678"/>
      <c r="PEE33" s="678"/>
      <c r="PEF33" s="678"/>
      <c r="PEG33" s="678"/>
      <c r="PEH33" s="678"/>
      <c r="PEI33" s="678"/>
      <c r="PEJ33" s="678"/>
      <c r="PEK33" s="678"/>
      <c r="PEL33" s="678"/>
      <c r="PEM33" s="678"/>
      <c r="PEN33" s="678"/>
      <c r="PEO33" s="678"/>
      <c r="PEP33" s="678"/>
      <c r="PEQ33" s="678"/>
      <c r="PER33" s="678"/>
      <c r="PES33" s="678"/>
      <c r="PET33" s="678"/>
      <c r="PEU33" s="678"/>
      <c r="PEV33" s="678"/>
      <c r="PEW33" s="678"/>
      <c r="PEX33" s="678"/>
      <c r="PEY33" s="678"/>
      <c r="PEZ33" s="678"/>
      <c r="PFA33" s="678"/>
      <c r="PFB33" s="678"/>
      <c r="PFC33" s="678"/>
      <c r="PFD33" s="678"/>
      <c r="PFE33" s="678"/>
      <c r="PFF33" s="678"/>
      <c r="PFG33" s="678"/>
      <c r="PFH33" s="678"/>
      <c r="PFI33" s="678"/>
      <c r="PFJ33" s="678"/>
      <c r="PFK33" s="678"/>
      <c r="PFL33" s="678"/>
      <c r="PFM33" s="678"/>
      <c r="PFN33" s="678"/>
      <c r="PFO33" s="678"/>
      <c r="PFP33" s="678"/>
      <c r="PFQ33" s="678"/>
      <c r="PFR33" s="678"/>
      <c r="PFS33" s="678"/>
      <c r="PFT33" s="678"/>
      <c r="PFU33" s="678"/>
      <c r="PFV33" s="678"/>
      <c r="PFW33" s="678"/>
      <c r="PFX33" s="678"/>
      <c r="PFY33" s="678"/>
      <c r="PFZ33" s="678"/>
      <c r="PGA33" s="678"/>
      <c r="PGB33" s="678"/>
      <c r="PGC33" s="678"/>
      <c r="PGD33" s="678"/>
      <c r="PGE33" s="678"/>
      <c r="PGF33" s="678"/>
      <c r="PGG33" s="678"/>
      <c r="PGH33" s="678"/>
      <c r="PGI33" s="678"/>
      <c r="PGJ33" s="678"/>
      <c r="PGK33" s="678"/>
      <c r="PGL33" s="678"/>
      <c r="PGM33" s="678"/>
      <c r="PGN33" s="678"/>
      <c r="PGO33" s="678"/>
      <c r="PGP33" s="678"/>
      <c r="PGQ33" s="678"/>
      <c r="PGR33" s="678"/>
      <c r="PGS33" s="678"/>
      <c r="PGT33" s="678"/>
      <c r="PGU33" s="678"/>
      <c r="PGV33" s="678"/>
      <c r="PGW33" s="678"/>
      <c r="PGX33" s="678"/>
      <c r="PGY33" s="678"/>
      <c r="PGZ33" s="678"/>
      <c r="PHA33" s="678"/>
      <c r="PHB33" s="678"/>
      <c r="PHC33" s="678"/>
      <c r="PHD33" s="678"/>
      <c r="PHE33" s="678"/>
      <c r="PHF33" s="678"/>
      <c r="PHG33" s="678"/>
      <c r="PHH33" s="678"/>
      <c r="PHI33" s="678"/>
      <c r="PHJ33" s="678"/>
      <c r="PHK33" s="678"/>
      <c r="PHL33" s="678"/>
      <c r="PHM33" s="678"/>
      <c r="PHN33" s="678"/>
      <c r="PHO33" s="678"/>
      <c r="PHP33" s="678"/>
      <c r="PHQ33" s="678"/>
      <c r="PHR33" s="678"/>
      <c r="PHS33" s="678"/>
      <c r="PHT33" s="678"/>
      <c r="PHU33" s="678"/>
      <c r="PHV33" s="678"/>
      <c r="PHW33" s="678"/>
      <c r="PHX33" s="678"/>
      <c r="PHY33" s="678"/>
      <c r="PHZ33" s="678"/>
      <c r="PIA33" s="678"/>
      <c r="PIB33" s="678"/>
      <c r="PIC33" s="678"/>
      <c r="PID33" s="678"/>
      <c r="PIE33" s="678"/>
      <c r="PIF33" s="678"/>
      <c r="PIG33" s="678"/>
      <c r="PIH33" s="678"/>
      <c r="PII33" s="678"/>
      <c r="PIJ33" s="678"/>
      <c r="PIK33" s="678"/>
      <c r="PIL33" s="678"/>
      <c r="PIM33" s="678"/>
      <c r="PIN33" s="678"/>
      <c r="PIO33" s="678"/>
      <c r="PIP33" s="678"/>
      <c r="PIQ33" s="678"/>
      <c r="PIR33" s="678"/>
      <c r="PIS33" s="678"/>
      <c r="PIT33" s="678"/>
      <c r="PIU33" s="678"/>
      <c r="PIV33" s="678"/>
      <c r="PIW33" s="678"/>
      <c r="PIX33" s="678"/>
      <c r="PIY33" s="678"/>
      <c r="PIZ33" s="678"/>
      <c r="PJA33" s="678"/>
      <c r="PJB33" s="678"/>
      <c r="PJC33" s="678"/>
      <c r="PJD33" s="678"/>
      <c r="PJE33" s="678"/>
      <c r="PJF33" s="678"/>
      <c r="PJG33" s="678"/>
      <c r="PJH33" s="678"/>
      <c r="PJI33" s="678"/>
      <c r="PJJ33" s="678"/>
      <c r="PJK33" s="678"/>
      <c r="PJL33" s="678"/>
      <c r="PJM33" s="678"/>
      <c r="PJN33" s="678"/>
      <c r="PJO33" s="678"/>
      <c r="PJP33" s="678"/>
      <c r="PJQ33" s="678"/>
      <c r="PJR33" s="678"/>
      <c r="PJS33" s="678"/>
      <c r="PJT33" s="678"/>
      <c r="PJU33" s="678"/>
      <c r="PJV33" s="678"/>
      <c r="PJW33" s="678"/>
      <c r="PJX33" s="678"/>
      <c r="PJY33" s="678"/>
      <c r="PJZ33" s="678"/>
      <c r="PKA33" s="678"/>
      <c r="PKB33" s="678"/>
      <c r="PKC33" s="678"/>
      <c r="PKD33" s="678"/>
      <c r="PKE33" s="678"/>
      <c r="PKF33" s="678"/>
      <c r="PKG33" s="678"/>
      <c r="PKH33" s="678"/>
      <c r="PKI33" s="678"/>
      <c r="PKJ33" s="678"/>
      <c r="PKK33" s="678"/>
      <c r="PKL33" s="678"/>
      <c r="PKM33" s="678"/>
      <c r="PKN33" s="678"/>
      <c r="PKO33" s="678"/>
      <c r="PKP33" s="678"/>
      <c r="PKQ33" s="678"/>
      <c r="PKR33" s="678"/>
      <c r="PKS33" s="678"/>
      <c r="PKT33" s="678"/>
      <c r="PKU33" s="678"/>
      <c r="PKV33" s="678"/>
      <c r="PKW33" s="678"/>
      <c r="PKX33" s="678"/>
      <c r="PKY33" s="678"/>
      <c r="PKZ33" s="678"/>
      <c r="PLA33" s="678"/>
      <c r="PLB33" s="678"/>
      <c r="PLC33" s="678"/>
      <c r="PLD33" s="678"/>
      <c r="PLE33" s="678"/>
      <c r="PLF33" s="678"/>
      <c r="PLG33" s="678"/>
      <c r="PLH33" s="678"/>
      <c r="PLI33" s="678"/>
      <c r="PLJ33" s="678"/>
      <c r="PLK33" s="678"/>
      <c r="PLL33" s="678"/>
      <c r="PLM33" s="678"/>
      <c r="PLN33" s="678"/>
      <c r="PLO33" s="678"/>
      <c r="PLP33" s="678"/>
      <c r="PLQ33" s="678"/>
      <c r="PLR33" s="678"/>
      <c r="PLS33" s="678"/>
      <c r="PLT33" s="678"/>
      <c r="PLU33" s="678"/>
      <c r="PLV33" s="678"/>
      <c r="PLW33" s="678"/>
      <c r="PLX33" s="678"/>
      <c r="PLY33" s="678"/>
      <c r="PLZ33" s="678"/>
      <c r="PMA33" s="678"/>
      <c r="PMB33" s="678"/>
      <c r="PMC33" s="678"/>
      <c r="PMD33" s="678"/>
      <c r="PME33" s="678"/>
      <c r="PMF33" s="678"/>
      <c r="PMG33" s="678"/>
      <c r="PMH33" s="678"/>
      <c r="PMI33" s="678"/>
      <c r="PMJ33" s="678"/>
      <c r="PMK33" s="678"/>
      <c r="PML33" s="678"/>
      <c r="PMM33" s="678"/>
      <c r="PMN33" s="678"/>
      <c r="PMO33" s="678"/>
      <c r="PMP33" s="678"/>
      <c r="PMQ33" s="678"/>
      <c r="PMR33" s="678"/>
      <c r="PMS33" s="678"/>
      <c r="PMT33" s="678"/>
      <c r="PMU33" s="678"/>
      <c r="PMV33" s="678"/>
      <c r="PMW33" s="678"/>
      <c r="PMX33" s="678"/>
      <c r="PMY33" s="678"/>
      <c r="PMZ33" s="678"/>
      <c r="PNA33" s="678"/>
      <c r="PNB33" s="678"/>
      <c r="PNC33" s="678"/>
      <c r="PND33" s="678"/>
      <c r="PNE33" s="678"/>
      <c r="PNF33" s="678"/>
      <c r="PNG33" s="678"/>
      <c r="PNH33" s="678"/>
      <c r="PNI33" s="678"/>
      <c r="PNJ33" s="678"/>
      <c r="PNK33" s="678"/>
      <c r="PNL33" s="678"/>
      <c r="PNM33" s="678"/>
      <c r="PNN33" s="678"/>
      <c r="PNO33" s="678"/>
      <c r="PNP33" s="678"/>
      <c r="PNQ33" s="678"/>
      <c r="PNR33" s="678"/>
      <c r="PNS33" s="678"/>
      <c r="PNT33" s="678"/>
      <c r="PNU33" s="678"/>
      <c r="PNV33" s="678"/>
      <c r="PNW33" s="678"/>
      <c r="PNX33" s="678"/>
      <c r="PNY33" s="678"/>
      <c r="PNZ33" s="678"/>
      <c r="POA33" s="678"/>
      <c r="POB33" s="678"/>
      <c r="POC33" s="678"/>
      <c r="POD33" s="678"/>
      <c r="POE33" s="678"/>
      <c r="POF33" s="678"/>
      <c r="POG33" s="678"/>
      <c r="POH33" s="678"/>
      <c r="POI33" s="678"/>
      <c r="POJ33" s="678"/>
      <c r="POK33" s="678"/>
      <c r="POL33" s="678"/>
      <c r="POM33" s="678"/>
      <c r="PON33" s="678"/>
      <c r="POO33" s="678"/>
      <c r="POP33" s="678"/>
      <c r="POQ33" s="678"/>
      <c r="POR33" s="678"/>
      <c r="POS33" s="678"/>
      <c r="POT33" s="678"/>
      <c r="POU33" s="678"/>
      <c r="POV33" s="678"/>
      <c r="POW33" s="678"/>
      <c r="POX33" s="678"/>
      <c r="POY33" s="678"/>
      <c r="POZ33" s="678"/>
      <c r="PPA33" s="678"/>
      <c r="PPB33" s="678"/>
      <c r="PPC33" s="678"/>
      <c r="PPD33" s="678"/>
      <c r="PPE33" s="678"/>
      <c r="PPF33" s="678"/>
      <c r="PPG33" s="678"/>
      <c r="PPH33" s="678"/>
      <c r="PPI33" s="678"/>
      <c r="PPJ33" s="678"/>
      <c r="PPK33" s="678"/>
      <c r="PPL33" s="678"/>
      <c r="PPM33" s="678"/>
      <c r="PPN33" s="678"/>
      <c r="PPO33" s="678"/>
      <c r="PPP33" s="678"/>
      <c r="PPQ33" s="678"/>
      <c r="PPR33" s="678"/>
      <c r="PPS33" s="678"/>
      <c r="PPT33" s="678"/>
      <c r="PPU33" s="678"/>
      <c r="PPV33" s="678"/>
      <c r="PPW33" s="678"/>
      <c r="PPX33" s="678"/>
      <c r="PPY33" s="678"/>
      <c r="PPZ33" s="678"/>
      <c r="PQA33" s="678"/>
      <c r="PQB33" s="678"/>
      <c r="PQC33" s="678"/>
      <c r="PQD33" s="678"/>
      <c r="PQE33" s="678"/>
      <c r="PQF33" s="678"/>
      <c r="PQG33" s="678"/>
      <c r="PQH33" s="678"/>
      <c r="PQI33" s="678"/>
      <c r="PQJ33" s="678"/>
      <c r="PQK33" s="678"/>
      <c r="PQL33" s="678"/>
      <c r="PQM33" s="678"/>
      <c r="PQN33" s="678"/>
      <c r="PQO33" s="678"/>
      <c r="PQP33" s="678"/>
      <c r="PQQ33" s="678"/>
      <c r="PQR33" s="678"/>
      <c r="PQS33" s="678"/>
      <c r="PQT33" s="678"/>
      <c r="PQU33" s="678"/>
      <c r="PQV33" s="678"/>
      <c r="PQW33" s="678"/>
      <c r="PQX33" s="678"/>
      <c r="PQY33" s="678"/>
      <c r="PQZ33" s="678"/>
      <c r="PRA33" s="678"/>
      <c r="PRB33" s="678"/>
      <c r="PRC33" s="678"/>
      <c r="PRD33" s="678"/>
      <c r="PRE33" s="678"/>
      <c r="PRF33" s="678"/>
      <c r="PRG33" s="678"/>
      <c r="PRH33" s="678"/>
      <c r="PRI33" s="678"/>
      <c r="PRJ33" s="678"/>
      <c r="PRK33" s="678"/>
      <c r="PRL33" s="678"/>
      <c r="PRM33" s="678"/>
      <c r="PRN33" s="678"/>
      <c r="PRO33" s="678"/>
      <c r="PRP33" s="678"/>
      <c r="PRQ33" s="678"/>
      <c r="PRR33" s="678"/>
      <c r="PRS33" s="678"/>
      <c r="PRT33" s="678"/>
      <c r="PRU33" s="678"/>
      <c r="PRV33" s="678"/>
      <c r="PRW33" s="678"/>
      <c r="PRX33" s="678"/>
      <c r="PRY33" s="678"/>
      <c r="PRZ33" s="678"/>
      <c r="PSA33" s="678"/>
      <c r="PSB33" s="678"/>
      <c r="PSC33" s="678"/>
      <c r="PSD33" s="678"/>
      <c r="PSE33" s="678"/>
      <c r="PSF33" s="678"/>
      <c r="PSG33" s="678"/>
      <c r="PSH33" s="678"/>
      <c r="PSI33" s="678"/>
      <c r="PSJ33" s="678"/>
      <c r="PSK33" s="678"/>
      <c r="PSL33" s="678"/>
      <c r="PSM33" s="678"/>
      <c r="PSN33" s="678"/>
      <c r="PSO33" s="678"/>
      <c r="PSP33" s="678"/>
      <c r="PSQ33" s="678"/>
      <c r="PSR33" s="678"/>
      <c r="PSS33" s="678"/>
      <c r="PST33" s="678"/>
      <c r="PSU33" s="678"/>
      <c r="PSV33" s="678"/>
      <c r="PSW33" s="678"/>
      <c r="PSX33" s="678"/>
      <c r="PSY33" s="678"/>
      <c r="PSZ33" s="678"/>
      <c r="PTA33" s="678"/>
      <c r="PTB33" s="678"/>
      <c r="PTC33" s="678"/>
      <c r="PTD33" s="678"/>
      <c r="PTE33" s="678"/>
      <c r="PTF33" s="678"/>
      <c r="PTG33" s="678"/>
      <c r="PTH33" s="678"/>
      <c r="PTI33" s="678"/>
      <c r="PTJ33" s="678"/>
      <c r="PTK33" s="678"/>
      <c r="PTL33" s="678"/>
      <c r="PTM33" s="678"/>
      <c r="PTN33" s="678"/>
      <c r="PTO33" s="678"/>
      <c r="PTP33" s="678"/>
      <c r="PTQ33" s="678"/>
      <c r="PTR33" s="678"/>
      <c r="PTS33" s="678"/>
      <c r="PTT33" s="678"/>
      <c r="PTU33" s="678"/>
      <c r="PTV33" s="678"/>
      <c r="PTW33" s="678"/>
      <c r="PTX33" s="678"/>
      <c r="PTY33" s="678"/>
      <c r="PTZ33" s="678"/>
      <c r="PUA33" s="678"/>
      <c r="PUB33" s="678"/>
      <c r="PUC33" s="678"/>
      <c r="PUD33" s="678"/>
      <c r="PUE33" s="678"/>
      <c r="PUF33" s="678"/>
      <c r="PUG33" s="678"/>
      <c r="PUH33" s="678"/>
      <c r="PUI33" s="678"/>
      <c r="PUJ33" s="678"/>
      <c r="PUK33" s="678"/>
      <c r="PUL33" s="678"/>
      <c r="PUM33" s="678"/>
      <c r="PUN33" s="678"/>
      <c r="PUO33" s="678"/>
      <c r="PUP33" s="678"/>
      <c r="PUQ33" s="678"/>
      <c r="PUR33" s="678"/>
      <c r="PUS33" s="678"/>
      <c r="PUT33" s="678"/>
      <c r="PUU33" s="678"/>
      <c r="PUV33" s="678"/>
      <c r="PUW33" s="678"/>
      <c r="PUX33" s="678"/>
      <c r="PUY33" s="678"/>
      <c r="PUZ33" s="678"/>
      <c r="PVA33" s="678"/>
      <c r="PVB33" s="678"/>
      <c r="PVC33" s="678"/>
      <c r="PVD33" s="678"/>
      <c r="PVE33" s="678"/>
      <c r="PVF33" s="678"/>
      <c r="PVG33" s="678"/>
      <c r="PVH33" s="678"/>
      <c r="PVI33" s="678"/>
      <c r="PVJ33" s="678"/>
      <c r="PVK33" s="678"/>
      <c r="PVL33" s="678"/>
      <c r="PVM33" s="678"/>
      <c r="PVN33" s="678"/>
      <c r="PVO33" s="678"/>
      <c r="PVP33" s="678"/>
      <c r="PVQ33" s="678"/>
      <c r="PVR33" s="678"/>
      <c r="PVS33" s="678"/>
      <c r="PVT33" s="678"/>
      <c r="PVU33" s="678"/>
      <c r="PVV33" s="678"/>
      <c r="PVW33" s="678"/>
      <c r="PVX33" s="678"/>
      <c r="PVY33" s="678"/>
      <c r="PVZ33" s="678"/>
      <c r="PWA33" s="678"/>
      <c r="PWB33" s="678"/>
      <c r="PWC33" s="678"/>
      <c r="PWD33" s="678"/>
      <c r="PWE33" s="678"/>
      <c r="PWF33" s="678"/>
      <c r="PWG33" s="678"/>
      <c r="PWH33" s="678"/>
      <c r="PWI33" s="678"/>
      <c r="PWJ33" s="678"/>
      <c r="PWK33" s="678"/>
      <c r="PWL33" s="678"/>
      <c r="PWM33" s="678"/>
      <c r="PWN33" s="678"/>
      <c r="PWO33" s="678"/>
      <c r="PWP33" s="678"/>
      <c r="PWQ33" s="678"/>
      <c r="PWR33" s="678"/>
      <c r="PWS33" s="678"/>
      <c r="PWT33" s="678"/>
      <c r="PWU33" s="678"/>
      <c r="PWV33" s="678"/>
      <c r="PWW33" s="678"/>
      <c r="PWX33" s="678"/>
      <c r="PWY33" s="678"/>
      <c r="PWZ33" s="678"/>
      <c r="PXA33" s="678"/>
      <c r="PXB33" s="678"/>
      <c r="PXC33" s="678"/>
      <c r="PXD33" s="678"/>
      <c r="PXE33" s="678"/>
      <c r="PXF33" s="678"/>
      <c r="PXG33" s="678"/>
      <c r="PXH33" s="678"/>
      <c r="PXI33" s="678"/>
      <c r="PXJ33" s="678"/>
      <c r="PXK33" s="678"/>
      <c r="PXL33" s="678"/>
      <c r="PXM33" s="678"/>
      <c r="PXN33" s="678"/>
      <c r="PXO33" s="678"/>
      <c r="PXP33" s="678"/>
      <c r="PXQ33" s="678"/>
      <c r="PXR33" s="678"/>
      <c r="PXS33" s="678"/>
      <c r="PXT33" s="678"/>
      <c r="PXU33" s="678"/>
      <c r="PXV33" s="678"/>
      <c r="PXW33" s="678"/>
      <c r="PXX33" s="678"/>
      <c r="PXY33" s="678"/>
      <c r="PXZ33" s="678"/>
      <c r="PYA33" s="678"/>
      <c r="PYB33" s="678"/>
      <c r="PYC33" s="678"/>
      <c r="PYD33" s="678"/>
      <c r="PYE33" s="678"/>
      <c r="PYF33" s="678"/>
      <c r="PYG33" s="678"/>
      <c r="PYH33" s="678"/>
      <c r="PYI33" s="678"/>
      <c r="PYJ33" s="678"/>
      <c r="PYK33" s="678"/>
      <c r="PYL33" s="678"/>
      <c r="PYM33" s="678"/>
      <c r="PYN33" s="678"/>
      <c r="PYO33" s="678"/>
      <c r="PYP33" s="678"/>
      <c r="PYQ33" s="678"/>
      <c r="PYR33" s="678"/>
      <c r="PYS33" s="678"/>
      <c r="PYT33" s="678"/>
      <c r="PYU33" s="678"/>
      <c r="PYV33" s="678"/>
      <c r="PYW33" s="678"/>
      <c r="PYX33" s="678"/>
      <c r="PYY33" s="678"/>
      <c r="PYZ33" s="678"/>
      <c r="PZA33" s="678"/>
      <c r="PZB33" s="678"/>
      <c r="PZC33" s="678"/>
      <c r="PZD33" s="678"/>
      <c r="PZE33" s="678"/>
      <c r="PZF33" s="678"/>
      <c r="PZG33" s="678"/>
      <c r="PZH33" s="678"/>
      <c r="PZI33" s="678"/>
      <c r="PZJ33" s="678"/>
      <c r="PZK33" s="678"/>
      <c r="PZL33" s="678"/>
      <c r="PZM33" s="678"/>
      <c r="PZN33" s="678"/>
      <c r="PZO33" s="678"/>
      <c r="PZP33" s="678"/>
      <c r="PZQ33" s="678"/>
      <c r="PZR33" s="678"/>
      <c r="PZS33" s="678"/>
      <c r="PZT33" s="678"/>
      <c r="PZU33" s="678"/>
      <c r="PZV33" s="678"/>
      <c r="PZW33" s="678"/>
      <c r="PZX33" s="678"/>
      <c r="PZY33" s="678"/>
      <c r="PZZ33" s="678"/>
      <c r="QAA33" s="678"/>
      <c r="QAB33" s="678"/>
      <c r="QAC33" s="678"/>
      <c r="QAD33" s="678"/>
      <c r="QAE33" s="678"/>
      <c r="QAF33" s="678"/>
      <c r="QAG33" s="678"/>
      <c r="QAH33" s="678"/>
      <c r="QAI33" s="678"/>
      <c r="QAJ33" s="678"/>
      <c r="QAK33" s="678"/>
      <c r="QAL33" s="678"/>
      <c r="QAM33" s="678"/>
      <c r="QAN33" s="678"/>
      <c r="QAO33" s="678"/>
      <c r="QAP33" s="678"/>
      <c r="QAQ33" s="678"/>
      <c r="QAR33" s="678"/>
      <c r="QAS33" s="678"/>
      <c r="QAT33" s="678"/>
      <c r="QAU33" s="678"/>
      <c r="QAV33" s="678"/>
      <c r="QAW33" s="678"/>
      <c r="QAX33" s="678"/>
      <c r="QAY33" s="678"/>
      <c r="QAZ33" s="678"/>
      <c r="QBA33" s="678"/>
      <c r="QBB33" s="678"/>
      <c r="QBC33" s="678"/>
      <c r="QBD33" s="678"/>
      <c r="QBE33" s="678"/>
      <c r="QBF33" s="678"/>
      <c r="QBG33" s="678"/>
      <c r="QBH33" s="678"/>
      <c r="QBI33" s="678"/>
      <c r="QBJ33" s="678"/>
      <c r="QBK33" s="678"/>
      <c r="QBL33" s="678"/>
      <c r="QBM33" s="678"/>
      <c r="QBN33" s="678"/>
      <c r="QBO33" s="678"/>
      <c r="QBP33" s="678"/>
      <c r="QBQ33" s="678"/>
      <c r="QBR33" s="678"/>
      <c r="QBS33" s="678"/>
      <c r="QBT33" s="678"/>
      <c r="QBU33" s="678"/>
      <c r="QBV33" s="678"/>
      <c r="QBW33" s="678"/>
      <c r="QBX33" s="678"/>
      <c r="QBY33" s="678"/>
      <c r="QBZ33" s="678"/>
      <c r="QCA33" s="678"/>
      <c r="QCB33" s="678"/>
      <c r="QCC33" s="678"/>
      <c r="QCD33" s="678"/>
      <c r="QCE33" s="678"/>
      <c r="QCF33" s="678"/>
      <c r="QCG33" s="678"/>
      <c r="QCH33" s="678"/>
      <c r="QCI33" s="678"/>
      <c r="QCJ33" s="678"/>
      <c r="QCK33" s="678"/>
      <c r="QCL33" s="678"/>
      <c r="QCM33" s="678"/>
      <c r="QCN33" s="678"/>
      <c r="QCO33" s="678"/>
      <c r="QCP33" s="678"/>
      <c r="QCQ33" s="678"/>
      <c r="QCR33" s="678"/>
      <c r="QCS33" s="678"/>
      <c r="QCT33" s="678"/>
      <c r="QCU33" s="678"/>
      <c r="QCV33" s="678"/>
      <c r="QCW33" s="678"/>
      <c r="QCX33" s="678"/>
      <c r="QCY33" s="678"/>
      <c r="QCZ33" s="678"/>
      <c r="QDA33" s="678"/>
      <c r="QDB33" s="678"/>
      <c r="QDC33" s="678"/>
      <c r="QDD33" s="678"/>
      <c r="QDE33" s="678"/>
      <c r="QDF33" s="678"/>
      <c r="QDG33" s="678"/>
      <c r="QDH33" s="678"/>
      <c r="QDI33" s="678"/>
      <c r="QDJ33" s="678"/>
      <c r="QDK33" s="678"/>
      <c r="QDL33" s="678"/>
      <c r="QDM33" s="678"/>
      <c r="QDN33" s="678"/>
      <c r="QDO33" s="678"/>
      <c r="QDP33" s="678"/>
      <c r="QDQ33" s="678"/>
      <c r="QDR33" s="678"/>
      <c r="QDS33" s="678"/>
      <c r="QDT33" s="678"/>
      <c r="QDU33" s="678"/>
      <c r="QDV33" s="678"/>
      <c r="QDW33" s="678"/>
      <c r="QDX33" s="678"/>
      <c r="QDY33" s="678"/>
      <c r="QDZ33" s="678"/>
      <c r="QEA33" s="678"/>
      <c r="QEB33" s="678"/>
      <c r="QEC33" s="678"/>
      <c r="QED33" s="678"/>
      <c r="QEE33" s="678"/>
      <c r="QEF33" s="678"/>
      <c r="QEG33" s="678"/>
      <c r="QEH33" s="678"/>
      <c r="QEI33" s="678"/>
      <c r="QEJ33" s="678"/>
      <c r="QEK33" s="678"/>
      <c r="QEL33" s="678"/>
      <c r="QEM33" s="678"/>
      <c r="QEN33" s="678"/>
      <c r="QEO33" s="678"/>
      <c r="QEP33" s="678"/>
      <c r="QEQ33" s="678"/>
      <c r="QER33" s="678"/>
      <c r="QES33" s="678"/>
      <c r="QET33" s="678"/>
      <c r="QEU33" s="678"/>
      <c r="QEV33" s="678"/>
      <c r="QEW33" s="678"/>
      <c r="QEX33" s="678"/>
      <c r="QEY33" s="678"/>
      <c r="QEZ33" s="678"/>
      <c r="QFA33" s="678"/>
      <c r="QFB33" s="678"/>
      <c r="QFC33" s="678"/>
      <c r="QFD33" s="678"/>
      <c r="QFE33" s="678"/>
      <c r="QFF33" s="678"/>
      <c r="QFG33" s="678"/>
      <c r="QFH33" s="678"/>
      <c r="QFI33" s="678"/>
      <c r="QFJ33" s="678"/>
      <c r="QFK33" s="678"/>
      <c r="QFL33" s="678"/>
      <c r="QFM33" s="678"/>
      <c r="QFN33" s="678"/>
      <c r="QFO33" s="678"/>
      <c r="QFP33" s="678"/>
      <c r="QFQ33" s="678"/>
      <c r="QFR33" s="678"/>
      <c r="QFS33" s="678"/>
      <c r="QFT33" s="678"/>
      <c r="QFU33" s="678"/>
      <c r="QFV33" s="678"/>
      <c r="QFW33" s="678"/>
      <c r="QFX33" s="678"/>
      <c r="QFY33" s="678"/>
      <c r="QFZ33" s="678"/>
      <c r="QGA33" s="678"/>
      <c r="QGB33" s="678"/>
      <c r="QGC33" s="678"/>
      <c r="QGD33" s="678"/>
      <c r="QGE33" s="678"/>
      <c r="QGF33" s="678"/>
      <c r="QGG33" s="678"/>
      <c r="QGH33" s="678"/>
      <c r="QGI33" s="678"/>
      <c r="QGJ33" s="678"/>
      <c r="QGK33" s="678"/>
      <c r="QGL33" s="678"/>
      <c r="QGM33" s="678"/>
      <c r="QGN33" s="678"/>
      <c r="QGO33" s="678"/>
      <c r="QGP33" s="678"/>
      <c r="QGQ33" s="678"/>
      <c r="QGR33" s="678"/>
      <c r="QGS33" s="678"/>
      <c r="QGT33" s="678"/>
      <c r="QGU33" s="678"/>
      <c r="QGV33" s="678"/>
      <c r="QGW33" s="678"/>
      <c r="QGX33" s="678"/>
      <c r="QGY33" s="678"/>
      <c r="QGZ33" s="678"/>
      <c r="QHA33" s="678"/>
      <c r="QHB33" s="678"/>
      <c r="QHC33" s="678"/>
      <c r="QHD33" s="678"/>
      <c r="QHE33" s="678"/>
      <c r="QHF33" s="678"/>
      <c r="QHG33" s="678"/>
      <c r="QHH33" s="678"/>
      <c r="QHI33" s="678"/>
      <c r="QHJ33" s="678"/>
      <c r="QHK33" s="678"/>
      <c r="QHL33" s="678"/>
      <c r="QHM33" s="678"/>
      <c r="QHN33" s="678"/>
      <c r="QHO33" s="678"/>
      <c r="QHP33" s="678"/>
      <c r="QHQ33" s="678"/>
      <c r="QHR33" s="678"/>
      <c r="QHS33" s="678"/>
      <c r="QHT33" s="678"/>
      <c r="QHU33" s="678"/>
      <c r="QHV33" s="678"/>
      <c r="QHW33" s="678"/>
      <c r="QHX33" s="678"/>
      <c r="QHY33" s="678"/>
      <c r="QHZ33" s="678"/>
      <c r="QIA33" s="678"/>
      <c r="QIB33" s="678"/>
      <c r="QIC33" s="678"/>
      <c r="QID33" s="678"/>
      <c r="QIE33" s="678"/>
      <c r="QIF33" s="678"/>
      <c r="QIG33" s="678"/>
      <c r="QIH33" s="678"/>
      <c r="QII33" s="678"/>
      <c r="QIJ33" s="678"/>
      <c r="QIK33" s="678"/>
      <c r="QIL33" s="678"/>
      <c r="QIM33" s="678"/>
      <c r="QIN33" s="678"/>
      <c r="QIO33" s="678"/>
      <c r="QIP33" s="678"/>
      <c r="QIQ33" s="678"/>
      <c r="QIR33" s="678"/>
      <c r="QIS33" s="678"/>
      <c r="QIT33" s="678"/>
      <c r="QIU33" s="678"/>
      <c r="QIV33" s="678"/>
      <c r="QIW33" s="678"/>
      <c r="QIX33" s="678"/>
      <c r="QIY33" s="678"/>
      <c r="QIZ33" s="678"/>
      <c r="QJA33" s="678"/>
      <c r="QJB33" s="678"/>
      <c r="QJC33" s="678"/>
      <c r="QJD33" s="678"/>
      <c r="QJE33" s="678"/>
      <c r="QJF33" s="678"/>
      <c r="QJG33" s="678"/>
      <c r="QJH33" s="678"/>
      <c r="QJI33" s="678"/>
      <c r="QJJ33" s="678"/>
      <c r="QJK33" s="678"/>
      <c r="QJL33" s="678"/>
      <c r="QJM33" s="678"/>
      <c r="QJN33" s="678"/>
      <c r="QJO33" s="678"/>
      <c r="QJP33" s="678"/>
      <c r="QJQ33" s="678"/>
      <c r="QJR33" s="678"/>
      <c r="QJS33" s="678"/>
      <c r="QJT33" s="678"/>
      <c r="QJU33" s="678"/>
      <c r="QJV33" s="678"/>
      <c r="QJW33" s="678"/>
      <c r="QJX33" s="678"/>
      <c r="QJY33" s="678"/>
      <c r="QJZ33" s="678"/>
      <c r="QKA33" s="678"/>
      <c r="QKB33" s="678"/>
      <c r="QKC33" s="678"/>
      <c r="QKD33" s="678"/>
      <c r="QKE33" s="678"/>
      <c r="QKF33" s="678"/>
      <c r="QKG33" s="678"/>
      <c r="QKH33" s="678"/>
      <c r="QKI33" s="678"/>
      <c r="QKJ33" s="678"/>
      <c r="QKK33" s="678"/>
      <c r="QKL33" s="678"/>
      <c r="QKM33" s="678"/>
      <c r="QKN33" s="678"/>
      <c r="QKO33" s="678"/>
      <c r="QKP33" s="678"/>
      <c r="QKQ33" s="678"/>
      <c r="QKR33" s="678"/>
      <c r="QKS33" s="678"/>
      <c r="QKT33" s="678"/>
      <c r="QKU33" s="678"/>
      <c r="QKV33" s="678"/>
      <c r="QKW33" s="678"/>
      <c r="QKX33" s="678"/>
      <c r="QKY33" s="678"/>
      <c r="QKZ33" s="678"/>
      <c r="QLA33" s="678"/>
      <c r="QLB33" s="678"/>
      <c r="QLC33" s="678"/>
      <c r="QLD33" s="678"/>
      <c r="QLE33" s="678"/>
      <c r="QLF33" s="678"/>
      <c r="QLG33" s="678"/>
      <c r="QLH33" s="678"/>
      <c r="QLI33" s="678"/>
      <c r="QLJ33" s="678"/>
      <c r="QLK33" s="678"/>
      <c r="QLL33" s="678"/>
      <c r="QLM33" s="678"/>
      <c r="QLN33" s="678"/>
      <c r="QLO33" s="678"/>
      <c r="QLP33" s="678"/>
      <c r="QLQ33" s="678"/>
      <c r="QLR33" s="678"/>
      <c r="QLS33" s="678"/>
      <c r="QLT33" s="678"/>
      <c r="QLU33" s="678"/>
      <c r="QLV33" s="678"/>
      <c r="QLW33" s="678"/>
      <c r="QLX33" s="678"/>
      <c r="QLY33" s="678"/>
      <c r="QLZ33" s="678"/>
      <c r="QMA33" s="678"/>
      <c r="QMB33" s="678"/>
      <c r="QMC33" s="678"/>
      <c r="QMD33" s="678"/>
      <c r="QME33" s="678"/>
      <c r="QMF33" s="678"/>
      <c r="QMG33" s="678"/>
      <c r="QMH33" s="678"/>
      <c r="QMI33" s="678"/>
      <c r="QMJ33" s="678"/>
      <c r="QMK33" s="678"/>
      <c r="QML33" s="678"/>
      <c r="QMM33" s="678"/>
      <c r="QMN33" s="678"/>
      <c r="QMO33" s="678"/>
      <c r="QMP33" s="678"/>
      <c r="QMQ33" s="678"/>
      <c r="QMR33" s="678"/>
      <c r="QMS33" s="678"/>
      <c r="QMT33" s="678"/>
      <c r="QMU33" s="678"/>
      <c r="QMV33" s="678"/>
      <c r="QMW33" s="678"/>
      <c r="QMX33" s="678"/>
      <c r="QMY33" s="678"/>
      <c r="QMZ33" s="678"/>
      <c r="QNA33" s="678"/>
      <c r="QNB33" s="678"/>
      <c r="QNC33" s="678"/>
      <c r="QND33" s="678"/>
      <c r="QNE33" s="678"/>
      <c r="QNF33" s="678"/>
      <c r="QNG33" s="678"/>
      <c r="QNH33" s="678"/>
      <c r="QNI33" s="678"/>
      <c r="QNJ33" s="678"/>
      <c r="QNK33" s="678"/>
      <c r="QNL33" s="678"/>
      <c r="QNM33" s="678"/>
      <c r="QNN33" s="678"/>
      <c r="QNO33" s="678"/>
      <c r="QNP33" s="678"/>
      <c r="QNQ33" s="678"/>
      <c r="QNR33" s="678"/>
      <c r="QNS33" s="678"/>
      <c r="QNT33" s="678"/>
      <c r="QNU33" s="678"/>
      <c r="QNV33" s="678"/>
      <c r="QNW33" s="678"/>
      <c r="QNX33" s="678"/>
      <c r="QNY33" s="678"/>
      <c r="QNZ33" s="678"/>
      <c r="QOA33" s="678"/>
      <c r="QOB33" s="678"/>
      <c r="QOC33" s="678"/>
      <c r="QOD33" s="678"/>
      <c r="QOE33" s="678"/>
      <c r="QOF33" s="678"/>
      <c r="QOG33" s="678"/>
      <c r="QOH33" s="678"/>
      <c r="QOI33" s="678"/>
      <c r="QOJ33" s="678"/>
      <c r="QOK33" s="678"/>
      <c r="QOL33" s="678"/>
      <c r="QOM33" s="678"/>
      <c r="QON33" s="678"/>
      <c r="QOO33" s="678"/>
      <c r="QOP33" s="678"/>
      <c r="QOQ33" s="678"/>
      <c r="QOR33" s="678"/>
      <c r="QOS33" s="678"/>
      <c r="QOT33" s="678"/>
      <c r="QOU33" s="678"/>
      <c r="QOV33" s="678"/>
      <c r="QOW33" s="678"/>
      <c r="QOX33" s="678"/>
      <c r="QOY33" s="678"/>
      <c r="QOZ33" s="678"/>
      <c r="QPA33" s="678"/>
      <c r="QPB33" s="678"/>
      <c r="QPC33" s="678"/>
      <c r="QPD33" s="678"/>
      <c r="QPE33" s="678"/>
      <c r="QPF33" s="678"/>
      <c r="QPG33" s="678"/>
      <c r="QPH33" s="678"/>
      <c r="QPI33" s="678"/>
      <c r="QPJ33" s="678"/>
      <c r="QPK33" s="678"/>
      <c r="QPL33" s="678"/>
      <c r="QPM33" s="678"/>
      <c r="QPN33" s="678"/>
      <c r="QPO33" s="678"/>
      <c r="QPP33" s="678"/>
      <c r="QPQ33" s="678"/>
      <c r="QPR33" s="678"/>
      <c r="QPS33" s="678"/>
      <c r="QPT33" s="678"/>
      <c r="QPU33" s="678"/>
      <c r="QPV33" s="678"/>
      <c r="QPW33" s="678"/>
      <c r="QPX33" s="678"/>
      <c r="QPY33" s="678"/>
      <c r="QPZ33" s="678"/>
      <c r="QQA33" s="678"/>
      <c r="QQB33" s="678"/>
      <c r="QQC33" s="678"/>
      <c r="QQD33" s="678"/>
      <c r="QQE33" s="678"/>
      <c r="QQF33" s="678"/>
      <c r="QQG33" s="678"/>
      <c r="QQH33" s="678"/>
      <c r="QQI33" s="678"/>
      <c r="QQJ33" s="678"/>
      <c r="QQK33" s="678"/>
      <c r="QQL33" s="678"/>
      <c r="QQM33" s="678"/>
      <c r="QQN33" s="678"/>
      <c r="QQO33" s="678"/>
      <c r="QQP33" s="678"/>
      <c r="QQQ33" s="678"/>
      <c r="QQR33" s="678"/>
      <c r="QQS33" s="678"/>
      <c r="QQT33" s="678"/>
      <c r="QQU33" s="678"/>
      <c r="QQV33" s="678"/>
      <c r="QQW33" s="678"/>
      <c r="QQX33" s="678"/>
      <c r="QQY33" s="678"/>
      <c r="QQZ33" s="678"/>
      <c r="QRA33" s="678"/>
      <c r="QRB33" s="678"/>
      <c r="QRC33" s="678"/>
      <c r="QRD33" s="678"/>
      <c r="QRE33" s="678"/>
      <c r="QRF33" s="678"/>
      <c r="QRG33" s="678"/>
      <c r="QRH33" s="678"/>
      <c r="QRI33" s="678"/>
      <c r="QRJ33" s="678"/>
      <c r="QRK33" s="678"/>
      <c r="QRL33" s="678"/>
      <c r="QRM33" s="678"/>
      <c r="QRN33" s="678"/>
      <c r="QRO33" s="678"/>
      <c r="QRP33" s="678"/>
      <c r="QRQ33" s="678"/>
      <c r="QRR33" s="678"/>
      <c r="QRS33" s="678"/>
      <c r="QRT33" s="678"/>
      <c r="QRU33" s="678"/>
      <c r="QRV33" s="678"/>
      <c r="QRW33" s="678"/>
      <c r="QRX33" s="678"/>
      <c r="QRY33" s="678"/>
      <c r="QRZ33" s="678"/>
      <c r="QSA33" s="678"/>
      <c r="QSB33" s="678"/>
      <c r="QSC33" s="678"/>
      <c r="QSD33" s="678"/>
      <c r="QSE33" s="678"/>
      <c r="QSF33" s="678"/>
      <c r="QSG33" s="678"/>
      <c r="QSH33" s="678"/>
      <c r="QSI33" s="678"/>
      <c r="QSJ33" s="678"/>
      <c r="QSK33" s="678"/>
      <c r="QSL33" s="678"/>
      <c r="QSM33" s="678"/>
      <c r="QSN33" s="678"/>
      <c r="QSO33" s="678"/>
      <c r="QSP33" s="678"/>
      <c r="QSQ33" s="678"/>
      <c r="QSR33" s="678"/>
      <c r="QSS33" s="678"/>
      <c r="QST33" s="678"/>
      <c r="QSU33" s="678"/>
      <c r="QSV33" s="678"/>
      <c r="QSW33" s="678"/>
      <c r="QSX33" s="678"/>
      <c r="QSY33" s="678"/>
      <c r="QSZ33" s="678"/>
      <c r="QTA33" s="678"/>
      <c r="QTB33" s="678"/>
      <c r="QTC33" s="678"/>
      <c r="QTD33" s="678"/>
      <c r="QTE33" s="678"/>
      <c r="QTF33" s="678"/>
      <c r="QTG33" s="678"/>
      <c r="QTH33" s="678"/>
      <c r="QTI33" s="678"/>
      <c r="QTJ33" s="678"/>
      <c r="QTK33" s="678"/>
      <c r="QTL33" s="678"/>
      <c r="QTM33" s="678"/>
      <c r="QTN33" s="678"/>
      <c r="QTO33" s="678"/>
      <c r="QTP33" s="678"/>
      <c r="QTQ33" s="678"/>
      <c r="QTR33" s="678"/>
      <c r="QTS33" s="678"/>
      <c r="QTT33" s="678"/>
      <c r="QTU33" s="678"/>
      <c r="QTV33" s="678"/>
      <c r="QTW33" s="678"/>
      <c r="QTX33" s="678"/>
      <c r="QTY33" s="678"/>
      <c r="QTZ33" s="678"/>
      <c r="QUA33" s="678"/>
      <c r="QUB33" s="678"/>
      <c r="QUC33" s="678"/>
      <c r="QUD33" s="678"/>
      <c r="QUE33" s="678"/>
      <c r="QUF33" s="678"/>
      <c r="QUG33" s="678"/>
      <c r="QUH33" s="678"/>
      <c r="QUI33" s="678"/>
      <c r="QUJ33" s="678"/>
      <c r="QUK33" s="678"/>
      <c r="QUL33" s="678"/>
      <c r="QUM33" s="678"/>
      <c r="QUN33" s="678"/>
      <c r="QUO33" s="678"/>
      <c r="QUP33" s="678"/>
      <c r="QUQ33" s="678"/>
      <c r="QUR33" s="678"/>
      <c r="QUS33" s="678"/>
      <c r="QUT33" s="678"/>
      <c r="QUU33" s="678"/>
      <c r="QUV33" s="678"/>
      <c r="QUW33" s="678"/>
      <c r="QUX33" s="678"/>
      <c r="QUY33" s="678"/>
      <c r="QUZ33" s="678"/>
      <c r="QVA33" s="678"/>
      <c r="QVB33" s="678"/>
      <c r="QVC33" s="678"/>
      <c r="QVD33" s="678"/>
      <c r="QVE33" s="678"/>
      <c r="QVF33" s="678"/>
      <c r="QVG33" s="678"/>
      <c r="QVH33" s="678"/>
      <c r="QVI33" s="678"/>
      <c r="QVJ33" s="678"/>
      <c r="QVK33" s="678"/>
      <c r="QVL33" s="678"/>
      <c r="QVM33" s="678"/>
      <c r="QVN33" s="678"/>
      <c r="QVO33" s="678"/>
      <c r="QVP33" s="678"/>
      <c r="QVQ33" s="678"/>
      <c r="QVR33" s="678"/>
      <c r="QVS33" s="678"/>
      <c r="QVT33" s="678"/>
      <c r="QVU33" s="678"/>
      <c r="QVV33" s="678"/>
      <c r="QVW33" s="678"/>
      <c r="QVX33" s="678"/>
      <c r="QVY33" s="678"/>
      <c r="QVZ33" s="678"/>
      <c r="QWA33" s="678"/>
      <c r="QWB33" s="678"/>
      <c r="QWC33" s="678"/>
      <c r="QWD33" s="678"/>
      <c r="QWE33" s="678"/>
      <c r="QWF33" s="678"/>
      <c r="QWG33" s="678"/>
      <c r="QWH33" s="678"/>
      <c r="QWI33" s="678"/>
      <c r="QWJ33" s="678"/>
      <c r="QWK33" s="678"/>
      <c r="QWL33" s="678"/>
      <c r="QWM33" s="678"/>
      <c r="QWN33" s="678"/>
      <c r="QWO33" s="678"/>
      <c r="QWP33" s="678"/>
      <c r="QWQ33" s="678"/>
      <c r="QWR33" s="678"/>
      <c r="QWS33" s="678"/>
      <c r="QWT33" s="678"/>
      <c r="QWU33" s="678"/>
      <c r="QWV33" s="678"/>
      <c r="QWW33" s="678"/>
      <c r="QWX33" s="678"/>
      <c r="QWY33" s="678"/>
      <c r="QWZ33" s="678"/>
      <c r="QXA33" s="678"/>
      <c r="QXB33" s="678"/>
      <c r="QXC33" s="678"/>
      <c r="QXD33" s="678"/>
      <c r="QXE33" s="678"/>
      <c r="QXF33" s="678"/>
      <c r="QXG33" s="678"/>
      <c r="QXH33" s="678"/>
      <c r="QXI33" s="678"/>
      <c r="QXJ33" s="678"/>
      <c r="QXK33" s="678"/>
      <c r="QXL33" s="678"/>
      <c r="QXM33" s="678"/>
      <c r="QXN33" s="678"/>
      <c r="QXO33" s="678"/>
      <c r="QXP33" s="678"/>
      <c r="QXQ33" s="678"/>
      <c r="QXR33" s="678"/>
      <c r="QXS33" s="678"/>
      <c r="QXT33" s="678"/>
      <c r="QXU33" s="678"/>
      <c r="QXV33" s="678"/>
      <c r="QXW33" s="678"/>
      <c r="QXX33" s="678"/>
      <c r="QXY33" s="678"/>
      <c r="QXZ33" s="678"/>
      <c r="QYA33" s="678"/>
      <c r="QYB33" s="678"/>
      <c r="QYC33" s="678"/>
      <c r="QYD33" s="678"/>
      <c r="QYE33" s="678"/>
      <c r="QYF33" s="678"/>
      <c r="QYG33" s="678"/>
      <c r="QYH33" s="678"/>
      <c r="QYI33" s="678"/>
      <c r="QYJ33" s="678"/>
      <c r="QYK33" s="678"/>
      <c r="QYL33" s="678"/>
      <c r="QYM33" s="678"/>
      <c r="QYN33" s="678"/>
      <c r="QYO33" s="678"/>
      <c r="QYP33" s="678"/>
      <c r="QYQ33" s="678"/>
      <c r="QYR33" s="678"/>
      <c r="QYS33" s="678"/>
      <c r="QYT33" s="678"/>
      <c r="QYU33" s="678"/>
      <c r="QYV33" s="678"/>
      <c r="QYW33" s="678"/>
      <c r="QYX33" s="678"/>
      <c r="QYY33" s="678"/>
      <c r="QYZ33" s="678"/>
      <c r="QZA33" s="678"/>
      <c r="QZB33" s="678"/>
      <c r="QZC33" s="678"/>
      <c r="QZD33" s="678"/>
      <c r="QZE33" s="678"/>
      <c r="QZF33" s="678"/>
      <c r="QZG33" s="678"/>
      <c r="QZH33" s="678"/>
      <c r="QZI33" s="678"/>
      <c r="QZJ33" s="678"/>
      <c r="QZK33" s="678"/>
      <c r="QZL33" s="678"/>
      <c r="QZM33" s="678"/>
      <c r="QZN33" s="678"/>
      <c r="QZO33" s="678"/>
      <c r="QZP33" s="678"/>
      <c r="QZQ33" s="678"/>
      <c r="QZR33" s="678"/>
      <c r="QZS33" s="678"/>
      <c r="QZT33" s="678"/>
      <c r="QZU33" s="678"/>
      <c r="QZV33" s="678"/>
      <c r="QZW33" s="678"/>
      <c r="QZX33" s="678"/>
      <c r="QZY33" s="678"/>
      <c r="QZZ33" s="678"/>
      <c r="RAA33" s="678"/>
      <c r="RAB33" s="678"/>
      <c r="RAC33" s="678"/>
      <c r="RAD33" s="678"/>
      <c r="RAE33" s="678"/>
      <c r="RAF33" s="678"/>
      <c r="RAG33" s="678"/>
      <c r="RAH33" s="678"/>
      <c r="RAI33" s="678"/>
      <c r="RAJ33" s="678"/>
      <c r="RAK33" s="678"/>
      <c r="RAL33" s="678"/>
      <c r="RAM33" s="678"/>
      <c r="RAN33" s="678"/>
      <c r="RAO33" s="678"/>
      <c r="RAP33" s="678"/>
      <c r="RAQ33" s="678"/>
      <c r="RAR33" s="678"/>
      <c r="RAS33" s="678"/>
      <c r="RAT33" s="678"/>
      <c r="RAU33" s="678"/>
      <c r="RAV33" s="678"/>
      <c r="RAW33" s="678"/>
      <c r="RAX33" s="678"/>
      <c r="RAY33" s="678"/>
      <c r="RAZ33" s="678"/>
      <c r="RBA33" s="678"/>
      <c r="RBB33" s="678"/>
      <c r="RBC33" s="678"/>
      <c r="RBD33" s="678"/>
      <c r="RBE33" s="678"/>
      <c r="RBF33" s="678"/>
      <c r="RBG33" s="678"/>
      <c r="RBH33" s="678"/>
      <c r="RBI33" s="678"/>
      <c r="RBJ33" s="678"/>
      <c r="RBK33" s="678"/>
      <c r="RBL33" s="678"/>
      <c r="RBM33" s="678"/>
      <c r="RBN33" s="678"/>
      <c r="RBO33" s="678"/>
      <c r="RBP33" s="678"/>
      <c r="RBQ33" s="678"/>
      <c r="RBR33" s="678"/>
      <c r="RBS33" s="678"/>
      <c r="RBT33" s="678"/>
      <c r="RBU33" s="678"/>
      <c r="RBV33" s="678"/>
      <c r="RBW33" s="678"/>
      <c r="RBX33" s="678"/>
      <c r="RBY33" s="678"/>
      <c r="RBZ33" s="678"/>
      <c r="RCA33" s="678"/>
      <c r="RCB33" s="678"/>
      <c r="RCC33" s="678"/>
      <c r="RCD33" s="678"/>
      <c r="RCE33" s="678"/>
      <c r="RCF33" s="678"/>
      <c r="RCG33" s="678"/>
      <c r="RCH33" s="678"/>
      <c r="RCI33" s="678"/>
      <c r="RCJ33" s="678"/>
      <c r="RCK33" s="678"/>
      <c r="RCL33" s="678"/>
      <c r="RCM33" s="678"/>
      <c r="RCN33" s="678"/>
      <c r="RCO33" s="678"/>
      <c r="RCP33" s="678"/>
      <c r="RCQ33" s="678"/>
      <c r="RCR33" s="678"/>
      <c r="RCS33" s="678"/>
      <c r="RCT33" s="678"/>
      <c r="RCU33" s="678"/>
      <c r="RCV33" s="678"/>
      <c r="RCW33" s="678"/>
      <c r="RCX33" s="678"/>
      <c r="RCY33" s="678"/>
      <c r="RCZ33" s="678"/>
      <c r="RDA33" s="678"/>
      <c r="RDB33" s="678"/>
      <c r="RDC33" s="678"/>
      <c r="RDD33" s="678"/>
      <c r="RDE33" s="678"/>
      <c r="RDF33" s="678"/>
      <c r="RDG33" s="678"/>
      <c r="RDH33" s="678"/>
      <c r="RDI33" s="678"/>
      <c r="RDJ33" s="678"/>
      <c r="RDK33" s="678"/>
      <c r="RDL33" s="678"/>
      <c r="RDM33" s="678"/>
      <c r="RDN33" s="678"/>
      <c r="RDO33" s="678"/>
      <c r="RDP33" s="678"/>
      <c r="RDQ33" s="678"/>
      <c r="RDR33" s="678"/>
      <c r="RDS33" s="678"/>
      <c r="RDT33" s="678"/>
      <c r="RDU33" s="678"/>
      <c r="RDV33" s="678"/>
      <c r="RDW33" s="678"/>
      <c r="RDX33" s="678"/>
      <c r="RDY33" s="678"/>
      <c r="RDZ33" s="678"/>
      <c r="REA33" s="678"/>
      <c r="REB33" s="678"/>
      <c r="REC33" s="678"/>
      <c r="RED33" s="678"/>
      <c r="REE33" s="678"/>
      <c r="REF33" s="678"/>
      <c r="REG33" s="678"/>
      <c r="REH33" s="678"/>
      <c r="REI33" s="678"/>
      <c r="REJ33" s="678"/>
      <c r="REK33" s="678"/>
      <c r="REL33" s="678"/>
      <c r="REM33" s="678"/>
      <c r="REN33" s="678"/>
      <c r="REO33" s="678"/>
      <c r="REP33" s="678"/>
      <c r="REQ33" s="678"/>
      <c r="RER33" s="678"/>
      <c r="RES33" s="678"/>
      <c r="RET33" s="678"/>
      <c r="REU33" s="678"/>
      <c r="REV33" s="678"/>
      <c r="REW33" s="678"/>
      <c r="REX33" s="678"/>
      <c r="REY33" s="678"/>
      <c r="REZ33" s="678"/>
      <c r="RFA33" s="678"/>
      <c r="RFB33" s="678"/>
      <c r="RFC33" s="678"/>
      <c r="RFD33" s="678"/>
      <c r="RFE33" s="678"/>
      <c r="RFF33" s="678"/>
      <c r="RFG33" s="678"/>
      <c r="RFH33" s="678"/>
      <c r="RFI33" s="678"/>
      <c r="RFJ33" s="678"/>
      <c r="RFK33" s="678"/>
      <c r="RFL33" s="678"/>
      <c r="RFM33" s="678"/>
      <c r="RFN33" s="678"/>
      <c r="RFO33" s="678"/>
      <c r="RFP33" s="678"/>
      <c r="RFQ33" s="678"/>
      <c r="RFR33" s="678"/>
      <c r="RFS33" s="678"/>
      <c r="RFT33" s="678"/>
      <c r="RFU33" s="678"/>
      <c r="RFV33" s="678"/>
      <c r="RFW33" s="678"/>
      <c r="RFX33" s="678"/>
      <c r="RFY33" s="678"/>
      <c r="RFZ33" s="678"/>
      <c r="RGA33" s="678"/>
      <c r="RGB33" s="678"/>
      <c r="RGC33" s="678"/>
      <c r="RGD33" s="678"/>
      <c r="RGE33" s="678"/>
      <c r="RGF33" s="678"/>
      <c r="RGG33" s="678"/>
      <c r="RGH33" s="678"/>
      <c r="RGI33" s="678"/>
      <c r="RGJ33" s="678"/>
      <c r="RGK33" s="678"/>
      <c r="RGL33" s="678"/>
      <c r="RGM33" s="678"/>
      <c r="RGN33" s="678"/>
      <c r="RGO33" s="678"/>
      <c r="RGP33" s="678"/>
      <c r="RGQ33" s="678"/>
      <c r="RGR33" s="678"/>
      <c r="RGS33" s="678"/>
      <c r="RGT33" s="678"/>
      <c r="RGU33" s="678"/>
      <c r="RGV33" s="678"/>
      <c r="RGW33" s="678"/>
      <c r="RGX33" s="678"/>
      <c r="RGY33" s="678"/>
      <c r="RGZ33" s="678"/>
      <c r="RHA33" s="678"/>
      <c r="RHB33" s="678"/>
      <c r="RHC33" s="678"/>
      <c r="RHD33" s="678"/>
      <c r="RHE33" s="678"/>
      <c r="RHF33" s="678"/>
      <c r="RHG33" s="678"/>
      <c r="RHH33" s="678"/>
      <c r="RHI33" s="678"/>
      <c r="RHJ33" s="678"/>
      <c r="RHK33" s="678"/>
      <c r="RHL33" s="678"/>
      <c r="RHM33" s="678"/>
      <c r="RHN33" s="678"/>
      <c r="RHO33" s="678"/>
      <c r="RHP33" s="678"/>
      <c r="RHQ33" s="678"/>
      <c r="RHR33" s="678"/>
      <c r="RHS33" s="678"/>
      <c r="RHT33" s="678"/>
      <c r="RHU33" s="678"/>
      <c r="RHV33" s="678"/>
      <c r="RHW33" s="678"/>
      <c r="RHX33" s="678"/>
      <c r="RHY33" s="678"/>
      <c r="RHZ33" s="678"/>
      <c r="RIA33" s="678"/>
      <c r="RIB33" s="678"/>
      <c r="RIC33" s="678"/>
      <c r="RID33" s="678"/>
      <c r="RIE33" s="678"/>
      <c r="RIF33" s="678"/>
      <c r="RIG33" s="678"/>
      <c r="RIH33" s="678"/>
      <c r="RII33" s="678"/>
      <c r="RIJ33" s="678"/>
      <c r="RIK33" s="678"/>
      <c r="RIL33" s="678"/>
      <c r="RIM33" s="678"/>
      <c r="RIN33" s="678"/>
      <c r="RIO33" s="678"/>
      <c r="RIP33" s="678"/>
      <c r="RIQ33" s="678"/>
      <c r="RIR33" s="678"/>
      <c r="RIS33" s="678"/>
      <c r="RIT33" s="678"/>
      <c r="RIU33" s="678"/>
      <c r="RIV33" s="678"/>
      <c r="RIW33" s="678"/>
      <c r="RIX33" s="678"/>
      <c r="RIY33" s="678"/>
      <c r="RIZ33" s="678"/>
      <c r="RJA33" s="678"/>
      <c r="RJB33" s="678"/>
      <c r="RJC33" s="678"/>
      <c r="RJD33" s="678"/>
      <c r="RJE33" s="678"/>
      <c r="RJF33" s="678"/>
      <c r="RJG33" s="678"/>
      <c r="RJH33" s="678"/>
      <c r="RJI33" s="678"/>
      <c r="RJJ33" s="678"/>
      <c r="RJK33" s="678"/>
      <c r="RJL33" s="678"/>
      <c r="RJM33" s="678"/>
      <c r="RJN33" s="678"/>
      <c r="RJO33" s="678"/>
      <c r="RJP33" s="678"/>
      <c r="RJQ33" s="678"/>
      <c r="RJR33" s="678"/>
      <c r="RJS33" s="678"/>
      <c r="RJT33" s="678"/>
      <c r="RJU33" s="678"/>
      <c r="RJV33" s="678"/>
      <c r="RJW33" s="678"/>
      <c r="RJX33" s="678"/>
      <c r="RJY33" s="678"/>
      <c r="RJZ33" s="678"/>
      <c r="RKA33" s="678"/>
      <c r="RKB33" s="678"/>
      <c r="RKC33" s="678"/>
      <c r="RKD33" s="678"/>
      <c r="RKE33" s="678"/>
      <c r="RKF33" s="678"/>
      <c r="RKG33" s="678"/>
      <c r="RKH33" s="678"/>
      <c r="RKI33" s="678"/>
      <c r="RKJ33" s="678"/>
      <c r="RKK33" s="678"/>
      <c r="RKL33" s="678"/>
      <c r="RKM33" s="678"/>
      <c r="RKN33" s="678"/>
      <c r="RKO33" s="678"/>
      <c r="RKP33" s="678"/>
      <c r="RKQ33" s="678"/>
      <c r="RKR33" s="678"/>
      <c r="RKS33" s="678"/>
      <c r="RKT33" s="678"/>
      <c r="RKU33" s="678"/>
      <c r="RKV33" s="678"/>
      <c r="RKW33" s="678"/>
      <c r="RKX33" s="678"/>
      <c r="RKY33" s="678"/>
      <c r="RKZ33" s="678"/>
      <c r="RLA33" s="678"/>
      <c r="RLB33" s="678"/>
      <c r="RLC33" s="678"/>
      <c r="RLD33" s="678"/>
      <c r="RLE33" s="678"/>
      <c r="RLF33" s="678"/>
      <c r="RLG33" s="678"/>
      <c r="RLH33" s="678"/>
      <c r="RLI33" s="678"/>
      <c r="RLJ33" s="678"/>
      <c r="RLK33" s="678"/>
      <c r="RLL33" s="678"/>
      <c r="RLM33" s="678"/>
      <c r="RLN33" s="678"/>
      <c r="RLO33" s="678"/>
      <c r="RLP33" s="678"/>
      <c r="RLQ33" s="678"/>
      <c r="RLR33" s="678"/>
      <c r="RLS33" s="678"/>
      <c r="RLT33" s="678"/>
      <c r="RLU33" s="678"/>
      <c r="RLV33" s="678"/>
      <c r="RLW33" s="678"/>
      <c r="RLX33" s="678"/>
      <c r="RLY33" s="678"/>
      <c r="RLZ33" s="678"/>
      <c r="RMA33" s="678"/>
      <c r="RMB33" s="678"/>
      <c r="RMC33" s="678"/>
      <c r="RMD33" s="678"/>
      <c r="RME33" s="678"/>
      <c r="RMF33" s="678"/>
      <c r="RMG33" s="678"/>
      <c r="RMH33" s="678"/>
      <c r="RMI33" s="678"/>
      <c r="RMJ33" s="678"/>
      <c r="RMK33" s="678"/>
      <c r="RML33" s="678"/>
      <c r="RMM33" s="678"/>
      <c r="RMN33" s="678"/>
      <c r="RMO33" s="678"/>
      <c r="RMP33" s="678"/>
      <c r="RMQ33" s="678"/>
      <c r="RMR33" s="678"/>
      <c r="RMS33" s="678"/>
      <c r="RMT33" s="678"/>
      <c r="RMU33" s="678"/>
      <c r="RMV33" s="678"/>
      <c r="RMW33" s="678"/>
      <c r="RMX33" s="678"/>
      <c r="RMY33" s="678"/>
      <c r="RMZ33" s="678"/>
      <c r="RNA33" s="678"/>
      <c r="RNB33" s="678"/>
      <c r="RNC33" s="678"/>
      <c r="RND33" s="678"/>
      <c r="RNE33" s="678"/>
      <c r="RNF33" s="678"/>
      <c r="RNG33" s="678"/>
      <c r="RNH33" s="678"/>
      <c r="RNI33" s="678"/>
      <c r="RNJ33" s="678"/>
      <c r="RNK33" s="678"/>
      <c r="RNL33" s="678"/>
      <c r="RNM33" s="678"/>
      <c r="RNN33" s="678"/>
      <c r="RNO33" s="678"/>
      <c r="RNP33" s="678"/>
      <c r="RNQ33" s="678"/>
      <c r="RNR33" s="678"/>
      <c r="RNS33" s="678"/>
      <c r="RNT33" s="678"/>
      <c r="RNU33" s="678"/>
      <c r="RNV33" s="678"/>
      <c r="RNW33" s="678"/>
      <c r="RNX33" s="678"/>
      <c r="RNY33" s="678"/>
      <c r="RNZ33" s="678"/>
      <c r="ROA33" s="678"/>
      <c r="ROB33" s="678"/>
      <c r="ROC33" s="678"/>
      <c r="ROD33" s="678"/>
      <c r="ROE33" s="678"/>
      <c r="ROF33" s="678"/>
      <c r="ROG33" s="678"/>
      <c r="ROH33" s="678"/>
      <c r="ROI33" s="678"/>
      <c r="ROJ33" s="678"/>
      <c r="ROK33" s="678"/>
      <c r="ROL33" s="678"/>
      <c r="ROM33" s="678"/>
      <c r="RON33" s="678"/>
      <c r="ROO33" s="678"/>
      <c r="ROP33" s="678"/>
      <c r="ROQ33" s="678"/>
      <c r="ROR33" s="678"/>
      <c r="ROS33" s="678"/>
      <c r="ROT33" s="678"/>
      <c r="ROU33" s="678"/>
      <c r="ROV33" s="678"/>
      <c r="ROW33" s="678"/>
      <c r="ROX33" s="678"/>
      <c r="ROY33" s="678"/>
      <c r="ROZ33" s="678"/>
      <c r="RPA33" s="678"/>
      <c r="RPB33" s="678"/>
      <c r="RPC33" s="678"/>
      <c r="RPD33" s="678"/>
      <c r="RPE33" s="678"/>
      <c r="RPF33" s="678"/>
      <c r="RPG33" s="678"/>
      <c r="RPH33" s="678"/>
      <c r="RPI33" s="678"/>
      <c r="RPJ33" s="678"/>
      <c r="RPK33" s="678"/>
      <c r="RPL33" s="678"/>
      <c r="RPM33" s="678"/>
      <c r="RPN33" s="678"/>
      <c r="RPO33" s="678"/>
      <c r="RPP33" s="678"/>
      <c r="RPQ33" s="678"/>
      <c r="RPR33" s="678"/>
      <c r="RPS33" s="678"/>
      <c r="RPT33" s="678"/>
      <c r="RPU33" s="678"/>
      <c r="RPV33" s="678"/>
      <c r="RPW33" s="678"/>
      <c r="RPX33" s="678"/>
      <c r="RPY33" s="678"/>
      <c r="RPZ33" s="678"/>
      <c r="RQA33" s="678"/>
      <c r="RQB33" s="678"/>
      <c r="RQC33" s="678"/>
      <c r="RQD33" s="678"/>
      <c r="RQE33" s="678"/>
      <c r="RQF33" s="678"/>
      <c r="RQG33" s="678"/>
      <c r="RQH33" s="678"/>
      <c r="RQI33" s="678"/>
      <c r="RQJ33" s="678"/>
      <c r="RQK33" s="678"/>
      <c r="RQL33" s="678"/>
      <c r="RQM33" s="678"/>
      <c r="RQN33" s="678"/>
      <c r="RQO33" s="678"/>
      <c r="RQP33" s="678"/>
      <c r="RQQ33" s="678"/>
      <c r="RQR33" s="678"/>
      <c r="RQS33" s="678"/>
      <c r="RQT33" s="678"/>
      <c r="RQU33" s="678"/>
      <c r="RQV33" s="678"/>
      <c r="RQW33" s="678"/>
      <c r="RQX33" s="678"/>
      <c r="RQY33" s="678"/>
      <c r="RQZ33" s="678"/>
      <c r="RRA33" s="678"/>
      <c r="RRB33" s="678"/>
      <c r="RRC33" s="678"/>
      <c r="RRD33" s="678"/>
      <c r="RRE33" s="678"/>
      <c r="RRF33" s="678"/>
      <c r="RRG33" s="678"/>
      <c r="RRH33" s="678"/>
      <c r="RRI33" s="678"/>
      <c r="RRJ33" s="678"/>
      <c r="RRK33" s="678"/>
      <c r="RRL33" s="678"/>
      <c r="RRM33" s="678"/>
      <c r="RRN33" s="678"/>
      <c r="RRO33" s="678"/>
      <c r="RRP33" s="678"/>
      <c r="RRQ33" s="678"/>
      <c r="RRR33" s="678"/>
      <c r="RRS33" s="678"/>
      <c r="RRT33" s="678"/>
      <c r="RRU33" s="678"/>
      <c r="RRV33" s="678"/>
      <c r="RRW33" s="678"/>
      <c r="RRX33" s="678"/>
      <c r="RRY33" s="678"/>
      <c r="RRZ33" s="678"/>
      <c r="RSA33" s="678"/>
      <c r="RSB33" s="678"/>
      <c r="RSC33" s="678"/>
      <c r="RSD33" s="678"/>
      <c r="RSE33" s="678"/>
      <c r="RSF33" s="678"/>
      <c r="RSG33" s="678"/>
      <c r="RSH33" s="678"/>
      <c r="RSI33" s="678"/>
      <c r="RSJ33" s="678"/>
      <c r="RSK33" s="678"/>
      <c r="RSL33" s="678"/>
      <c r="RSM33" s="678"/>
      <c r="RSN33" s="678"/>
      <c r="RSO33" s="678"/>
      <c r="RSP33" s="678"/>
      <c r="RSQ33" s="678"/>
      <c r="RSR33" s="678"/>
      <c r="RSS33" s="678"/>
      <c r="RST33" s="678"/>
      <c r="RSU33" s="678"/>
      <c r="RSV33" s="678"/>
      <c r="RSW33" s="678"/>
      <c r="RSX33" s="678"/>
      <c r="RSY33" s="678"/>
      <c r="RSZ33" s="678"/>
      <c r="RTA33" s="678"/>
      <c r="RTB33" s="678"/>
      <c r="RTC33" s="678"/>
      <c r="RTD33" s="678"/>
      <c r="RTE33" s="678"/>
      <c r="RTF33" s="678"/>
      <c r="RTG33" s="678"/>
      <c r="RTH33" s="678"/>
      <c r="RTI33" s="678"/>
      <c r="RTJ33" s="678"/>
      <c r="RTK33" s="678"/>
      <c r="RTL33" s="678"/>
      <c r="RTM33" s="678"/>
      <c r="RTN33" s="678"/>
      <c r="RTO33" s="678"/>
      <c r="RTP33" s="678"/>
      <c r="RTQ33" s="678"/>
      <c r="RTR33" s="678"/>
      <c r="RTS33" s="678"/>
      <c r="RTT33" s="678"/>
      <c r="RTU33" s="678"/>
      <c r="RTV33" s="678"/>
      <c r="RTW33" s="678"/>
      <c r="RTX33" s="678"/>
      <c r="RTY33" s="678"/>
      <c r="RTZ33" s="678"/>
      <c r="RUA33" s="678"/>
      <c r="RUB33" s="678"/>
      <c r="RUC33" s="678"/>
      <c r="RUD33" s="678"/>
      <c r="RUE33" s="678"/>
      <c r="RUF33" s="678"/>
      <c r="RUG33" s="678"/>
      <c r="RUH33" s="678"/>
      <c r="RUI33" s="678"/>
      <c r="RUJ33" s="678"/>
      <c r="RUK33" s="678"/>
      <c r="RUL33" s="678"/>
      <c r="RUM33" s="678"/>
      <c r="RUN33" s="678"/>
      <c r="RUO33" s="678"/>
      <c r="RUP33" s="678"/>
      <c r="RUQ33" s="678"/>
      <c r="RUR33" s="678"/>
      <c r="RUS33" s="678"/>
      <c r="RUT33" s="678"/>
      <c r="RUU33" s="678"/>
      <c r="RUV33" s="678"/>
      <c r="RUW33" s="678"/>
      <c r="RUX33" s="678"/>
      <c r="RUY33" s="678"/>
      <c r="RUZ33" s="678"/>
      <c r="RVA33" s="678"/>
      <c r="RVB33" s="678"/>
      <c r="RVC33" s="678"/>
      <c r="RVD33" s="678"/>
      <c r="RVE33" s="678"/>
      <c r="RVF33" s="678"/>
      <c r="RVG33" s="678"/>
      <c r="RVH33" s="678"/>
      <c r="RVI33" s="678"/>
      <c r="RVJ33" s="678"/>
      <c r="RVK33" s="678"/>
      <c r="RVL33" s="678"/>
      <c r="RVM33" s="678"/>
      <c r="RVN33" s="678"/>
      <c r="RVO33" s="678"/>
      <c r="RVP33" s="678"/>
      <c r="RVQ33" s="678"/>
      <c r="RVR33" s="678"/>
      <c r="RVS33" s="678"/>
      <c r="RVT33" s="678"/>
      <c r="RVU33" s="678"/>
      <c r="RVV33" s="678"/>
      <c r="RVW33" s="678"/>
      <c r="RVX33" s="678"/>
      <c r="RVY33" s="678"/>
      <c r="RVZ33" s="678"/>
      <c r="RWA33" s="678"/>
      <c r="RWB33" s="678"/>
      <c r="RWC33" s="678"/>
      <c r="RWD33" s="678"/>
      <c r="RWE33" s="678"/>
      <c r="RWF33" s="678"/>
      <c r="RWG33" s="678"/>
      <c r="RWH33" s="678"/>
      <c r="RWI33" s="678"/>
      <c r="RWJ33" s="678"/>
      <c r="RWK33" s="678"/>
      <c r="RWL33" s="678"/>
      <c r="RWM33" s="678"/>
      <c r="RWN33" s="678"/>
      <c r="RWO33" s="678"/>
      <c r="RWP33" s="678"/>
      <c r="RWQ33" s="678"/>
      <c r="RWR33" s="678"/>
      <c r="RWS33" s="678"/>
      <c r="RWT33" s="678"/>
      <c r="RWU33" s="678"/>
      <c r="RWV33" s="678"/>
      <c r="RWW33" s="678"/>
      <c r="RWX33" s="678"/>
      <c r="RWY33" s="678"/>
      <c r="RWZ33" s="678"/>
      <c r="RXA33" s="678"/>
      <c r="RXB33" s="678"/>
      <c r="RXC33" s="678"/>
      <c r="RXD33" s="678"/>
      <c r="RXE33" s="678"/>
      <c r="RXF33" s="678"/>
      <c r="RXG33" s="678"/>
      <c r="RXH33" s="678"/>
      <c r="RXI33" s="678"/>
      <c r="RXJ33" s="678"/>
      <c r="RXK33" s="678"/>
      <c r="RXL33" s="678"/>
      <c r="RXM33" s="678"/>
      <c r="RXN33" s="678"/>
      <c r="RXO33" s="678"/>
      <c r="RXP33" s="678"/>
      <c r="RXQ33" s="678"/>
      <c r="RXR33" s="678"/>
      <c r="RXS33" s="678"/>
      <c r="RXT33" s="678"/>
      <c r="RXU33" s="678"/>
      <c r="RXV33" s="678"/>
      <c r="RXW33" s="678"/>
      <c r="RXX33" s="678"/>
      <c r="RXY33" s="678"/>
      <c r="RXZ33" s="678"/>
      <c r="RYA33" s="678"/>
      <c r="RYB33" s="678"/>
      <c r="RYC33" s="678"/>
      <c r="RYD33" s="678"/>
      <c r="RYE33" s="678"/>
      <c r="RYF33" s="678"/>
      <c r="RYG33" s="678"/>
      <c r="RYH33" s="678"/>
      <c r="RYI33" s="678"/>
      <c r="RYJ33" s="678"/>
      <c r="RYK33" s="678"/>
      <c r="RYL33" s="678"/>
      <c r="RYM33" s="678"/>
      <c r="RYN33" s="678"/>
      <c r="RYO33" s="678"/>
      <c r="RYP33" s="678"/>
      <c r="RYQ33" s="678"/>
      <c r="RYR33" s="678"/>
      <c r="RYS33" s="678"/>
      <c r="RYT33" s="678"/>
      <c r="RYU33" s="678"/>
      <c r="RYV33" s="678"/>
      <c r="RYW33" s="678"/>
      <c r="RYX33" s="678"/>
      <c r="RYY33" s="678"/>
      <c r="RYZ33" s="678"/>
      <c r="RZA33" s="678"/>
      <c r="RZB33" s="678"/>
      <c r="RZC33" s="678"/>
      <c r="RZD33" s="678"/>
      <c r="RZE33" s="678"/>
      <c r="RZF33" s="678"/>
      <c r="RZG33" s="678"/>
      <c r="RZH33" s="678"/>
      <c r="RZI33" s="678"/>
      <c r="RZJ33" s="678"/>
      <c r="RZK33" s="678"/>
      <c r="RZL33" s="678"/>
      <c r="RZM33" s="678"/>
      <c r="RZN33" s="678"/>
      <c r="RZO33" s="678"/>
      <c r="RZP33" s="678"/>
      <c r="RZQ33" s="678"/>
      <c r="RZR33" s="678"/>
      <c r="RZS33" s="678"/>
      <c r="RZT33" s="678"/>
      <c r="RZU33" s="678"/>
      <c r="RZV33" s="678"/>
      <c r="RZW33" s="678"/>
      <c r="RZX33" s="678"/>
      <c r="RZY33" s="678"/>
      <c r="RZZ33" s="678"/>
      <c r="SAA33" s="678"/>
      <c r="SAB33" s="678"/>
      <c r="SAC33" s="678"/>
      <c r="SAD33" s="678"/>
      <c r="SAE33" s="678"/>
      <c r="SAF33" s="678"/>
      <c r="SAG33" s="678"/>
      <c r="SAH33" s="678"/>
      <c r="SAI33" s="678"/>
      <c r="SAJ33" s="678"/>
      <c r="SAK33" s="678"/>
      <c r="SAL33" s="678"/>
      <c r="SAM33" s="678"/>
      <c r="SAN33" s="678"/>
      <c r="SAO33" s="678"/>
      <c r="SAP33" s="678"/>
      <c r="SAQ33" s="678"/>
      <c r="SAR33" s="678"/>
      <c r="SAS33" s="678"/>
      <c r="SAT33" s="678"/>
      <c r="SAU33" s="678"/>
      <c r="SAV33" s="678"/>
      <c r="SAW33" s="678"/>
      <c r="SAX33" s="678"/>
      <c r="SAY33" s="678"/>
      <c r="SAZ33" s="678"/>
      <c r="SBA33" s="678"/>
      <c r="SBB33" s="678"/>
      <c r="SBC33" s="678"/>
      <c r="SBD33" s="678"/>
      <c r="SBE33" s="678"/>
      <c r="SBF33" s="678"/>
      <c r="SBG33" s="678"/>
      <c r="SBH33" s="678"/>
      <c r="SBI33" s="678"/>
      <c r="SBJ33" s="678"/>
      <c r="SBK33" s="678"/>
      <c r="SBL33" s="678"/>
      <c r="SBM33" s="678"/>
      <c r="SBN33" s="678"/>
      <c r="SBO33" s="678"/>
      <c r="SBP33" s="678"/>
      <c r="SBQ33" s="678"/>
      <c r="SBR33" s="678"/>
      <c r="SBS33" s="678"/>
      <c r="SBT33" s="678"/>
      <c r="SBU33" s="678"/>
      <c r="SBV33" s="678"/>
      <c r="SBW33" s="678"/>
      <c r="SBX33" s="678"/>
      <c r="SBY33" s="678"/>
      <c r="SBZ33" s="678"/>
      <c r="SCA33" s="678"/>
      <c r="SCB33" s="678"/>
      <c r="SCC33" s="678"/>
      <c r="SCD33" s="678"/>
      <c r="SCE33" s="678"/>
      <c r="SCF33" s="678"/>
      <c r="SCG33" s="678"/>
      <c r="SCH33" s="678"/>
      <c r="SCI33" s="678"/>
      <c r="SCJ33" s="678"/>
      <c r="SCK33" s="678"/>
      <c r="SCL33" s="678"/>
      <c r="SCM33" s="678"/>
      <c r="SCN33" s="678"/>
      <c r="SCO33" s="678"/>
      <c r="SCP33" s="678"/>
      <c r="SCQ33" s="678"/>
      <c r="SCR33" s="678"/>
      <c r="SCS33" s="678"/>
      <c r="SCT33" s="678"/>
      <c r="SCU33" s="678"/>
      <c r="SCV33" s="678"/>
      <c r="SCW33" s="678"/>
      <c r="SCX33" s="678"/>
      <c r="SCY33" s="678"/>
      <c r="SCZ33" s="678"/>
      <c r="SDA33" s="678"/>
      <c r="SDB33" s="678"/>
      <c r="SDC33" s="678"/>
      <c r="SDD33" s="678"/>
      <c r="SDE33" s="678"/>
      <c r="SDF33" s="678"/>
      <c r="SDG33" s="678"/>
      <c r="SDH33" s="678"/>
      <c r="SDI33" s="678"/>
      <c r="SDJ33" s="678"/>
      <c r="SDK33" s="678"/>
      <c r="SDL33" s="678"/>
      <c r="SDM33" s="678"/>
      <c r="SDN33" s="678"/>
      <c r="SDO33" s="678"/>
      <c r="SDP33" s="678"/>
      <c r="SDQ33" s="678"/>
      <c r="SDR33" s="678"/>
      <c r="SDS33" s="678"/>
      <c r="SDT33" s="678"/>
      <c r="SDU33" s="678"/>
      <c r="SDV33" s="678"/>
      <c r="SDW33" s="678"/>
      <c r="SDX33" s="678"/>
      <c r="SDY33" s="678"/>
      <c r="SDZ33" s="678"/>
      <c r="SEA33" s="678"/>
      <c r="SEB33" s="678"/>
      <c r="SEC33" s="678"/>
      <c r="SED33" s="678"/>
      <c r="SEE33" s="678"/>
      <c r="SEF33" s="678"/>
      <c r="SEG33" s="678"/>
      <c r="SEH33" s="678"/>
      <c r="SEI33" s="678"/>
      <c r="SEJ33" s="678"/>
      <c r="SEK33" s="678"/>
      <c r="SEL33" s="678"/>
      <c r="SEM33" s="678"/>
      <c r="SEN33" s="678"/>
      <c r="SEO33" s="678"/>
      <c r="SEP33" s="678"/>
      <c r="SEQ33" s="678"/>
      <c r="SER33" s="678"/>
      <c r="SES33" s="678"/>
      <c r="SET33" s="678"/>
      <c r="SEU33" s="678"/>
      <c r="SEV33" s="678"/>
      <c r="SEW33" s="678"/>
      <c r="SEX33" s="678"/>
      <c r="SEY33" s="678"/>
      <c r="SEZ33" s="678"/>
      <c r="SFA33" s="678"/>
      <c r="SFB33" s="678"/>
      <c r="SFC33" s="678"/>
      <c r="SFD33" s="678"/>
      <c r="SFE33" s="678"/>
      <c r="SFF33" s="678"/>
      <c r="SFG33" s="678"/>
      <c r="SFH33" s="678"/>
      <c r="SFI33" s="678"/>
      <c r="SFJ33" s="678"/>
      <c r="SFK33" s="678"/>
      <c r="SFL33" s="678"/>
      <c r="SFM33" s="678"/>
      <c r="SFN33" s="678"/>
      <c r="SFO33" s="678"/>
      <c r="SFP33" s="678"/>
      <c r="SFQ33" s="678"/>
      <c r="SFR33" s="678"/>
      <c r="SFS33" s="678"/>
      <c r="SFT33" s="678"/>
      <c r="SFU33" s="678"/>
      <c r="SFV33" s="678"/>
      <c r="SFW33" s="678"/>
      <c r="SFX33" s="678"/>
      <c r="SFY33" s="678"/>
      <c r="SFZ33" s="678"/>
      <c r="SGA33" s="678"/>
      <c r="SGB33" s="678"/>
      <c r="SGC33" s="678"/>
      <c r="SGD33" s="678"/>
      <c r="SGE33" s="678"/>
      <c r="SGF33" s="678"/>
      <c r="SGG33" s="678"/>
      <c r="SGH33" s="678"/>
      <c r="SGI33" s="678"/>
      <c r="SGJ33" s="678"/>
      <c r="SGK33" s="678"/>
      <c r="SGL33" s="678"/>
      <c r="SGM33" s="678"/>
      <c r="SGN33" s="678"/>
      <c r="SGO33" s="678"/>
      <c r="SGP33" s="678"/>
      <c r="SGQ33" s="678"/>
      <c r="SGR33" s="678"/>
      <c r="SGS33" s="678"/>
      <c r="SGT33" s="678"/>
      <c r="SGU33" s="678"/>
      <c r="SGV33" s="678"/>
      <c r="SGW33" s="678"/>
      <c r="SGX33" s="678"/>
      <c r="SGY33" s="678"/>
      <c r="SGZ33" s="678"/>
      <c r="SHA33" s="678"/>
      <c r="SHB33" s="678"/>
      <c r="SHC33" s="678"/>
      <c r="SHD33" s="678"/>
      <c r="SHE33" s="678"/>
      <c r="SHF33" s="678"/>
      <c r="SHG33" s="678"/>
      <c r="SHH33" s="678"/>
      <c r="SHI33" s="678"/>
      <c r="SHJ33" s="678"/>
      <c r="SHK33" s="678"/>
      <c r="SHL33" s="678"/>
      <c r="SHM33" s="678"/>
      <c r="SHN33" s="678"/>
      <c r="SHO33" s="678"/>
      <c r="SHP33" s="678"/>
      <c r="SHQ33" s="678"/>
      <c r="SHR33" s="678"/>
      <c r="SHS33" s="678"/>
      <c r="SHT33" s="678"/>
      <c r="SHU33" s="678"/>
      <c r="SHV33" s="678"/>
      <c r="SHW33" s="678"/>
      <c r="SHX33" s="678"/>
      <c r="SHY33" s="678"/>
      <c r="SHZ33" s="678"/>
      <c r="SIA33" s="678"/>
      <c r="SIB33" s="678"/>
      <c r="SIC33" s="678"/>
      <c r="SID33" s="678"/>
      <c r="SIE33" s="678"/>
      <c r="SIF33" s="678"/>
      <c r="SIG33" s="678"/>
      <c r="SIH33" s="678"/>
      <c r="SII33" s="678"/>
      <c r="SIJ33" s="678"/>
      <c r="SIK33" s="678"/>
      <c r="SIL33" s="678"/>
      <c r="SIM33" s="678"/>
      <c r="SIN33" s="678"/>
      <c r="SIO33" s="678"/>
      <c r="SIP33" s="678"/>
      <c r="SIQ33" s="678"/>
      <c r="SIR33" s="678"/>
      <c r="SIS33" s="678"/>
      <c r="SIT33" s="678"/>
      <c r="SIU33" s="678"/>
      <c r="SIV33" s="678"/>
      <c r="SIW33" s="678"/>
      <c r="SIX33" s="678"/>
      <c r="SIY33" s="678"/>
      <c r="SIZ33" s="678"/>
      <c r="SJA33" s="678"/>
      <c r="SJB33" s="678"/>
      <c r="SJC33" s="678"/>
      <c r="SJD33" s="678"/>
      <c r="SJE33" s="678"/>
      <c r="SJF33" s="678"/>
      <c r="SJG33" s="678"/>
      <c r="SJH33" s="678"/>
      <c r="SJI33" s="678"/>
      <c r="SJJ33" s="678"/>
      <c r="SJK33" s="678"/>
      <c r="SJL33" s="678"/>
      <c r="SJM33" s="678"/>
      <c r="SJN33" s="678"/>
      <c r="SJO33" s="678"/>
      <c r="SJP33" s="678"/>
      <c r="SJQ33" s="678"/>
      <c r="SJR33" s="678"/>
      <c r="SJS33" s="678"/>
      <c r="SJT33" s="678"/>
      <c r="SJU33" s="678"/>
      <c r="SJV33" s="678"/>
      <c r="SJW33" s="678"/>
      <c r="SJX33" s="678"/>
      <c r="SJY33" s="678"/>
      <c r="SJZ33" s="678"/>
      <c r="SKA33" s="678"/>
      <c r="SKB33" s="678"/>
      <c r="SKC33" s="678"/>
      <c r="SKD33" s="678"/>
      <c r="SKE33" s="678"/>
      <c r="SKF33" s="678"/>
      <c r="SKG33" s="678"/>
      <c r="SKH33" s="678"/>
      <c r="SKI33" s="678"/>
      <c r="SKJ33" s="678"/>
      <c r="SKK33" s="678"/>
      <c r="SKL33" s="678"/>
      <c r="SKM33" s="678"/>
      <c r="SKN33" s="678"/>
      <c r="SKO33" s="678"/>
      <c r="SKP33" s="678"/>
      <c r="SKQ33" s="678"/>
      <c r="SKR33" s="678"/>
      <c r="SKS33" s="678"/>
      <c r="SKT33" s="678"/>
      <c r="SKU33" s="678"/>
      <c r="SKV33" s="678"/>
      <c r="SKW33" s="678"/>
      <c r="SKX33" s="678"/>
      <c r="SKY33" s="678"/>
      <c r="SKZ33" s="678"/>
      <c r="SLA33" s="678"/>
      <c r="SLB33" s="678"/>
      <c r="SLC33" s="678"/>
      <c r="SLD33" s="678"/>
      <c r="SLE33" s="678"/>
      <c r="SLF33" s="678"/>
      <c r="SLG33" s="678"/>
      <c r="SLH33" s="678"/>
      <c r="SLI33" s="678"/>
      <c r="SLJ33" s="678"/>
      <c r="SLK33" s="678"/>
      <c r="SLL33" s="678"/>
      <c r="SLM33" s="678"/>
      <c r="SLN33" s="678"/>
      <c r="SLO33" s="678"/>
      <c r="SLP33" s="678"/>
      <c r="SLQ33" s="678"/>
      <c r="SLR33" s="678"/>
      <c r="SLS33" s="678"/>
      <c r="SLT33" s="678"/>
      <c r="SLU33" s="678"/>
      <c r="SLV33" s="678"/>
      <c r="SLW33" s="678"/>
      <c r="SLX33" s="678"/>
      <c r="SLY33" s="678"/>
      <c r="SLZ33" s="678"/>
      <c r="SMA33" s="678"/>
      <c r="SMB33" s="678"/>
      <c r="SMC33" s="678"/>
      <c r="SMD33" s="678"/>
      <c r="SME33" s="678"/>
      <c r="SMF33" s="678"/>
      <c r="SMG33" s="678"/>
      <c r="SMH33" s="678"/>
      <c r="SMI33" s="678"/>
      <c r="SMJ33" s="678"/>
      <c r="SMK33" s="678"/>
      <c r="SML33" s="678"/>
      <c r="SMM33" s="678"/>
      <c r="SMN33" s="678"/>
      <c r="SMO33" s="678"/>
      <c r="SMP33" s="678"/>
      <c r="SMQ33" s="678"/>
      <c r="SMR33" s="678"/>
      <c r="SMS33" s="678"/>
      <c r="SMT33" s="678"/>
      <c r="SMU33" s="678"/>
      <c r="SMV33" s="678"/>
      <c r="SMW33" s="678"/>
      <c r="SMX33" s="678"/>
      <c r="SMY33" s="678"/>
      <c r="SMZ33" s="678"/>
      <c r="SNA33" s="678"/>
      <c r="SNB33" s="678"/>
      <c r="SNC33" s="678"/>
      <c r="SND33" s="678"/>
      <c r="SNE33" s="678"/>
      <c r="SNF33" s="678"/>
      <c r="SNG33" s="678"/>
      <c r="SNH33" s="678"/>
      <c r="SNI33" s="678"/>
      <c r="SNJ33" s="678"/>
      <c r="SNK33" s="678"/>
      <c r="SNL33" s="678"/>
      <c r="SNM33" s="678"/>
      <c r="SNN33" s="678"/>
      <c r="SNO33" s="678"/>
      <c r="SNP33" s="678"/>
      <c r="SNQ33" s="678"/>
      <c r="SNR33" s="678"/>
      <c r="SNS33" s="678"/>
      <c r="SNT33" s="678"/>
      <c r="SNU33" s="678"/>
      <c r="SNV33" s="678"/>
      <c r="SNW33" s="678"/>
      <c r="SNX33" s="678"/>
      <c r="SNY33" s="678"/>
      <c r="SNZ33" s="678"/>
      <c r="SOA33" s="678"/>
      <c r="SOB33" s="678"/>
      <c r="SOC33" s="678"/>
      <c r="SOD33" s="678"/>
      <c r="SOE33" s="678"/>
      <c r="SOF33" s="678"/>
      <c r="SOG33" s="678"/>
      <c r="SOH33" s="678"/>
      <c r="SOI33" s="678"/>
      <c r="SOJ33" s="678"/>
      <c r="SOK33" s="678"/>
      <c r="SOL33" s="678"/>
      <c r="SOM33" s="678"/>
      <c r="SON33" s="678"/>
      <c r="SOO33" s="678"/>
      <c r="SOP33" s="678"/>
      <c r="SOQ33" s="678"/>
      <c r="SOR33" s="678"/>
      <c r="SOS33" s="678"/>
      <c r="SOT33" s="678"/>
      <c r="SOU33" s="678"/>
      <c r="SOV33" s="678"/>
      <c r="SOW33" s="678"/>
      <c r="SOX33" s="678"/>
      <c r="SOY33" s="678"/>
      <c r="SOZ33" s="678"/>
      <c r="SPA33" s="678"/>
      <c r="SPB33" s="678"/>
      <c r="SPC33" s="678"/>
      <c r="SPD33" s="678"/>
      <c r="SPE33" s="678"/>
      <c r="SPF33" s="678"/>
      <c r="SPG33" s="678"/>
      <c r="SPH33" s="678"/>
      <c r="SPI33" s="678"/>
      <c r="SPJ33" s="678"/>
      <c r="SPK33" s="678"/>
      <c r="SPL33" s="678"/>
      <c r="SPM33" s="678"/>
      <c r="SPN33" s="678"/>
      <c r="SPO33" s="678"/>
      <c r="SPP33" s="678"/>
      <c r="SPQ33" s="678"/>
      <c r="SPR33" s="678"/>
      <c r="SPS33" s="678"/>
      <c r="SPT33" s="678"/>
      <c r="SPU33" s="678"/>
      <c r="SPV33" s="678"/>
      <c r="SPW33" s="678"/>
      <c r="SPX33" s="678"/>
      <c r="SPY33" s="678"/>
      <c r="SPZ33" s="678"/>
      <c r="SQA33" s="678"/>
      <c r="SQB33" s="678"/>
      <c r="SQC33" s="678"/>
      <c r="SQD33" s="678"/>
      <c r="SQE33" s="678"/>
      <c r="SQF33" s="678"/>
      <c r="SQG33" s="678"/>
      <c r="SQH33" s="678"/>
      <c r="SQI33" s="678"/>
      <c r="SQJ33" s="678"/>
      <c r="SQK33" s="678"/>
      <c r="SQL33" s="678"/>
      <c r="SQM33" s="678"/>
      <c r="SQN33" s="678"/>
      <c r="SQO33" s="678"/>
      <c r="SQP33" s="678"/>
      <c r="SQQ33" s="678"/>
      <c r="SQR33" s="678"/>
      <c r="SQS33" s="678"/>
      <c r="SQT33" s="678"/>
      <c r="SQU33" s="678"/>
      <c r="SQV33" s="678"/>
      <c r="SQW33" s="678"/>
      <c r="SQX33" s="678"/>
      <c r="SQY33" s="678"/>
      <c r="SQZ33" s="678"/>
      <c r="SRA33" s="678"/>
      <c r="SRB33" s="678"/>
      <c r="SRC33" s="678"/>
      <c r="SRD33" s="678"/>
      <c r="SRE33" s="678"/>
      <c r="SRF33" s="678"/>
      <c r="SRG33" s="678"/>
      <c r="SRH33" s="678"/>
      <c r="SRI33" s="678"/>
      <c r="SRJ33" s="678"/>
      <c r="SRK33" s="678"/>
      <c r="SRL33" s="678"/>
      <c r="SRM33" s="678"/>
      <c r="SRN33" s="678"/>
      <c r="SRO33" s="678"/>
      <c r="SRP33" s="678"/>
      <c r="SRQ33" s="678"/>
      <c r="SRR33" s="678"/>
      <c r="SRS33" s="678"/>
      <c r="SRT33" s="678"/>
      <c r="SRU33" s="678"/>
      <c r="SRV33" s="678"/>
      <c r="SRW33" s="678"/>
      <c r="SRX33" s="678"/>
      <c r="SRY33" s="678"/>
      <c r="SRZ33" s="678"/>
      <c r="SSA33" s="678"/>
      <c r="SSB33" s="678"/>
      <c r="SSC33" s="678"/>
      <c r="SSD33" s="678"/>
      <c r="SSE33" s="678"/>
      <c r="SSF33" s="678"/>
      <c r="SSG33" s="678"/>
      <c r="SSH33" s="678"/>
      <c r="SSI33" s="678"/>
      <c r="SSJ33" s="678"/>
      <c r="SSK33" s="678"/>
      <c r="SSL33" s="678"/>
      <c r="SSM33" s="678"/>
      <c r="SSN33" s="678"/>
      <c r="SSO33" s="678"/>
      <c r="SSP33" s="678"/>
      <c r="SSQ33" s="678"/>
      <c r="SSR33" s="678"/>
      <c r="SSS33" s="678"/>
      <c r="SST33" s="678"/>
      <c r="SSU33" s="678"/>
      <c r="SSV33" s="678"/>
      <c r="SSW33" s="678"/>
      <c r="SSX33" s="678"/>
      <c r="SSY33" s="678"/>
      <c r="SSZ33" s="678"/>
      <c r="STA33" s="678"/>
      <c r="STB33" s="678"/>
      <c r="STC33" s="678"/>
      <c r="STD33" s="678"/>
      <c r="STE33" s="678"/>
      <c r="STF33" s="678"/>
      <c r="STG33" s="678"/>
      <c r="STH33" s="678"/>
      <c r="STI33" s="678"/>
      <c r="STJ33" s="678"/>
      <c r="STK33" s="678"/>
      <c r="STL33" s="678"/>
      <c r="STM33" s="678"/>
      <c r="STN33" s="678"/>
      <c r="STO33" s="678"/>
      <c r="STP33" s="678"/>
      <c r="STQ33" s="678"/>
      <c r="STR33" s="678"/>
      <c r="STS33" s="678"/>
      <c r="STT33" s="678"/>
      <c r="STU33" s="678"/>
      <c r="STV33" s="678"/>
      <c r="STW33" s="678"/>
      <c r="STX33" s="678"/>
      <c r="STY33" s="678"/>
      <c r="STZ33" s="678"/>
      <c r="SUA33" s="678"/>
      <c r="SUB33" s="678"/>
      <c r="SUC33" s="678"/>
      <c r="SUD33" s="678"/>
      <c r="SUE33" s="678"/>
      <c r="SUF33" s="678"/>
      <c r="SUG33" s="678"/>
      <c r="SUH33" s="678"/>
      <c r="SUI33" s="678"/>
      <c r="SUJ33" s="678"/>
      <c r="SUK33" s="678"/>
      <c r="SUL33" s="678"/>
      <c r="SUM33" s="678"/>
      <c r="SUN33" s="678"/>
      <c r="SUO33" s="678"/>
      <c r="SUP33" s="678"/>
      <c r="SUQ33" s="678"/>
      <c r="SUR33" s="678"/>
      <c r="SUS33" s="678"/>
      <c r="SUT33" s="678"/>
      <c r="SUU33" s="678"/>
      <c r="SUV33" s="678"/>
      <c r="SUW33" s="678"/>
      <c r="SUX33" s="678"/>
      <c r="SUY33" s="678"/>
      <c r="SUZ33" s="678"/>
      <c r="SVA33" s="678"/>
      <c r="SVB33" s="678"/>
      <c r="SVC33" s="678"/>
      <c r="SVD33" s="678"/>
      <c r="SVE33" s="678"/>
      <c r="SVF33" s="678"/>
      <c r="SVG33" s="678"/>
      <c r="SVH33" s="678"/>
      <c r="SVI33" s="678"/>
      <c r="SVJ33" s="678"/>
      <c r="SVK33" s="678"/>
      <c r="SVL33" s="678"/>
      <c r="SVM33" s="678"/>
      <c r="SVN33" s="678"/>
      <c r="SVO33" s="678"/>
      <c r="SVP33" s="678"/>
      <c r="SVQ33" s="678"/>
      <c r="SVR33" s="678"/>
      <c r="SVS33" s="678"/>
      <c r="SVT33" s="678"/>
      <c r="SVU33" s="678"/>
      <c r="SVV33" s="678"/>
      <c r="SVW33" s="678"/>
      <c r="SVX33" s="678"/>
      <c r="SVY33" s="678"/>
      <c r="SVZ33" s="678"/>
      <c r="SWA33" s="678"/>
      <c r="SWB33" s="678"/>
      <c r="SWC33" s="678"/>
      <c r="SWD33" s="678"/>
      <c r="SWE33" s="678"/>
      <c r="SWF33" s="678"/>
      <c r="SWG33" s="678"/>
      <c r="SWH33" s="678"/>
      <c r="SWI33" s="678"/>
      <c r="SWJ33" s="678"/>
      <c r="SWK33" s="678"/>
      <c r="SWL33" s="678"/>
      <c r="SWM33" s="678"/>
      <c r="SWN33" s="678"/>
      <c r="SWO33" s="678"/>
      <c r="SWP33" s="678"/>
      <c r="SWQ33" s="678"/>
      <c r="SWR33" s="678"/>
      <c r="SWS33" s="678"/>
      <c r="SWT33" s="678"/>
      <c r="SWU33" s="678"/>
      <c r="SWV33" s="678"/>
      <c r="SWW33" s="678"/>
      <c r="SWX33" s="678"/>
      <c r="SWY33" s="678"/>
      <c r="SWZ33" s="678"/>
      <c r="SXA33" s="678"/>
      <c r="SXB33" s="678"/>
      <c r="SXC33" s="678"/>
      <c r="SXD33" s="678"/>
      <c r="SXE33" s="678"/>
      <c r="SXF33" s="678"/>
      <c r="SXG33" s="678"/>
      <c r="SXH33" s="678"/>
      <c r="SXI33" s="678"/>
      <c r="SXJ33" s="678"/>
      <c r="SXK33" s="678"/>
      <c r="SXL33" s="678"/>
      <c r="SXM33" s="678"/>
      <c r="SXN33" s="678"/>
      <c r="SXO33" s="678"/>
      <c r="SXP33" s="678"/>
      <c r="SXQ33" s="678"/>
      <c r="SXR33" s="678"/>
      <c r="SXS33" s="678"/>
      <c r="SXT33" s="678"/>
      <c r="SXU33" s="678"/>
      <c r="SXV33" s="678"/>
      <c r="SXW33" s="678"/>
      <c r="SXX33" s="678"/>
      <c r="SXY33" s="678"/>
      <c r="SXZ33" s="678"/>
      <c r="SYA33" s="678"/>
      <c r="SYB33" s="678"/>
      <c r="SYC33" s="678"/>
      <c r="SYD33" s="678"/>
      <c r="SYE33" s="678"/>
      <c r="SYF33" s="678"/>
      <c r="SYG33" s="678"/>
      <c r="SYH33" s="678"/>
      <c r="SYI33" s="678"/>
      <c r="SYJ33" s="678"/>
      <c r="SYK33" s="678"/>
      <c r="SYL33" s="678"/>
      <c r="SYM33" s="678"/>
      <c r="SYN33" s="678"/>
      <c r="SYO33" s="678"/>
      <c r="SYP33" s="678"/>
      <c r="SYQ33" s="678"/>
      <c r="SYR33" s="678"/>
      <c r="SYS33" s="678"/>
      <c r="SYT33" s="678"/>
      <c r="SYU33" s="678"/>
      <c r="SYV33" s="678"/>
      <c r="SYW33" s="678"/>
      <c r="SYX33" s="678"/>
      <c r="SYY33" s="678"/>
      <c r="SYZ33" s="678"/>
      <c r="SZA33" s="678"/>
      <c r="SZB33" s="678"/>
      <c r="SZC33" s="678"/>
      <c r="SZD33" s="678"/>
      <c r="SZE33" s="678"/>
      <c r="SZF33" s="678"/>
      <c r="SZG33" s="678"/>
      <c r="SZH33" s="678"/>
      <c r="SZI33" s="678"/>
      <c r="SZJ33" s="678"/>
      <c r="SZK33" s="678"/>
      <c r="SZL33" s="678"/>
      <c r="SZM33" s="678"/>
      <c r="SZN33" s="678"/>
      <c r="SZO33" s="678"/>
      <c r="SZP33" s="678"/>
      <c r="SZQ33" s="678"/>
      <c r="SZR33" s="678"/>
      <c r="SZS33" s="678"/>
      <c r="SZT33" s="678"/>
      <c r="SZU33" s="678"/>
      <c r="SZV33" s="678"/>
      <c r="SZW33" s="678"/>
      <c r="SZX33" s="678"/>
      <c r="SZY33" s="678"/>
      <c r="SZZ33" s="678"/>
      <c r="TAA33" s="678"/>
      <c r="TAB33" s="678"/>
      <c r="TAC33" s="678"/>
      <c r="TAD33" s="678"/>
      <c r="TAE33" s="678"/>
      <c r="TAF33" s="678"/>
      <c r="TAG33" s="678"/>
      <c r="TAH33" s="678"/>
      <c r="TAI33" s="678"/>
      <c r="TAJ33" s="678"/>
      <c r="TAK33" s="678"/>
      <c r="TAL33" s="678"/>
      <c r="TAM33" s="678"/>
      <c r="TAN33" s="678"/>
      <c r="TAO33" s="678"/>
      <c r="TAP33" s="678"/>
      <c r="TAQ33" s="678"/>
      <c r="TAR33" s="678"/>
      <c r="TAS33" s="678"/>
      <c r="TAT33" s="678"/>
      <c r="TAU33" s="678"/>
      <c r="TAV33" s="678"/>
      <c r="TAW33" s="678"/>
      <c r="TAX33" s="678"/>
      <c r="TAY33" s="678"/>
      <c r="TAZ33" s="678"/>
      <c r="TBA33" s="678"/>
      <c r="TBB33" s="678"/>
      <c r="TBC33" s="678"/>
      <c r="TBD33" s="678"/>
      <c r="TBE33" s="678"/>
      <c r="TBF33" s="678"/>
      <c r="TBG33" s="678"/>
      <c r="TBH33" s="678"/>
      <c r="TBI33" s="678"/>
      <c r="TBJ33" s="678"/>
      <c r="TBK33" s="678"/>
      <c r="TBL33" s="678"/>
      <c r="TBM33" s="678"/>
      <c r="TBN33" s="678"/>
      <c r="TBO33" s="678"/>
      <c r="TBP33" s="678"/>
      <c r="TBQ33" s="678"/>
      <c r="TBR33" s="678"/>
      <c r="TBS33" s="678"/>
      <c r="TBT33" s="678"/>
      <c r="TBU33" s="678"/>
      <c r="TBV33" s="678"/>
      <c r="TBW33" s="678"/>
      <c r="TBX33" s="678"/>
      <c r="TBY33" s="678"/>
      <c r="TBZ33" s="678"/>
      <c r="TCA33" s="678"/>
      <c r="TCB33" s="678"/>
      <c r="TCC33" s="678"/>
      <c r="TCD33" s="678"/>
      <c r="TCE33" s="678"/>
      <c r="TCF33" s="678"/>
      <c r="TCG33" s="678"/>
      <c r="TCH33" s="678"/>
      <c r="TCI33" s="678"/>
      <c r="TCJ33" s="678"/>
      <c r="TCK33" s="678"/>
      <c r="TCL33" s="678"/>
      <c r="TCM33" s="678"/>
      <c r="TCN33" s="678"/>
      <c r="TCO33" s="678"/>
      <c r="TCP33" s="678"/>
      <c r="TCQ33" s="678"/>
      <c r="TCR33" s="678"/>
      <c r="TCS33" s="678"/>
      <c r="TCT33" s="678"/>
      <c r="TCU33" s="678"/>
      <c r="TCV33" s="678"/>
      <c r="TCW33" s="678"/>
      <c r="TCX33" s="678"/>
      <c r="TCY33" s="678"/>
      <c r="TCZ33" s="678"/>
      <c r="TDA33" s="678"/>
      <c r="TDB33" s="678"/>
      <c r="TDC33" s="678"/>
      <c r="TDD33" s="678"/>
      <c r="TDE33" s="678"/>
      <c r="TDF33" s="678"/>
      <c r="TDG33" s="678"/>
      <c r="TDH33" s="678"/>
      <c r="TDI33" s="678"/>
      <c r="TDJ33" s="678"/>
      <c r="TDK33" s="678"/>
      <c r="TDL33" s="678"/>
      <c r="TDM33" s="678"/>
      <c r="TDN33" s="678"/>
      <c r="TDO33" s="678"/>
      <c r="TDP33" s="678"/>
      <c r="TDQ33" s="678"/>
      <c r="TDR33" s="678"/>
      <c r="TDS33" s="678"/>
      <c r="TDT33" s="678"/>
      <c r="TDU33" s="678"/>
      <c r="TDV33" s="678"/>
      <c r="TDW33" s="678"/>
      <c r="TDX33" s="678"/>
      <c r="TDY33" s="678"/>
      <c r="TDZ33" s="678"/>
      <c r="TEA33" s="678"/>
      <c r="TEB33" s="678"/>
      <c r="TEC33" s="678"/>
      <c r="TED33" s="678"/>
      <c r="TEE33" s="678"/>
      <c r="TEF33" s="678"/>
      <c r="TEG33" s="678"/>
      <c r="TEH33" s="678"/>
      <c r="TEI33" s="678"/>
      <c r="TEJ33" s="678"/>
      <c r="TEK33" s="678"/>
      <c r="TEL33" s="678"/>
      <c r="TEM33" s="678"/>
      <c r="TEN33" s="678"/>
      <c r="TEO33" s="678"/>
      <c r="TEP33" s="678"/>
      <c r="TEQ33" s="678"/>
      <c r="TER33" s="678"/>
      <c r="TES33" s="678"/>
      <c r="TET33" s="678"/>
      <c r="TEU33" s="678"/>
      <c r="TEV33" s="678"/>
      <c r="TEW33" s="678"/>
      <c r="TEX33" s="678"/>
      <c r="TEY33" s="678"/>
      <c r="TEZ33" s="678"/>
      <c r="TFA33" s="678"/>
      <c r="TFB33" s="678"/>
      <c r="TFC33" s="678"/>
      <c r="TFD33" s="678"/>
      <c r="TFE33" s="678"/>
      <c r="TFF33" s="678"/>
      <c r="TFG33" s="678"/>
      <c r="TFH33" s="678"/>
      <c r="TFI33" s="678"/>
      <c r="TFJ33" s="678"/>
      <c r="TFK33" s="678"/>
      <c r="TFL33" s="678"/>
      <c r="TFM33" s="678"/>
      <c r="TFN33" s="678"/>
      <c r="TFO33" s="678"/>
      <c r="TFP33" s="678"/>
      <c r="TFQ33" s="678"/>
      <c r="TFR33" s="678"/>
      <c r="TFS33" s="678"/>
      <c r="TFT33" s="678"/>
      <c r="TFU33" s="678"/>
      <c r="TFV33" s="678"/>
      <c r="TFW33" s="678"/>
      <c r="TFX33" s="678"/>
      <c r="TFY33" s="678"/>
      <c r="TFZ33" s="678"/>
      <c r="TGA33" s="678"/>
      <c r="TGB33" s="678"/>
      <c r="TGC33" s="678"/>
      <c r="TGD33" s="678"/>
      <c r="TGE33" s="678"/>
      <c r="TGF33" s="678"/>
      <c r="TGG33" s="678"/>
      <c r="TGH33" s="678"/>
      <c r="TGI33" s="678"/>
      <c r="TGJ33" s="678"/>
      <c r="TGK33" s="678"/>
      <c r="TGL33" s="678"/>
      <c r="TGM33" s="678"/>
      <c r="TGN33" s="678"/>
      <c r="TGO33" s="678"/>
      <c r="TGP33" s="678"/>
      <c r="TGQ33" s="678"/>
      <c r="TGR33" s="678"/>
      <c r="TGS33" s="678"/>
      <c r="TGT33" s="678"/>
      <c r="TGU33" s="678"/>
      <c r="TGV33" s="678"/>
      <c r="TGW33" s="678"/>
      <c r="TGX33" s="678"/>
      <c r="TGY33" s="678"/>
      <c r="TGZ33" s="678"/>
      <c r="THA33" s="678"/>
      <c r="THB33" s="678"/>
      <c r="THC33" s="678"/>
      <c r="THD33" s="678"/>
      <c r="THE33" s="678"/>
      <c r="THF33" s="678"/>
      <c r="THG33" s="678"/>
      <c r="THH33" s="678"/>
      <c r="THI33" s="678"/>
      <c r="THJ33" s="678"/>
      <c r="THK33" s="678"/>
      <c r="THL33" s="678"/>
      <c r="THM33" s="678"/>
      <c r="THN33" s="678"/>
      <c r="THO33" s="678"/>
      <c r="THP33" s="678"/>
      <c r="THQ33" s="678"/>
      <c r="THR33" s="678"/>
      <c r="THS33" s="678"/>
      <c r="THT33" s="678"/>
      <c r="THU33" s="678"/>
      <c r="THV33" s="678"/>
      <c r="THW33" s="678"/>
      <c r="THX33" s="678"/>
      <c r="THY33" s="678"/>
      <c r="THZ33" s="678"/>
      <c r="TIA33" s="678"/>
      <c r="TIB33" s="678"/>
      <c r="TIC33" s="678"/>
      <c r="TID33" s="678"/>
      <c r="TIE33" s="678"/>
      <c r="TIF33" s="678"/>
      <c r="TIG33" s="678"/>
      <c r="TIH33" s="678"/>
      <c r="TII33" s="678"/>
      <c r="TIJ33" s="678"/>
      <c r="TIK33" s="678"/>
      <c r="TIL33" s="678"/>
      <c r="TIM33" s="678"/>
      <c r="TIN33" s="678"/>
      <c r="TIO33" s="678"/>
      <c r="TIP33" s="678"/>
      <c r="TIQ33" s="678"/>
      <c r="TIR33" s="678"/>
      <c r="TIS33" s="678"/>
      <c r="TIT33" s="678"/>
      <c r="TIU33" s="678"/>
      <c r="TIV33" s="678"/>
      <c r="TIW33" s="678"/>
      <c r="TIX33" s="678"/>
      <c r="TIY33" s="678"/>
      <c r="TIZ33" s="678"/>
      <c r="TJA33" s="678"/>
      <c r="TJB33" s="678"/>
      <c r="TJC33" s="678"/>
      <c r="TJD33" s="678"/>
      <c r="TJE33" s="678"/>
      <c r="TJF33" s="678"/>
      <c r="TJG33" s="678"/>
      <c r="TJH33" s="678"/>
      <c r="TJI33" s="678"/>
      <c r="TJJ33" s="678"/>
      <c r="TJK33" s="678"/>
      <c r="TJL33" s="678"/>
      <c r="TJM33" s="678"/>
      <c r="TJN33" s="678"/>
      <c r="TJO33" s="678"/>
      <c r="TJP33" s="678"/>
      <c r="TJQ33" s="678"/>
      <c r="TJR33" s="678"/>
      <c r="TJS33" s="678"/>
      <c r="TJT33" s="678"/>
      <c r="TJU33" s="678"/>
      <c r="TJV33" s="678"/>
      <c r="TJW33" s="678"/>
      <c r="TJX33" s="678"/>
      <c r="TJY33" s="678"/>
      <c r="TJZ33" s="678"/>
      <c r="TKA33" s="678"/>
      <c r="TKB33" s="678"/>
      <c r="TKC33" s="678"/>
      <c r="TKD33" s="678"/>
      <c r="TKE33" s="678"/>
      <c r="TKF33" s="678"/>
      <c r="TKG33" s="678"/>
      <c r="TKH33" s="678"/>
      <c r="TKI33" s="678"/>
      <c r="TKJ33" s="678"/>
      <c r="TKK33" s="678"/>
      <c r="TKL33" s="678"/>
      <c r="TKM33" s="678"/>
      <c r="TKN33" s="678"/>
      <c r="TKO33" s="678"/>
      <c r="TKP33" s="678"/>
      <c r="TKQ33" s="678"/>
      <c r="TKR33" s="678"/>
      <c r="TKS33" s="678"/>
      <c r="TKT33" s="678"/>
      <c r="TKU33" s="678"/>
      <c r="TKV33" s="678"/>
      <c r="TKW33" s="678"/>
      <c r="TKX33" s="678"/>
      <c r="TKY33" s="678"/>
      <c r="TKZ33" s="678"/>
      <c r="TLA33" s="678"/>
      <c r="TLB33" s="678"/>
      <c r="TLC33" s="678"/>
      <c r="TLD33" s="678"/>
      <c r="TLE33" s="678"/>
      <c r="TLF33" s="678"/>
      <c r="TLG33" s="678"/>
      <c r="TLH33" s="678"/>
      <c r="TLI33" s="678"/>
      <c r="TLJ33" s="678"/>
      <c r="TLK33" s="678"/>
      <c r="TLL33" s="678"/>
      <c r="TLM33" s="678"/>
      <c r="TLN33" s="678"/>
      <c r="TLO33" s="678"/>
      <c r="TLP33" s="678"/>
      <c r="TLQ33" s="678"/>
      <c r="TLR33" s="678"/>
      <c r="TLS33" s="678"/>
      <c r="TLT33" s="678"/>
      <c r="TLU33" s="678"/>
      <c r="TLV33" s="678"/>
      <c r="TLW33" s="678"/>
      <c r="TLX33" s="678"/>
      <c r="TLY33" s="678"/>
      <c r="TLZ33" s="678"/>
      <c r="TMA33" s="678"/>
      <c r="TMB33" s="678"/>
      <c r="TMC33" s="678"/>
      <c r="TMD33" s="678"/>
      <c r="TME33" s="678"/>
      <c r="TMF33" s="678"/>
      <c r="TMG33" s="678"/>
      <c r="TMH33" s="678"/>
      <c r="TMI33" s="678"/>
      <c r="TMJ33" s="678"/>
      <c r="TMK33" s="678"/>
      <c r="TML33" s="678"/>
      <c r="TMM33" s="678"/>
      <c r="TMN33" s="678"/>
      <c r="TMO33" s="678"/>
      <c r="TMP33" s="678"/>
      <c r="TMQ33" s="678"/>
      <c r="TMR33" s="678"/>
      <c r="TMS33" s="678"/>
      <c r="TMT33" s="678"/>
      <c r="TMU33" s="678"/>
      <c r="TMV33" s="678"/>
      <c r="TMW33" s="678"/>
      <c r="TMX33" s="678"/>
      <c r="TMY33" s="678"/>
      <c r="TMZ33" s="678"/>
      <c r="TNA33" s="678"/>
      <c r="TNB33" s="678"/>
      <c r="TNC33" s="678"/>
      <c r="TND33" s="678"/>
      <c r="TNE33" s="678"/>
      <c r="TNF33" s="678"/>
      <c r="TNG33" s="678"/>
      <c r="TNH33" s="678"/>
      <c r="TNI33" s="678"/>
      <c r="TNJ33" s="678"/>
      <c r="TNK33" s="678"/>
      <c r="TNL33" s="678"/>
      <c r="TNM33" s="678"/>
      <c r="TNN33" s="678"/>
      <c r="TNO33" s="678"/>
      <c r="TNP33" s="678"/>
      <c r="TNQ33" s="678"/>
      <c r="TNR33" s="678"/>
      <c r="TNS33" s="678"/>
      <c r="TNT33" s="678"/>
      <c r="TNU33" s="678"/>
      <c r="TNV33" s="678"/>
      <c r="TNW33" s="678"/>
      <c r="TNX33" s="678"/>
      <c r="TNY33" s="678"/>
      <c r="TNZ33" s="678"/>
      <c r="TOA33" s="678"/>
      <c r="TOB33" s="678"/>
      <c r="TOC33" s="678"/>
      <c r="TOD33" s="678"/>
      <c r="TOE33" s="678"/>
      <c r="TOF33" s="678"/>
      <c r="TOG33" s="678"/>
      <c r="TOH33" s="678"/>
      <c r="TOI33" s="678"/>
      <c r="TOJ33" s="678"/>
      <c r="TOK33" s="678"/>
      <c r="TOL33" s="678"/>
      <c r="TOM33" s="678"/>
      <c r="TON33" s="678"/>
      <c r="TOO33" s="678"/>
      <c r="TOP33" s="678"/>
      <c r="TOQ33" s="678"/>
      <c r="TOR33" s="678"/>
      <c r="TOS33" s="678"/>
      <c r="TOT33" s="678"/>
      <c r="TOU33" s="678"/>
      <c r="TOV33" s="678"/>
      <c r="TOW33" s="678"/>
      <c r="TOX33" s="678"/>
      <c r="TOY33" s="678"/>
      <c r="TOZ33" s="678"/>
      <c r="TPA33" s="678"/>
      <c r="TPB33" s="678"/>
      <c r="TPC33" s="678"/>
      <c r="TPD33" s="678"/>
      <c r="TPE33" s="678"/>
      <c r="TPF33" s="678"/>
      <c r="TPG33" s="678"/>
      <c r="TPH33" s="678"/>
      <c r="TPI33" s="678"/>
      <c r="TPJ33" s="678"/>
      <c r="TPK33" s="678"/>
      <c r="TPL33" s="678"/>
      <c r="TPM33" s="678"/>
      <c r="TPN33" s="678"/>
      <c r="TPO33" s="678"/>
      <c r="TPP33" s="678"/>
      <c r="TPQ33" s="678"/>
      <c r="TPR33" s="678"/>
      <c r="TPS33" s="678"/>
      <c r="TPT33" s="678"/>
      <c r="TPU33" s="678"/>
      <c r="TPV33" s="678"/>
      <c r="TPW33" s="678"/>
      <c r="TPX33" s="678"/>
      <c r="TPY33" s="678"/>
      <c r="TPZ33" s="678"/>
      <c r="TQA33" s="678"/>
      <c r="TQB33" s="678"/>
      <c r="TQC33" s="678"/>
      <c r="TQD33" s="678"/>
      <c r="TQE33" s="678"/>
      <c r="TQF33" s="678"/>
      <c r="TQG33" s="678"/>
      <c r="TQH33" s="678"/>
      <c r="TQI33" s="678"/>
      <c r="TQJ33" s="678"/>
      <c r="TQK33" s="678"/>
      <c r="TQL33" s="678"/>
      <c r="TQM33" s="678"/>
      <c r="TQN33" s="678"/>
      <c r="TQO33" s="678"/>
      <c r="TQP33" s="678"/>
      <c r="TQQ33" s="678"/>
      <c r="TQR33" s="678"/>
      <c r="TQS33" s="678"/>
      <c r="TQT33" s="678"/>
      <c r="TQU33" s="678"/>
      <c r="TQV33" s="678"/>
      <c r="TQW33" s="678"/>
      <c r="TQX33" s="678"/>
      <c r="TQY33" s="678"/>
      <c r="TQZ33" s="678"/>
      <c r="TRA33" s="678"/>
      <c r="TRB33" s="678"/>
      <c r="TRC33" s="678"/>
      <c r="TRD33" s="678"/>
      <c r="TRE33" s="678"/>
      <c r="TRF33" s="678"/>
      <c r="TRG33" s="678"/>
      <c r="TRH33" s="678"/>
      <c r="TRI33" s="678"/>
      <c r="TRJ33" s="678"/>
      <c r="TRK33" s="678"/>
      <c r="TRL33" s="678"/>
      <c r="TRM33" s="678"/>
      <c r="TRN33" s="678"/>
      <c r="TRO33" s="678"/>
      <c r="TRP33" s="678"/>
      <c r="TRQ33" s="678"/>
      <c r="TRR33" s="678"/>
      <c r="TRS33" s="678"/>
      <c r="TRT33" s="678"/>
      <c r="TRU33" s="678"/>
      <c r="TRV33" s="678"/>
      <c r="TRW33" s="678"/>
      <c r="TRX33" s="678"/>
      <c r="TRY33" s="678"/>
      <c r="TRZ33" s="678"/>
      <c r="TSA33" s="678"/>
      <c r="TSB33" s="678"/>
      <c r="TSC33" s="678"/>
      <c r="TSD33" s="678"/>
      <c r="TSE33" s="678"/>
      <c r="TSF33" s="678"/>
      <c r="TSG33" s="678"/>
      <c r="TSH33" s="678"/>
      <c r="TSI33" s="678"/>
      <c r="TSJ33" s="678"/>
      <c r="TSK33" s="678"/>
      <c r="TSL33" s="678"/>
      <c r="TSM33" s="678"/>
      <c r="TSN33" s="678"/>
      <c r="TSO33" s="678"/>
      <c r="TSP33" s="678"/>
      <c r="TSQ33" s="678"/>
      <c r="TSR33" s="678"/>
      <c r="TSS33" s="678"/>
      <c r="TST33" s="678"/>
      <c r="TSU33" s="678"/>
      <c r="TSV33" s="678"/>
      <c r="TSW33" s="678"/>
      <c r="TSX33" s="678"/>
      <c r="TSY33" s="678"/>
      <c r="TSZ33" s="678"/>
      <c r="TTA33" s="678"/>
      <c r="TTB33" s="678"/>
      <c r="TTC33" s="678"/>
      <c r="TTD33" s="678"/>
      <c r="TTE33" s="678"/>
      <c r="TTF33" s="678"/>
      <c r="TTG33" s="678"/>
      <c r="TTH33" s="678"/>
      <c r="TTI33" s="678"/>
      <c r="TTJ33" s="678"/>
      <c r="TTK33" s="678"/>
      <c r="TTL33" s="678"/>
      <c r="TTM33" s="678"/>
      <c r="TTN33" s="678"/>
      <c r="TTO33" s="678"/>
      <c r="TTP33" s="678"/>
      <c r="TTQ33" s="678"/>
      <c r="TTR33" s="678"/>
      <c r="TTS33" s="678"/>
      <c r="TTT33" s="678"/>
      <c r="TTU33" s="678"/>
      <c r="TTV33" s="678"/>
      <c r="TTW33" s="678"/>
      <c r="TTX33" s="678"/>
      <c r="TTY33" s="678"/>
      <c r="TTZ33" s="678"/>
      <c r="TUA33" s="678"/>
      <c r="TUB33" s="678"/>
      <c r="TUC33" s="678"/>
      <c r="TUD33" s="678"/>
      <c r="TUE33" s="678"/>
      <c r="TUF33" s="678"/>
      <c r="TUG33" s="678"/>
      <c r="TUH33" s="678"/>
      <c r="TUI33" s="678"/>
      <c r="TUJ33" s="678"/>
      <c r="TUK33" s="678"/>
      <c r="TUL33" s="678"/>
      <c r="TUM33" s="678"/>
      <c r="TUN33" s="678"/>
      <c r="TUO33" s="678"/>
      <c r="TUP33" s="678"/>
      <c r="TUQ33" s="678"/>
      <c r="TUR33" s="678"/>
      <c r="TUS33" s="678"/>
      <c r="TUT33" s="678"/>
      <c r="TUU33" s="678"/>
      <c r="TUV33" s="678"/>
      <c r="TUW33" s="678"/>
      <c r="TUX33" s="678"/>
      <c r="TUY33" s="678"/>
      <c r="TUZ33" s="678"/>
      <c r="TVA33" s="678"/>
      <c r="TVB33" s="678"/>
      <c r="TVC33" s="678"/>
      <c r="TVD33" s="678"/>
      <c r="TVE33" s="678"/>
      <c r="TVF33" s="678"/>
      <c r="TVG33" s="678"/>
      <c r="TVH33" s="678"/>
      <c r="TVI33" s="678"/>
      <c r="TVJ33" s="678"/>
      <c r="TVK33" s="678"/>
      <c r="TVL33" s="678"/>
      <c r="TVM33" s="678"/>
      <c r="TVN33" s="678"/>
      <c r="TVO33" s="678"/>
      <c r="TVP33" s="678"/>
      <c r="TVQ33" s="678"/>
      <c r="TVR33" s="678"/>
      <c r="TVS33" s="678"/>
      <c r="TVT33" s="678"/>
      <c r="TVU33" s="678"/>
      <c r="TVV33" s="678"/>
      <c r="TVW33" s="678"/>
      <c r="TVX33" s="678"/>
      <c r="TVY33" s="678"/>
      <c r="TVZ33" s="678"/>
      <c r="TWA33" s="678"/>
      <c r="TWB33" s="678"/>
      <c r="TWC33" s="678"/>
      <c r="TWD33" s="678"/>
      <c r="TWE33" s="678"/>
      <c r="TWF33" s="678"/>
      <c r="TWG33" s="678"/>
      <c r="TWH33" s="678"/>
      <c r="TWI33" s="678"/>
      <c r="TWJ33" s="678"/>
      <c r="TWK33" s="678"/>
      <c r="TWL33" s="678"/>
      <c r="TWM33" s="678"/>
      <c r="TWN33" s="678"/>
      <c r="TWO33" s="678"/>
      <c r="TWP33" s="678"/>
      <c r="TWQ33" s="678"/>
      <c r="TWR33" s="678"/>
      <c r="TWS33" s="678"/>
      <c r="TWT33" s="678"/>
      <c r="TWU33" s="678"/>
      <c r="TWV33" s="678"/>
      <c r="TWW33" s="678"/>
      <c r="TWX33" s="678"/>
      <c r="TWY33" s="678"/>
      <c r="TWZ33" s="678"/>
      <c r="TXA33" s="678"/>
      <c r="TXB33" s="678"/>
      <c r="TXC33" s="678"/>
      <c r="TXD33" s="678"/>
      <c r="TXE33" s="678"/>
      <c r="TXF33" s="678"/>
      <c r="TXG33" s="678"/>
      <c r="TXH33" s="678"/>
      <c r="TXI33" s="678"/>
      <c r="TXJ33" s="678"/>
      <c r="TXK33" s="678"/>
      <c r="TXL33" s="678"/>
      <c r="TXM33" s="678"/>
      <c r="TXN33" s="678"/>
      <c r="TXO33" s="678"/>
      <c r="TXP33" s="678"/>
      <c r="TXQ33" s="678"/>
      <c r="TXR33" s="678"/>
      <c r="TXS33" s="678"/>
      <c r="TXT33" s="678"/>
      <c r="TXU33" s="678"/>
      <c r="TXV33" s="678"/>
      <c r="TXW33" s="678"/>
      <c r="TXX33" s="678"/>
      <c r="TXY33" s="678"/>
      <c r="TXZ33" s="678"/>
      <c r="TYA33" s="678"/>
      <c r="TYB33" s="678"/>
      <c r="TYC33" s="678"/>
      <c r="TYD33" s="678"/>
      <c r="TYE33" s="678"/>
      <c r="TYF33" s="678"/>
      <c r="TYG33" s="678"/>
      <c r="TYH33" s="678"/>
      <c r="TYI33" s="678"/>
      <c r="TYJ33" s="678"/>
      <c r="TYK33" s="678"/>
      <c r="TYL33" s="678"/>
      <c r="TYM33" s="678"/>
      <c r="TYN33" s="678"/>
      <c r="TYO33" s="678"/>
      <c r="TYP33" s="678"/>
      <c r="TYQ33" s="678"/>
      <c r="TYR33" s="678"/>
      <c r="TYS33" s="678"/>
      <c r="TYT33" s="678"/>
      <c r="TYU33" s="678"/>
      <c r="TYV33" s="678"/>
      <c r="TYW33" s="678"/>
      <c r="TYX33" s="678"/>
      <c r="TYY33" s="678"/>
      <c r="TYZ33" s="678"/>
      <c r="TZA33" s="678"/>
      <c r="TZB33" s="678"/>
      <c r="TZC33" s="678"/>
      <c r="TZD33" s="678"/>
      <c r="TZE33" s="678"/>
      <c r="TZF33" s="678"/>
      <c r="TZG33" s="678"/>
      <c r="TZH33" s="678"/>
      <c r="TZI33" s="678"/>
      <c r="TZJ33" s="678"/>
      <c r="TZK33" s="678"/>
      <c r="TZL33" s="678"/>
      <c r="TZM33" s="678"/>
      <c r="TZN33" s="678"/>
      <c r="TZO33" s="678"/>
      <c r="TZP33" s="678"/>
      <c r="TZQ33" s="678"/>
      <c r="TZR33" s="678"/>
      <c r="TZS33" s="678"/>
      <c r="TZT33" s="678"/>
      <c r="TZU33" s="678"/>
      <c r="TZV33" s="678"/>
      <c r="TZW33" s="678"/>
      <c r="TZX33" s="678"/>
      <c r="TZY33" s="678"/>
      <c r="TZZ33" s="678"/>
      <c r="UAA33" s="678"/>
      <c r="UAB33" s="678"/>
      <c r="UAC33" s="678"/>
      <c r="UAD33" s="678"/>
      <c r="UAE33" s="678"/>
      <c r="UAF33" s="678"/>
      <c r="UAG33" s="678"/>
      <c r="UAH33" s="678"/>
      <c r="UAI33" s="678"/>
      <c r="UAJ33" s="678"/>
      <c r="UAK33" s="678"/>
      <c r="UAL33" s="678"/>
      <c r="UAM33" s="678"/>
      <c r="UAN33" s="678"/>
      <c r="UAO33" s="678"/>
      <c r="UAP33" s="678"/>
      <c r="UAQ33" s="678"/>
      <c r="UAR33" s="678"/>
      <c r="UAS33" s="678"/>
      <c r="UAT33" s="678"/>
      <c r="UAU33" s="678"/>
      <c r="UAV33" s="678"/>
      <c r="UAW33" s="678"/>
      <c r="UAX33" s="678"/>
      <c r="UAY33" s="678"/>
      <c r="UAZ33" s="678"/>
      <c r="UBA33" s="678"/>
      <c r="UBB33" s="678"/>
      <c r="UBC33" s="678"/>
      <c r="UBD33" s="678"/>
      <c r="UBE33" s="678"/>
      <c r="UBF33" s="678"/>
      <c r="UBG33" s="678"/>
      <c r="UBH33" s="678"/>
      <c r="UBI33" s="678"/>
      <c r="UBJ33" s="678"/>
      <c r="UBK33" s="678"/>
      <c r="UBL33" s="678"/>
      <c r="UBM33" s="678"/>
      <c r="UBN33" s="678"/>
      <c r="UBO33" s="678"/>
      <c r="UBP33" s="678"/>
      <c r="UBQ33" s="678"/>
      <c r="UBR33" s="678"/>
      <c r="UBS33" s="678"/>
      <c r="UBT33" s="678"/>
      <c r="UBU33" s="678"/>
      <c r="UBV33" s="678"/>
      <c r="UBW33" s="678"/>
      <c r="UBX33" s="678"/>
      <c r="UBY33" s="678"/>
      <c r="UBZ33" s="678"/>
      <c r="UCA33" s="678"/>
      <c r="UCB33" s="678"/>
      <c r="UCC33" s="678"/>
      <c r="UCD33" s="678"/>
      <c r="UCE33" s="678"/>
      <c r="UCF33" s="678"/>
      <c r="UCG33" s="678"/>
      <c r="UCH33" s="678"/>
      <c r="UCI33" s="678"/>
      <c r="UCJ33" s="678"/>
      <c r="UCK33" s="678"/>
      <c r="UCL33" s="678"/>
      <c r="UCM33" s="678"/>
      <c r="UCN33" s="678"/>
      <c r="UCO33" s="678"/>
      <c r="UCP33" s="678"/>
      <c r="UCQ33" s="678"/>
      <c r="UCR33" s="678"/>
      <c r="UCS33" s="678"/>
      <c r="UCT33" s="678"/>
      <c r="UCU33" s="678"/>
      <c r="UCV33" s="678"/>
      <c r="UCW33" s="678"/>
      <c r="UCX33" s="678"/>
      <c r="UCY33" s="678"/>
      <c r="UCZ33" s="678"/>
      <c r="UDA33" s="678"/>
      <c r="UDB33" s="678"/>
      <c r="UDC33" s="678"/>
      <c r="UDD33" s="678"/>
      <c r="UDE33" s="678"/>
      <c r="UDF33" s="678"/>
      <c r="UDG33" s="678"/>
      <c r="UDH33" s="678"/>
      <c r="UDI33" s="678"/>
      <c r="UDJ33" s="678"/>
      <c r="UDK33" s="678"/>
      <c r="UDL33" s="678"/>
      <c r="UDM33" s="678"/>
      <c r="UDN33" s="678"/>
      <c r="UDO33" s="678"/>
      <c r="UDP33" s="678"/>
      <c r="UDQ33" s="678"/>
      <c r="UDR33" s="678"/>
      <c r="UDS33" s="678"/>
      <c r="UDT33" s="678"/>
      <c r="UDU33" s="678"/>
      <c r="UDV33" s="678"/>
      <c r="UDW33" s="678"/>
      <c r="UDX33" s="678"/>
      <c r="UDY33" s="678"/>
      <c r="UDZ33" s="678"/>
      <c r="UEA33" s="678"/>
      <c r="UEB33" s="678"/>
      <c r="UEC33" s="678"/>
      <c r="UED33" s="678"/>
      <c r="UEE33" s="678"/>
      <c r="UEF33" s="678"/>
      <c r="UEG33" s="678"/>
      <c r="UEH33" s="678"/>
      <c r="UEI33" s="678"/>
      <c r="UEJ33" s="678"/>
      <c r="UEK33" s="678"/>
      <c r="UEL33" s="678"/>
      <c r="UEM33" s="678"/>
      <c r="UEN33" s="678"/>
      <c r="UEO33" s="678"/>
      <c r="UEP33" s="678"/>
      <c r="UEQ33" s="678"/>
      <c r="UER33" s="678"/>
      <c r="UES33" s="678"/>
      <c r="UET33" s="678"/>
      <c r="UEU33" s="678"/>
      <c r="UEV33" s="678"/>
      <c r="UEW33" s="678"/>
      <c r="UEX33" s="678"/>
      <c r="UEY33" s="678"/>
      <c r="UEZ33" s="678"/>
      <c r="UFA33" s="678"/>
      <c r="UFB33" s="678"/>
      <c r="UFC33" s="678"/>
      <c r="UFD33" s="678"/>
      <c r="UFE33" s="678"/>
      <c r="UFF33" s="678"/>
      <c r="UFG33" s="678"/>
      <c r="UFH33" s="678"/>
      <c r="UFI33" s="678"/>
      <c r="UFJ33" s="678"/>
      <c r="UFK33" s="678"/>
      <c r="UFL33" s="678"/>
      <c r="UFM33" s="678"/>
      <c r="UFN33" s="678"/>
      <c r="UFO33" s="678"/>
      <c r="UFP33" s="678"/>
      <c r="UFQ33" s="678"/>
      <c r="UFR33" s="678"/>
      <c r="UFS33" s="678"/>
      <c r="UFT33" s="678"/>
      <c r="UFU33" s="678"/>
      <c r="UFV33" s="678"/>
      <c r="UFW33" s="678"/>
      <c r="UFX33" s="678"/>
      <c r="UFY33" s="678"/>
      <c r="UFZ33" s="678"/>
      <c r="UGA33" s="678"/>
      <c r="UGB33" s="678"/>
      <c r="UGC33" s="678"/>
      <c r="UGD33" s="678"/>
      <c r="UGE33" s="678"/>
      <c r="UGF33" s="678"/>
      <c r="UGG33" s="678"/>
      <c r="UGH33" s="678"/>
      <c r="UGI33" s="678"/>
      <c r="UGJ33" s="678"/>
      <c r="UGK33" s="678"/>
      <c r="UGL33" s="678"/>
      <c r="UGM33" s="678"/>
      <c r="UGN33" s="678"/>
      <c r="UGO33" s="678"/>
      <c r="UGP33" s="678"/>
      <c r="UGQ33" s="678"/>
      <c r="UGR33" s="678"/>
      <c r="UGS33" s="678"/>
      <c r="UGT33" s="678"/>
      <c r="UGU33" s="678"/>
      <c r="UGV33" s="678"/>
      <c r="UGW33" s="678"/>
      <c r="UGX33" s="678"/>
      <c r="UGY33" s="678"/>
      <c r="UGZ33" s="678"/>
      <c r="UHA33" s="678"/>
      <c r="UHB33" s="678"/>
      <c r="UHC33" s="678"/>
      <c r="UHD33" s="678"/>
      <c r="UHE33" s="678"/>
      <c r="UHF33" s="678"/>
      <c r="UHG33" s="678"/>
      <c r="UHH33" s="678"/>
      <c r="UHI33" s="678"/>
      <c r="UHJ33" s="678"/>
      <c r="UHK33" s="678"/>
      <c r="UHL33" s="678"/>
      <c r="UHM33" s="678"/>
      <c r="UHN33" s="678"/>
      <c r="UHO33" s="678"/>
      <c r="UHP33" s="678"/>
      <c r="UHQ33" s="678"/>
      <c r="UHR33" s="678"/>
      <c r="UHS33" s="678"/>
      <c r="UHT33" s="678"/>
      <c r="UHU33" s="678"/>
      <c r="UHV33" s="678"/>
      <c r="UHW33" s="678"/>
      <c r="UHX33" s="678"/>
      <c r="UHY33" s="678"/>
      <c r="UHZ33" s="678"/>
      <c r="UIA33" s="678"/>
      <c r="UIB33" s="678"/>
      <c r="UIC33" s="678"/>
      <c r="UID33" s="678"/>
      <c r="UIE33" s="678"/>
      <c r="UIF33" s="678"/>
      <c r="UIG33" s="678"/>
      <c r="UIH33" s="678"/>
      <c r="UII33" s="678"/>
      <c r="UIJ33" s="678"/>
      <c r="UIK33" s="678"/>
      <c r="UIL33" s="678"/>
      <c r="UIM33" s="678"/>
      <c r="UIN33" s="678"/>
      <c r="UIO33" s="678"/>
      <c r="UIP33" s="678"/>
      <c r="UIQ33" s="678"/>
      <c r="UIR33" s="678"/>
      <c r="UIS33" s="678"/>
      <c r="UIT33" s="678"/>
      <c r="UIU33" s="678"/>
      <c r="UIV33" s="678"/>
      <c r="UIW33" s="678"/>
      <c r="UIX33" s="678"/>
      <c r="UIY33" s="678"/>
      <c r="UIZ33" s="678"/>
      <c r="UJA33" s="678"/>
      <c r="UJB33" s="678"/>
      <c r="UJC33" s="678"/>
      <c r="UJD33" s="678"/>
      <c r="UJE33" s="678"/>
      <c r="UJF33" s="678"/>
      <c r="UJG33" s="678"/>
      <c r="UJH33" s="678"/>
      <c r="UJI33" s="678"/>
      <c r="UJJ33" s="678"/>
      <c r="UJK33" s="678"/>
      <c r="UJL33" s="678"/>
      <c r="UJM33" s="678"/>
      <c r="UJN33" s="678"/>
      <c r="UJO33" s="678"/>
      <c r="UJP33" s="678"/>
      <c r="UJQ33" s="678"/>
      <c r="UJR33" s="678"/>
      <c r="UJS33" s="678"/>
      <c r="UJT33" s="678"/>
      <c r="UJU33" s="678"/>
      <c r="UJV33" s="678"/>
      <c r="UJW33" s="678"/>
      <c r="UJX33" s="678"/>
      <c r="UJY33" s="678"/>
      <c r="UJZ33" s="678"/>
      <c r="UKA33" s="678"/>
      <c r="UKB33" s="678"/>
      <c r="UKC33" s="678"/>
      <c r="UKD33" s="678"/>
      <c r="UKE33" s="678"/>
      <c r="UKF33" s="678"/>
      <c r="UKG33" s="678"/>
      <c r="UKH33" s="678"/>
      <c r="UKI33" s="678"/>
      <c r="UKJ33" s="678"/>
      <c r="UKK33" s="678"/>
      <c r="UKL33" s="678"/>
      <c r="UKM33" s="678"/>
      <c r="UKN33" s="678"/>
      <c r="UKO33" s="678"/>
      <c r="UKP33" s="678"/>
      <c r="UKQ33" s="678"/>
      <c r="UKR33" s="678"/>
      <c r="UKS33" s="678"/>
      <c r="UKT33" s="678"/>
      <c r="UKU33" s="678"/>
      <c r="UKV33" s="678"/>
      <c r="UKW33" s="678"/>
      <c r="UKX33" s="678"/>
      <c r="UKY33" s="678"/>
      <c r="UKZ33" s="678"/>
      <c r="ULA33" s="678"/>
      <c r="ULB33" s="678"/>
      <c r="ULC33" s="678"/>
      <c r="ULD33" s="678"/>
      <c r="ULE33" s="678"/>
      <c r="ULF33" s="678"/>
      <c r="ULG33" s="678"/>
      <c r="ULH33" s="678"/>
      <c r="ULI33" s="678"/>
      <c r="ULJ33" s="678"/>
      <c r="ULK33" s="678"/>
      <c r="ULL33" s="678"/>
      <c r="ULM33" s="678"/>
      <c r="ULN33" s="678"/>
      <c r="ULO33" s="678"/>
      <c r="ULP33" s="678"/>
      <c r="ULQ33" s="678"/>
      <c r="ULR33" s="678"/>
      <c r="ULS33" s="678"/>
      <c r="ULT33" s="678"/>
      <c r="ULU33" s="678"/>
      <c r="ULV33" s="678"/>
      <c r="ULW33" s="678"/>
      <c r="ULX33" s="678"/>
      <c r="ULY33" s="678"/>
      <c r="ULZ33" s="678"/>
      <c r="UMA33" s="678"/>
      <c r="UMB33" s="678"/>
      <c r="UMC33" s="678"/>
      <c r="UMD33" s="678"/>
      <c r="UME33" s="678"/>
      <c r="UMF33" s="678"/>
      <c r="UMG33" s="678"/>
      <c r="UMH33" s="678"/>
      <c r="UMI33" s="678"/>
      <c r="UMJ33" s="678"/>
      <c r="UMK33" s="678"/>
      <c r="UML33" s="678"/>
      <c r="UMM33" s="678"/>
      <c r="UMN33" s="678"/>
      <c r="UMO33" s="678"/>
      <c r="UMP33" s="678"/>
      <c r="UMQ33" s="678"/>
      <c r="UMR33" s="678"/>
      <c r="UMS33" s="678"/>
      <c r="UMT33" s="678"/>
      <c r="UMU33" s="678"/>
      <c r="UMV33" s="678"/>
      <c r="UMW33" s="678"/>
      <c r="UMX33" s="678"/>
      <c r="UMY33" s="678"/>
      <c r="UMZ33" s="678"/>
      <c r="UNA33" s="678"/>
      <c r="UNB33" s="678"/>
      <c r="UNC33" s="678"/>
      <c r="UND33" s="678"/>
      <c r="UNE33" s="678"/>
      <c r="UNF33" s="678"/>
      <c r="UNG33" s="678"/>
      <c r="UNH33" s="678"/>
      <c r="UNI33" s="678"/>
      <c r="UNJ33" s="678"/>
      <c r="UNK33" s="678"/>
      <c r="UNL33" s="678"/>
      <c r="UNM33" s="678"/>
      <c r="UNN33" s="678"/>
      <c r="UNO33" s="678"/>
      <c r="UNP33" s="678"/>
      <c r="UNQ33" s="678"/>
      <c r="UNR33" s="678"/>
      <c r="UNS33" s="678"/>
      <c r="UNT33" s="678"/>
      <c r="UNU33" s="678"/>
      <c r="UNV33" s="678"/>
      <c r="UNW33" s="678"/>
      <c r="UNX33" s="678"/>
      <c r="UNY33" s="678"/>
      <c r="UNZ33" s="678"/>
      <c r="UOA33" s="678"/>
      <c r="UOB33" s="678"/>
      <c r="UOC33" s="678"/>
      <c r="UOD33" s="678"/>
      <c r="UOE33" s="678"/>
      <c r="UOF33" s="678"/>
      <c r="UOG33" s="678"/>
      <c r="UOH33" s="678"/>
      <c r="UOI33" s="678"/>
      <c r="UOJ33" s="678"/>
      <c r="UOK33" s="678"/>
      <c r="UOL33" s="678"/>
      <c r="UOM33" s="678"/>
      <c r="UON33" s="678"/>
      <c r="UOO33" s="678"/>
      <c r="UOP33" s="678"/>
      <c r="UOQ33" s="678"/>
      <c r="UOR33" s="678"/>
      <c r="UOS33" s="678"/>
      <c r="UOT33" s="678"/>
      <c r="UOU33" s="678"/>
      <c r="UOV33" s="678"/>
      <c r="UOW33" s="678"/>
      <c r="UOX33" s="678"/>
      <c r="UOY33" s="678"/>
      <c r="UOZ33" s="678"/>
      <c r="UPA33" s="678"/>
      <c r="UPB33" s="678"/>
      <c r="UPC33" s="678"/>
      <c r="UPD33" s="678"/>
      <c r="UPE33" s="678"/>
      <c r="UPF33" s="678"/>
      <c r="UPG33" s="678"/>
      <c r="UPH33" s="678"/>
      <c r="UPI33" s="678"/>
      <c r="UPJ33" s="678"/>
      <c r="UPK33" s="678"/>
      <c r="UPL33" s="678"/>
      <c r="UPM33" s="678"/>
      <c r="UPN33" s="678"/>
      <c r="UPO33" s="678"/>
      <c r="UPP33" s="678"/>
      <c r="UPQ33" s="678"/>
      <c r="UPR33" s="678"/>
      <c r="UPS33" s="678"/>
      <c r="UPT33" s="678"/>
      <c r="UPU33" s="678"/>
      <c r="UPV33" s="678"/>
      <c r="UPW33" s="678"/>
      <c r="UPX33" s="678"/>
      <c r="UPY33" s="678"/>
      <c r="UPZ33" s="678"/>
      <c r="UQA33" s="678"/>
      <c r="UQB33" s="678"/>
      <c r="UQC33" s="678"/>
      <c r="UQD33" s="678"/>
      <c r="UQE33" s="678"/>
      <c r="UQF33" s="678"/>
      <c r="UQG33" s="678"/>
      <c r="UQH33" s="678"/>
      <c r="UQI33" s="678"/>
      <c r="UQJ33" s="678"/>
      <c r="UQK33" s="678"/>
      <c r="UQL33" s="678"/>
      <c r="UQM33" s="678"/>
      <c r="UQN33" s="678"/>
      <c r="UQO33" s="678"/>
      <c r="UQP33" s="678"/>
      <c r="UQQ33" s="678"/>
      <c r="UQR33" s="678"/>
      <c r="UQS33" s="678"/>
      <c r="UQT33" s="678"/>
      <c r="UQU33" s="678"/>
      <c r="UQV33" s="678"/>
      <c r="UQW33" s="678"/>
      <c r="UQX33" s="678"/>
      <c r="UQY33" s="678"/>
      <c r="UQZ33" s="678"/>
      <c r="URA33" s="678"/>
      <c r="URB33" s="678"/>
      <c r="URC33" s="678"/>
      <c r="URD33" s="678"/>
      <c r="URE33" s="678"/>
      <c r="URF33" s="678"/>
      <c r="URG33" s="678"/>
      <c r="URH33" s="678"/>
      <c r="URI33" s="678"/>
      <c r="URJ33" s="678"/>
      <c r="URK33" s="678"/>
      <c r="URL33" s="678"/>
      <c r="URM33" s="678"/>
      <c r="URN33" s="678"/>
      <c r="URO33" s="678"/>
      <c r="URP33" s="678"/>
      <c r="URQ33" s="678"/>
      <c r="URR33" s="678"/>
      <c r="URS33" s="678"/>
      <c r="URT33" s="678"/>
      <c r="URU33" s="678"/>
      <c r="URV33" s="678"/>
      <c r="URW33" s="678"/>
      <c r="URX33" s="678"/>
      <c r="URY33" s="678"/>
      <c r="URZ33" s="678"/>
      <c r="USA33" s="678"/>
      <c r="USB33" s="678"/>
      <c r="USC33" s="678"/>
      <c r="USD33" s="678"/>
      <c r="USE33" s="678"/>
      <c r="USF33" s="678"/>
      <c r="USG33" s="678"/>
      <c r="USH33" s="678"/>
      <c r="USI33" s="678"/>
      <c r="USJ33" s="678"/>
      <c r="USK33" s="678"/>
      <c r="USL33" s="678"/>
      <c r="USM33" s="678"/>
      <c r="USN33" s="678"/>
      <c r="USO33" s="678"/>
      <c r="USP33" s="678"/>
      <c r="USQ33" s="678"/>
      <c r="USR33" s="678"/>
      <c r="USS33" s="678"/>
      <c r="UST33" s="678"/>
      <c r="USU33" s="678"/>
      <c r="USV33" s="678"/>
      <c r="USW33" s="678"/>
      <c r="USX33" s="678"/>
      <c r="USY33" s="678"/>
      <c r="USZ33" s="678"/>
      <c r="UTA33" s="678"/>
      <c r="UTB33" s="678"/>
      <c r="UTC33" s="678"/>
      <c r="UTD33" s="678"/>
      <c r="UTE33" s="678"/>
      <c r="UTF33" s="678"/>
      <c r="UTG33" s="678"/>
      <c r="UTH33" s="678"/>
      <c r="UTI33" s="678"/>
      <c r="UTJ33" s="678"/>
      <c r="UTK33" s="678"/>
      <c r="UTL33" s="678"/>
      <c r="UTM33" s="678"/>
      <c r="UTN33" s="678"/>
      <c r="UTO33" s="678"/>
      <c r="UTP33" s="678"/>
      <c r="UTQ33" s="678"/>
      <c r="UTR33" s="678"/>
      <c r="UTS33" s="678"/>
      <c r="UTT33" s="678"/>
      <c r="UTU33" s="678"/>
      <c r="UTV33" s="678"/>
      <c r="UTW33" s="678"/>
      <c r="UTX33" s="678"/>
      <c r="UTY33" s="678"/>
      <c r="UTZ33" s="678"/>
      <c r="UUA33" s="678"/>
      <c r="UUB33" s="678"/>
      <c r="UUC33" s="678"/>
      <c r="UUD33" s="678"/>
      <c r="UUE33" s="678"/>
      <c r="UUF33" s="678"/>
      <c r="UUG33" s="678"/>
      <c r="UUH33" s="678"/>
      <c r="UUI33" s="678"/>
      <c r="UUJ33" s="678"/>
      <c r="UUK33" s="678"/>
      <c r="UUL33" s="678"/>
      <c r="UUM33" s="678"/>
      <c r="UUN33" s="678"/>
      <c r="UUO33" s="678"/>
      <c r="UUP33" s="678"/>
      <c r="UUQ33" s="678"/>
      <c r="UUR33" s="678"/>
      <c r="UUS33" s="678"/>
      <c r="UUT33" s="678"/>
      <c r="UUU33" s="678"/>
      <c r="UUV33" s="678"/>
      <c r="UUW33" s="678"/>
      <c r="UUX33" s="678"/>
      <c r="UUY33" s="678"/>
      <c r="UUZ33" s="678"/>
      <c r="UVA33" s="678"/>
      <c r="UVB33" s="678"/>
      <c r="UVC33" s="678"/>
      <c r="UVD33" s="678"/>
      <c r="UVE33" s="678"/>
      <c r="UVF33" s="678"/>
      <c r="UVG33" s="678"/>
      <c r="UVH33" s="678"/>
      <c r="UVI33" s="678"/>
      <c r="UVJ33" s="678"/>
      <c r="UVK33" s="678"/>
      <c r="UVL33" s="678"/>
      <c r="UVM33" s="678"/>
      <c r="UVN33" s="678"/>
      <c r="UVO33" s="678"/>
      <c r="UVP33" s="678"/>
      <c r="UVQ33" s="678"/>
      <c r="UVR33" s="678"/>
      <c r="UVS33" s="678"/>
      <c r="UVT33" s="678"/>
      <c r="UVU33" s="678"/>
      <c r="UVV33" s="678"/>
      <c r="UVW33" s="678"/>
      <c r="UVX33" s="678"/>
      <c r="UVY33" s="678"/>
      <c r="UVZ33" s="678"/>
      <c r="UWA33" s="678"/>
      <c r="UWB33" s="678"/>
      <c r="UWC33" s="678"/>
      <c r="UWD33" s="678"/>
      <c r="UWE33" s="678"/>
      <c r="UWF33" s="678"/>
      <c r="UWG33" s="678"/>
      <c r="UWH33" s="678"/>
      <c r="UWI33" s="678"/>
      <c r="UWJ33" s="678"/>
      <c r="UWK33" s="678"/>
      <c r="UWL33" s="678"/>
      <c r="UWM33" s="678"/>
      <c r="UWN33" s="678"/>
      <c r="UWO33" s="678"/>
      <c r="UWP33" s="678"/>
      <c r="UWQ33" s="678"/>
      <c r="UWR33" s="678"/>
      <c r="UWS33" s="678"/>
      <c r="UWT33" s="678"/>
      <c r="UWU33" s="678"/>
      <c r="UWV33" s="678"/>
      <c r="UWW33" s="678"/>
      <c r="UWX33" s="678"/>
      <c r="UWY33" s="678"/>
      <c r="UWZ33" s="678"/>
      <c r="UXA33" s="678"/>
      <c r="UXB33" s="678"/>
      <c r="UXC33" s="678"/>
      <c r="UXD33" s="678"/>
      <c r="UXE33" s="678"/>
      <c r="UXF33" s="678"/>
      <c r="UXG33" s="678"/>
      <c r="UXH33" s="678"/>
      <c r="UXI33" s="678"/>
      <c r="UXJ33" s="678"/>
      <c r="UXK33" s="678"/>
      <c r="UXL33" s="678"/>
      <c r="UXM33" s="678"/>
      <c r="UXN33" s="678"/>
      <c r="UXO33" s="678"/>
      <c r="UXP33" s="678"/>
      <c r="UXQ33" s="678"/>
      <c r="UXR33" s="678"/>
      <c r="UXS33" s="678"/>
      <c r="UXT33" s="678"/>
      <c r="UXU33" s="678"/>
      <c r="UXV33" s="678"/>
      <c r="UXW33" s="678"/>
      <c r="UXX33" s="678"/>
      <c r="UXY33" s="678"/>
      <c r="UXZ33" s="678"/>
      <c r="UYA33" s="678"/>
      <c r="UYB33" s="678"/>
      <c r="UYC33" s="678"/>
      <c r="UYD33" s="678"/>
      <c r="UYE33" s="678"/>
      <c r="UYF33" s="678"/>
      <c r="UYG33" s="678"/>
      <c r="UYH33" s="678"/>
      <c r="UYI33" s="678"/>
      <c r="UYJ33" s="678"/>
      <c r="UYK33" s="678"/>
      <c r="UYL33" s="678"/>
      <c r="UYM33" s="678"/>
      <c r="UYN33" s="678"/>
      <c r="UYO33" s="678"/>
      <c r="UYP33" s="678"/>
      <c r="UYQ33" s="678"/>
      <c r="UYR33" s="678"/>
      <c r="UYS33" s="678"/>
      <c r="UYT33" s="678"/>
      <c r="UYU33" s="678"/>
      <c r="UYV33" s="678"/>
      <c r="UYW33" s="678"/>
      <c r="UYX33" s="678"/>
      <c r="UYY33" s="678"/>
      <c r="UYZ33" s="678"/>
      <c r="UZA33" s="678"/>
      <c r="UZB33" s="678"/>
      <c r="UZC33" s="678"/>
      <c r="UZD33" s="678"/>
      <c r="UZE33" s="678"/>
      <c r="UZF33" s="678"/>
      <c r="UZG33" s="678"/>
      <c r="UZH33" s="678"/>
      <c r="UZI33" s="678"/>
      <c r="UZJ33" s="678"/>
      <c r="UZK33" s="678"/>
      <c r="UZL33" s="678"/>
      <c r="UZM33" s="678"/>
      <c r="UZN33" s="678"/>
      <c r="UZO33" s="678"/>
      <c r="UZP33" s="678"/>
      <c r="UZQ33" s="678"/>
      <c r="UZR33" s="678"/>
      <c r="UZS33" s="678"/>
      <c r="UZT33" s="678"/>
      <c r="UZU33" s="678"/>
      <c r="UZV33" s="678"/>
      <c r="UZW33" s="678"/>
      <c r="UZX33" s="678"/>
      <c r="UZY33" s="678"/>
      <c r="UZZ33" s="678"/>
      <c r="VAA33" s="678"/>
      <c r="VAB33" s="678"/>
      <c r="VAC33" s="678"/>
      <c r="VAD33" s="678"/>
      <c r="VAE33" s="678"/>
      <c r="VAF33" s="678"/>
      <c r="VAG33" s="678"/>
      <c r="VAH33" s="678"/>
      <c r="VAI33" s="678"/>
      <c r="VAJ33" s="678"/>
      <c r="VAK33" s="678"/>
      <c r="VAL33" s="678"/>
      <c r="VAM33" s="678"/>
      <c r="VAN33" s="678"/>
      <c r="VAO33" s="678"/>
      <c r="VAP33" s="678"/>
      <c r="VAQ33" s="678"/>
      <c r="VAR33" s="678"/>
      <c r="VAS33" s="678"/>
      <c r="VAT33" s="678"/>
      <c r="VAU33" s="678"/>
      <c r="VAV33" s="678"/>
      <c r="VAW33" s="678"/>
      <c r="VAX33" s="678"/>
      <c r="VAY33" s="678"/>
      <c r="VAZ33" s="678"/>
      <c r="VBA33" s="678"/>
      <c r="VBB33" s="678"/>
      <c r="VBC33" s="678"/>
      <c r="VBD33" s="678"/>
      <c r="VBE33" s="678"/>
      <c r="VBF33" s="678"/>
      <c r="VBG33" s="678"/>
      <c r="VBH33" s="678"/>
      <c r="VBI33" s="678"/>
      <c r="VBJ33" s="678"/>
      <c r="VBK33" s="678"/>
      <c r="VBL33" s="678"/>
      <c r="VBM33" s="678"/>
      <c r="VBN33" s="678"/>
      <c r="VBO33" s="678"/>
      <c r="VBP33" s="678"/>
      <c r="VBQ33" s="678"/>
      <c r="VBR33" s="678"/>
      <c r="VBS33" s="678"/>
      <c r="VBT33" s="678"/>
      <c r="VBU33" s="678"/>
      <c r="VBV33" s="678"/>
      <c r="VBW33" s="678"/>
      <c r="VBX33" s="678"/>
      <c r="VBY33" s="678"/>
      <c r="VBZ33" s="678"/>
      <c r="VCA33" s="678"/>
      <c r="VCB33" s="678"/>
      <c r="VCC33" s="678"/>
      <c r="VCD33" s="678"/>
      <c r="VCE33" s="678"/>
      <c r="VCF33" s="678"/>
      <c r="VCG33" s="678"/>
      <c r="VCH33" s="678"/>
      <c r="VCI33" s="678"/>
      <c r="VCJ33" s="678"/>
      <c r="VCK33" s="678"/>
      <c r="VCL33" s="678"/>
      <c r="VCM33" s="678"/>
      <c r="VCN33" s="678"/>
      <c r="VCO33" s="678"/>
      <c r="VCP33" s="678"/>
      <c r="VCQ33" s="678"/>
      <c r="VCR33" s="678"/>
      <c r="VCS33" s="678"/>
      <c r="VCT33" s="678"/>
      <c r="VCU33" s="678"/>
      <c r="VCV33" s="678"/>
      <c r="VCW33" s="678"/>
      <c r="VCX33" s="678"/>
      <c r="VCY33" s="678"/>
      <c r="VCZ33" s="678"/>
      <c r="VDA33" s="678"/>
      <c r="VDB33" s="678"/>
      <c r="VDC33" s="678"/>
      <c r="VDD33" s="678"/>
      <c r="VDE33" s="678"/>
      <c r="VDF33" s="678"/>
      <c r="VDG33" s="678"/>
      <c r="VDH33" s="678"/>
      <c r="VDI33" s="678"/>
      <c r="VDJ33" s="678"/>
      <c r="VDK33" s="678"/>
      <c r="VDL33" s="678"/>
      <c r="VDM33" s="678"/>
      <c r="VDN33" s="678"/>
      <c r="VDO33" s="678"/>
      <c r="VDP33" s="678"/>
      <c r="VDQ33" s="678"/>
      <c r="VDR33" s="678"/>
      <c r="VDS33" s="678"/>
      <c r="VDT33" s="678"/>
      <c r="VDU33" s="678"/>
      <c r="VDV33" s="678"/>
      <c r="VDW33" s="678"/>
      <c r="VDX33" s="678"/>
      <c r="VDY33" s="678"/>
      <c r="VDZ33" s="678"/>
      <c r="VEA33" s="678"/>
      <c r="VEB33" s="678"/>
      <c r="VEC33" s="678"/>
      <c r="VED33" s="678"/>
      <c r="VEE33" s="678"/>
      <c r="VEF33" s="678"/>
      <c r="VEG33" s="678"/>
      <c r="VEH33" s="678"/>
      <c r="VEI33" s="678"/>
      <c r="VEJ33" s="678"/>
      <c r="VEK33" s="678"/>
      <c r="VEL33" s="678"/>
      <c r="VEM33" s="678"/>
      <c r="VEN33" s="678"/>
      <c r="VEO33" s="678"/>
      <c r="VEP33" s="678"/>
      <c r="VEQ33" s="678"/>
      <c r="VER33" s="678"/>
      <c r="VES33" s="678"/>
      <c r="VET33" s="678"/>
      <c r="VEU33" s="678"/>
      <c r="VEV33" s="678"/>
      <c r="VEW33" s="678"/>
      <c r="VEX33" s="678"/>
      <c r="VEY33" s="678"/>
      <c r="VEZ33" s="678"/>
      <c r="VFA33" s="678"/>
      <c r="VFB33" s="678"/>
      <c r="VFC33" s="678"/>
      <c r="VFD33" s="678"/>
      <c r="VFE33" s="678"/>
      <c r="VFF33" s="678"/>
      <c r="VFG33" s="678"/>
      <c r="VFH33" s="678"/>
      <c r="VFI33" s="678"/>
      <c r="VFJ33" s="678"/>
      <c r="VFK33" s="678"/>
      <c r="VFL33" s="678"/>
      <c r="VFM33" s="678"/>
      <c r="VFN33" s="678"/>
      <c r="VFO33" s="678"/>
      <c r="VFP33" s="678"/>
      <c r="VFQ33" s="678"/>
      <c r="VFR33" s="678"/>
      <c r="VFS33" s="678"/>
      <c r="VFT33" s="678"/>
      <c r="VFU33" s="678"/>
      <c r="VFV33" s="678"/>
      <c r="VFW33" s="678"/>
      <c r="VFX33" s="678"/>
      <c r="VFY33" s="678"/>
      <c r="VFZ33" s="678"/>
      <c r="VGA33" s="678"/>
      <c r="VGB33" s="678"/>
      <c r="VGC33" s="678"/>
      <c r="VGD33" s="678"/>
      <c r="VGE33" s="678"/>
      <c r="VGF33" s="678"/>
      <c r="VGG33" s="678"/>
      <c r="VGH33" s="678"/>
      <c r="VGI33" s="678"/>
      <c r="VGJ33" s="678"/>
      <c r="VGK33" s="678"/>
      <c r="VGL33" s="678"/>
      <c r="VGM33" s="678"/>
      <c r="VGN33" s="678"/>
      <c r="VGO33" s="678"/>
      <c r="VGP33" s="678"/>
      <c r="VGQ33" s="678"/>
      <c r="VGR33" s="678"/>
      <c r="VGS33" s="678"/>
      <c r="VGT33" s="678"/>
      <c r="VGU33" s="678"/>
      <c r="VGV33" s="678"/>
      <c r="VGW33" s="678"/>
      <c r="VGX33" s="678"/>
      <c r="VGY33" s="678"/>
      <c r="VGZ33" s="678"/>
      <c r="VHA33" s="678"/>
      <c r="VHB33" s="678"/>
      <c r="VHC33" s="678"/>
      <c r="VHD33" s="678"/>
      <c r="VHE33" s="678"/>
      <c r="VHF33" s="678"/>
      <c r="VHG33" s="678"/>
      <c r="VHH33" s="678"/>
      <c r="VHI33" s="678"/>
      <c r="VHJ33" s="678"/>
      <c r="VHK33" s="678"/>
      <c r="VHL33" s="678"/>
      <c r="VHM33" s="678"/>
      <c r="VHN33" s="678"/>
      <c r="VHO33" s="678"/>
      <c r="VHP33" s="678"/>
      <c r="VHQ33" s="678"/>
      <c r="VHR33" s="678"/>
      <c r="VHS33" s="678"/>
      <c r="VHT33" s="678"/>
      <c r="VHU33" s="678"/>
      <c r="VHV33" s="678"/>
      <c r="VHW33" s="678"/>
      <c r="VHX33" s="678"/>
      <c r="VHY33" s="678"/>
      <c r="VHZ33" s="678"/>
      <c r="VIA33" s="678"/>
      <c r="VIB33" s="678"/>
      <c r="VIC33" s="678"/>
      <c r="VID33" s="678"/>
      <c r="VIE33" s="678"/>
      <c r="VIF33" s="678"/>
      <c r="VIG33" s="678"/>
      <c r="VIH33" s="678"/>
      <c r="VII33" s="678"/>
      <c r="VIJ33" s="678"/>
      <c r="VIK33" s="678"/>
      <c r="VIL33" s="678"/>
      <c r="VIM33" s="678"/>
      <c r="VIN33" s="678"/>
      <c r="VIO33" s="678"/>
      <c r="VIP33" s="678"/>
      <c r="VIQ33" s="678"/>
      <c r="VIR33" s="678"/>
      <c r="VIS33" s="678"/>
      <c r="VIT33" s="678"/>
      <c r="VIU33" s="678"/>
      <c r="VIV33" s="678"/>
      <c r="VIW33" s="678"/>
      <c r="VIX33" s="678"/>
      <c r="VIY33" s="678"/>
      <c r="VIZ33" s="678"/>
      <c r="VJA33" s="678"/>
      <c r="VJB33" s="678"/>
      <c r="VJC33" s="678"/>
      <c r="VJD33" s="678"/>
      <c r="VJE33" s="678"/>
      <c r="VJF33" s="678"/>
      <c r="VJG33" s="678"/>
      <c r="VJH33" s="678"/>
      <c r="VJI33" s="678"/>
      <c r="VJJ33" s="678"/>
      <c r="VJK33" s="678"/>
      <c r="VJL33" s="678"/>
      <c r="VJM33" s="678"/>
      <c r="VJN33" s="678"/>
      <c r="VJO33" s="678"/>
      <c r="VJP33" s="678"/>
      <c r="VJQ33" s="678"/>
      <c r="VJR33" s="678"/>
      <c r="VJS33" s="678"/>
      <c r="VJT33" s="678"/>
      <c r="VJU33" s="678"/>
      <c r="VJV33" s="678"/>
      <c r="VJW33" s="678"/>
      <c r="VJX33" s="678"/>
      <c r="VJY33" s="678"/>
      <c r="VJZ33" s="678"/>
      <c r="VKA33" s="678"/>
      <c r="VKB33" s="678"/>
      <c r="VKC33" s="678"/>
      <c r="VKD33" s="678"/>
      <c r="VKE33" s="678"/>
      <c r="VKF33" s="678"/>
      <c r="VKG33" s="678"/>
      <c r="VKH33" s="678"/>
      <c r="VKI33" s="678"/>
      <c r="VKJ33" s="678"/>
      <c r="VKK33" s="678"/>
      <c r="VKL33" s="678"/>
      <c r="VKM33" s="678"/>
      <c r="VKN33" s="678"/>
      <c r="VKO33" s="678"/>
      <c r="VKP33" s="678"/>
      <c r="VKQ33" s="678"/>
      <c r="VKR33" s="678"/>
      <c r="VKS33" s="678"/>
      <c r="VKT33" s="678"/>
      <c r="VKU33" s="678"/>
      <c r="VKV33" s="678"/>
      <c r="VKW33" s="678"/>
      <c r="VKX33" s="678"/>
      <c r="VKY33" s="678"/>
      <c r="VKZ33" s="678"/>
      <c r="VLA33" s="678"/>
      <c r="VLB33" s="678"/>
      <c r="VLC33" s="678"/>
      <c r="VLD33" s="678"/>
      <c r="VLE33" s="678"/>
      <c r="VLF33" s="678"/>
      <c r="VLG33" s="678"/>
      <c r="VLH33" s="678"/>
      <c r="VLI33" s="678"/>
      <c r="VLJ33" s="678"/>
      <c r="VLK33" s="678"/>
      <c r="VLL33" s="678"/>
      <c r="VLM33" s="678"/>
      <c r="VLN33" s="678"/>
      <c r="VLO33" s="678"/>
      <c r="VLP33" s="678"/>
      <c r="VLQ33" s="678"/>
      <c r="VLR33" s="678"/>
      <c r="VLS33" s="678"/>
      <c r="VLT33" s="678"/>
      <c r="VLU33" s="678"/>
      <c r="VLV33" s="678"/>
      <c r="VLW33" s="678"/>
      <c r="VLX33" s="678"/>
      <c r="VLY33" s="678"/>
      <c r="VLZ33" s="678"/>
      <c r="VMA33" s="678"/>
      <c r="VMB33" s="678"/>
      <c r="VMC33" s="678"/>
      <c r="VMD33" s="678"/>
      <c r="VME33" s="678"/>
      <c r="VMF33" s="678"/>
      <c r="VMG33" s="678"/>
      <c r="VMH33" s="678"/>
      <c r="VMI33" s="678"/>
      <c r="VMJ33" s="678"/>
      <c r="VMK33" s="678"/>
      <c r="VML33" s="678"/>
      <c r="VMM33" s="678"/>
      <c r="VMN33" s="678"/>
      <c r="VMO33" s="678"/>
      <c r="VMP33" s="678"/>
      <c r="VMQ33" s="678"/>
      <c r="VMR33" s="678"/>
      <c r="VMS33" s="678"/>
      <c r="VMT33" s="678"/>
      <c r="VMU33" s="678"/>
      <c r="VMV33" s="678"/>
      <c r="VMW33" s="678"/>
      <c r="VMX33" s="678"/>
      <c r="VMY33" s="678"/>
      <c r="VMZ33" s="678"/>
      <c r="VNA33" s="678"/>
      <c r="VNB33" s="678"/>
      <c r="VNC33" s="678"/>
      <c r="VND33" s="678"/>
      <c r="VNE33" s="678"/>
      <c r="VNF33" s="678"/>
      <c r="VNG33" s="678"/>
      <c r="VNH33" s="678"/>
      <c r="VNI33" s="678"/>
      <c r="VNJ33" s="678"/>
      <c r="VNK33" s="678"/>
      <c r="VNL33" s="678"/>
      <c r="VNM33" s="678"/>
      <c r="VNN33" s="678"/>
      <c r="VNO33" s="678"/>
      <c r="VNP33" s="678"/>
      <c r="VNQ33" s="678"/>
      <c r="VNR33" s="678"/>
      <c r="VNS33" s="678"/>
      <c r="VNT33" s="678"/>
      <c r="VNU33" s="678"/>
      <c r="VNV33" s="678"/>
      <c r="VNW33" s="678"/>
      <c r="VNX33" s="678"/>
      <c r="VNY33" s="678"/>
      <c r="VNZ33" s="678"/>
      <c r="VOA33" s="678"/>
      <c r="VOB33" s="678"/>
      <c r="VOC33" s="678"/>
      <c r="VOD33" s="678"/>
      <c r="VOE33" s="678"/>
      <c r="VOF33" s="678"/>
      <c r="VOG33" s="678"/>
      <c r="VOH33" s="678"/>
      <c r="VOI33" s="678"/>
      <c r="VOJ33" s="678"/>
      <c r="VOK33" s="678"/>
      <c r="VOL33" s="678"/>
      <c r="VOM33" s="678"/>
      <c r="VON33" s="678"/>
      <c r="VOO33" s="678"/>
      <c r="VOP33" s="678"/>
      <c r="VOQ33" s="678"/>
      <c r="VOR33" s="678"/>
      <c r="VOS33" s="678"/>
      <c r="VOT33" s="678"/>
      <c r="VOU33" s="678"/>
      <c r="VOV33" s="678"/>
      <c r="VOW33" s="678"/>
      <c r="VOX33" s="678"/>
      <c r="VOY33" s="678"/>
      <c r="VOZ33" s="678"/>
      <c r="VPA33" s="678"/>
      <c r="VPB33" s="678"/>
      <c r="VPC33" s="678"/>
      <c r="VPD33" s="678"/>
      <c r="VPE33" s="678"/>
      <c r="VPF33" s="678"/>
      <c r="VPG33" s="678"/>
      <c r="VPH33" s="678"/>
      <c r="VPI33" s="678"/>
      <c r="VPJ33" s="678"/>
      <c r="VPK33" s="678"/>
      <c r="VPL33" s="678"/>
      <c r="VPM33" s="678"/>
      <c r="VPN33" s="678"/>
      <c r="VPO33" s="678"/>
      <c r="VPP33" s="678"/>
      <c r="VPQ33" s="678"/>
      <c r="VPR33" s="678"/>
      <c r="VPS33" s="678"/>
      <c r="VPT33" s="678"/>
      <c r="VPU33" s="678"/>
      <c r="VPV33" s="678"/>
      <c r="VPW33" s="678"/>
      <c r="VPX33" s="678"/>
      <c r="VPY33" s="678"/>
      <c r="VPZ33" s="678"/>
      <c r="VQA33" s="678"/>
      <c r="VQB33" s="678"/>
      <c r="VQC33" s="678"/>
      <c r="VQD33" s="678"/>
      <c r="VQE33" s="678"/>
      <c r="VQF33" s="678"/>
      <c r="VQG33" s="678"/>
      <c r="VQH33" s="678"/>
      <c r="VQI33" s="678"/>
      <c r="VQJ33" s="678"/>
      <c r="VQK33" s="678"/>
      <c r="VQL33" s="678"/>
      <c r="VQM33" s="678"/>
      <c r="VQN33" s="678"/>
      <c r="VQO33" s="678"/>
      <c r="VQP33" s="678"/>
      <c r="VQQ33" s="678"/>
      <c r="VQR33" s="678"/>
      <c r="VQS33" s="678"/>
      <c r="VQT33" s="678"/>
      <c r="VQU33" s="678"/>
      <c r="VQV33" s="678"/>
      <c r="VQW33" s="678"/>
      <c r="VQX33" s="678"/>
      <c r="VQY33" s="678"/>
      <c r="VQZ33" s="678"/>
      <c r="VRA33" s="678"/>
      <c r="VRB33" s="678"/>
      <c r="VRC33" s="678"/>
      <c r="VRD33" s="678"/>
      <c r="VRE33" s="678"/>
      <c r="VRF33" s="678"/>
      <c r="VRG33" s="678"/>
      <c r="VRH33" s="678"/>
      <c r="VRI33" s="678"/>
      <c r="VRJ33" s="678"/>
      <c r="VRK33" s="678"/>
      <c r="VRL33" s="678"/>
      <c r="VRM33" s="678"/>
      <c r="VRN33" s="678"/>
      <c r="VRO33" s="678"/>
      <c r="VRP33" s="678"/>
      <c r="VRQ33" s="678"/>
      <c r="VRR33" s="678"/>
      <c r="VRS33" s="678"/>
      <c r="VRT33" s="678"/>
      <c r="VRU33" s="678"/>
      <c r="VRV33" s="678"/>
      <c r="VRW33" s="678"/>
      <c r="VRX33" s="678"/>
      <c r="VRY33" s="678"/>
      <c r="VRZ33" s="678"/>
      <c r="VSA33" s="678"/>
      <c r="VSB33" s="678"/>
      <c r="VSC33" s="678"/>
      <c r="VSD33" s="678"/>
      <c r="VSE33" s="678"/>
      <c r="VSF33" s="678"/>
      <c r="VSG33" s="678"/>
      <c r="VSH33" s="678"/>
      <c r="VSI33" s="678"/>
      <c r="VSJ33" s="678"/>
      <c r="VSK33" s="678"/>
      <c r="VSL33" s="678"/>
      <c r="VSM33" s="678"/>
      <c r="VSN33" s="678"/>
      <c r="VSO33" s="678"/>
      <c r="VSP33" s="678"/>
      <c r="VSQ33" s="678"/>
      <c r="VSR33" s="678"/>
      <c r="VSS33" s="678"/>
      <c r="VST33" s="678"/>
      <c r="VSU33" s="678"/>
      <c r="VSV33" s="678"/>
      <c r="VSW33" s="678"/>
      <c r="VSX33" s="678"/>
      <c r="VSY33" s="678"/>
      <c r="VSZ33" s="678"/>
      <c r="VTA33" s="678"/>
      <c r="VTB33" s="678"/>
      <c r="VTC33" s="678"/>
      <c r="VTD33" s="678"/>
      <c r="VTE33" s="678"/>
      <c r="VTF33" s="678"/>
      <c r="VTG33" s="678"/>
      <c r="VTH33" s="678"/>
      <c r="VTI33" s="678"/>
      <c r="VTJ33" s="678"/>
      <c r="VTK33" s="678"/>
      <c r="VTL33" s="678"/>
      <c r="VTM33" s="678"/>
      <c r="VTN33" s="678"/>
      <c r="VTO33" s="678"/>
      <c r="VTP33" s="678"/>
      <c r="VTQ33" s="678"/>
      <c r="VTR33" s="678"/>
      <c r="VTS33" s="678"/>
      <c r="VTT33" s="678"/>
      <c r="VTU33" s="678"/>
      <c r="VTV33" s="678"/>
      <c r="VTW33" s="678"/>
      <c r="VTX33" s="678"/>
      <c r="VTY33" s="678"/>
      <c r="VTZ33" s="678"/>
      <c r="VUA33" s="678"/>
      <c r="VUB33" s="678"/>
      <c r="VUC33" s="678"/>
      <c r="VUD33" s="678"/>
      <c r="VUE33" s="678"/>
      <c r="VUF33" s="678"/>
      <c r="VUG33" s="678"/>
      <c r="VUH33" s="678"/>
      <c r="VUI33" s="678"/>
      <c r="VUJ33" s="678"/>
      <c r="VUK33" s="678"/>
      <c r="VUL33" s="678"/>
      <c r="VUM33" s="678"/>
      <c r="VUN33" s="678"/>
      <c r="VUO33" s="678"/>
      <c r="VUP33" s="678"/>
      <c r="VUQ33" s="678"/>
      <c r="VUR33" s="678"/>
      <c r="VUS33" s="678"/>
      <c r="VUT33" s="678"/>
      <c r="VUU33" s="678"/>
      <c r="VUV33" s="678"/>
      <c r="VUW33" s="678"/>
      <c r="VUX33" s="678"/>
      <c r="VUY33" s="678"/>
      <c r="VUZ33" s="678"/>
      <c r="VVA33" s="678"/>
      <c r="VVB33" s="678"/>
      <c r="VVC33" s="678"/>
      <c r="VVD33" s="678"/>
      <c r="VVE33" s="678"/>
      <c r="VVF33" s="678"/>
      <c r="VVG33" s="678"/>
      <c r="VVH33" s="678"/>
      <c r="VVI33" s="678"/>
      <c r="VVJ33" s="678"/>
      <c r="VVK33" s="678"/>
      <c r="VVL33" s="678"/>
      <c r="VVM33" s="678"/>
      <c r="VVN33" s="678"/>
      <c r="VVO33" s="678"/>
      <c r="VVP33" s="678"/>
      <c r="VVQ33" s="678"/>
      <c r="VVR33" s="678"/>
      <c r="VVS33" s="678"/>
      <c r="VVT33" s="678"/>
      <c r="VVU33" s="678"/>
      <c r="VVV33" s="678"/>
      <c r="VVW33" s="678"/>
      <c r="VVX33" s="678"/>
      <c r="VVY33" s="678"/>
      <c r="VVZ33" s="678"/>
      <c r="VWA33" s="678"/>
      <c r="VWB33" s="678"/>
      <c r="VWC33" s="678"/>
      <c r="VWD33" s="678"/>
      <c r="VWE33" s="678"/>
      <c r="VWF33" s="678"/>
      <c r="VWG33" s="678"/>
      <c r="VWH33" s="678"/>
      <c r="VWI33" s="678"/>
      <c r="VWJ33" s="678"/>
      <c r="VWK33" s="678"/>
      <c r="VWL33" s="678"/>
      <c r="VWM33" s="678"/>
      <c r="VWN33" s="678"/>
      <c r="VWO33" s="678"/>
      <c r="VWP33" s="678"/>
      <c r="VWQ33" s="678"/>
      <c r="VWR33" s="678"/>
      <c r="VWS33" s="678"/>
      <c r="VWT33" s="678"/>
      <c r="VWU33" s="678"/>
      <c r="VWV33" s="678"/>
      <c r="VWW33" s="678"/>
      <c r="VWX33" s="678"/>
      <c r="VWY33" s="678"/>
      <c r="VWZ33" s="678"/>
      <c r="VXA33" s="678"/>
      <c r="VXB33" s="678"/>
      <c r="VXC33" s="678"/>
      <c r="VXD33" s="678"/>
      <c r="VXE33" s="678"/>
      <c r="VXF33" s="678"/>
      <c r="VXG33" s="678"/>
      <c r="VXH33" s="678"/>
      <c r="VXI33" s="678"/>
      <c r="VXJ33" s="678"/>
      <c r="VXK33" s="678"/>
      <c r="VXL33" s="678"/>
      <c r="VXM33" s="678"/>
      <c r="VXN33" s="678"/>
      <c r="VXO33" s="678"/>
      <c r="VXP33" s="678"/>
      <c r="VXQ33" s="678"/>
      <c r="VXR33" s="678"/>
      <c r="VXS33" s="678"/>
      <c r="VXT33" s="678"/>
      <c r="VXU33" s="678"/>
      <c r="VXV33" s="678"/>
      <c r="VXW33" s="678"/>
      <c r="VXX33" s="678"/>
      <c r="VXY33" s="678"/>
      <c r="VXZ33" s="678"/>
      <c r="VYA33" s="678"/>
      <c r="VYB33" s="678"/>
      <c r="VYC33" s="678"/>
      <c r="VYD33" s="678"/>
      <c r="VYE33" s="678"/>
      <c r="VYF33" s="678"/>
      <c r="VYG33" s="678"/>
      <c r="VYH33" s="678"/>
      <c r="VYI33" s="678"/>
      <c r="VYJ33" s="678"/>
      <c r="VYK33" s="678"/>
      <c r="VYL33" s="678"/>
      <c r="VYM33" s="678"/>
      <c r="VYN33" s="678"/>
      <c r="VYO33" s="678"/>
      <c r="VYP33" s="678"/>
      <c r="VYQ33" s="678"/>
      <c r="VYR33" s="678"/>
      <c r="VYS33" s="678"/>
      <c r="VYT33" s="678"/>
      <c r="VYU33" s="678"/>
      <c r="VYV33" s="678"/>
      <c r="VYW33" s="678"/>
      <c r="VYX33" s="678"/>
      <c r="VYY33" s="678"/>
      <c r="VYZ33" s="678"/>
      <c r="VZA33" s="678"/>
      <c r="VZB33" s="678"/>
      <c r="VZC33" s="678"/>
      <c r="VZD33" s="678"/>
      <c r="VZE33" s="678"/>
      <c r="VZF33" s="678"/>
      <c r="VZG33" s="678"/>
      <c r="VZH33" s="678"/>
      <c r="VZI33" s="678"/>
      <c r="VZJ33" s="678"/>
      <c r="VZK33" s="678"/>
      <c r="VZL33" s="678"/>
      <c r="VZM33" s="678"/>
      <c r="VZN33" s="678"/>
      <c r="VZO33" s="678"/>
      <c r="VZP33" s="678"/>
      <c r="VZQ33" s="678"/>
      <c r="VZR33" s="678"/>
      <c r="VZS33" s="678"/>
      <c r="VZT33" s="678"/>
      <c r="VZU33" s="678"/>
      <c r="VZV33" s="678"/>
      <c r="VZW33" s="678"/>
      <c r="VZX33" s="678"/>
      <c r="VZY33" s="678"/>
      <c r="VZZ33" s="678"/>
      <c r="WAA33" s="678"/>
      <c r="WAB33" s="678"/>
      <c r="WAC33" s="678"/>
      <c r="WAD33" s="678"/>
      <c r="WAE33" s="678"/>
      <c r="WAF33" s="678"/>
      <c r="WAG33" s="678"/>
      <c r="WAH33" s="678"/>
      <c r="WAI33" s="678"/>
      <c r="WAJ33" s="678"/>
      <c r="WAK33" s="678"/>
      <c r="WAL33" s="678"/>
      <c r="WAM33" s="678"/>
      <c r="WAN33" s="678"/>
      <c r="WAO33" s="678"/>
      <c r="WAP33" s="678"/>
      <c r="WAQ33" s="678"/>
      <c r="WAR33" s="678"/>
      <c r="WAS33" s="678"/>
      <c r="WAT33" s="678"/>
      <c r="WAU33" s="678"/>
      <c r="WAV33" s="678"/>
      <c r="WAW33" s="678"/>
      <c r="WAX33" s="678"/>
      <c r="WAY33" s="678"/>
      <c r="WAZ33" s="678"/>
      <c r="WBA33" s="678"/>
      <c r="WBB33" s="678"/>
      <c r="WBC33" s="678"/>
      <c r="WBD33" s="678"/>
      <c r="WBE33" s="678"/>
      <c r="WBF33" s="678"/>
      <c r="WBG33" s="678"/>
      <c r="WBH33" s="678"/>
      <c r="WBI33" s="678"/>
      <c r="WBJ33" s="678"/>
      <c r="WBK33" s="678"/>
      <c r="WBL33" s="678"/>
      <c r="WBM33" s="678"/>
      <c r="WBN33" s="678"/>
      <c r="WBO33" s="678"/>
      <c r="WBP33" s="678"/>
      <c r="WBQ33" s="678"/>
      <c r="WBR33" s="678"/>
      <c r="WBS33" s="678"/>
      <c r="WBT33" s="678"/>
      <c r="WBU33" s="678"/>
      <c r="WBV33" s="678"/>
      <c r="WBW33" s="678"/>
      <c r="WBX33" s="678"/>
      <c r="WBY33" s="678"/>
      <c r="WBZ33" s="678"/>
      <c r="WCA33" s="678"/>
      <c r="WCB33" s="678"/>
      <c r="WCC33" s="678"/>
      <c r="WCD33" s="678"/>
      <c r="WCE33" s="678"/>
      <c r="WCF33" s="678"/>
      <c r="WCG33" s="678"/>
      <c r="WCH33" s="678"/>
      <c r="WCI33" s="678"/>
      <c r="WCJ33" s="678"/>
      <c r="WCK33" s="678"/>
      <c r="WCL33" s="678"/>
      <c r="WCM33" s="678"/>
      <c r="WCN33" s="678"/>
      <c r="WCO33" s="678"/>
      <c r="WCP33" s="678"/>
      <c r="WCQ33" s="678"/>
      <c r="WCR33" s="678"/>
      <c r="WCS33" s="678"/>
      <c r="WCT33" s="678"/>
      <c r="WCU33" s="678"/>
      <c r="WCV33" s="678"/>
      <c r="WCW33" s="678"/>
      <c r="WCX33" s="678"/>
      <c r="WCY33" s="678"/>
      <c r="WCZ33" s="678"/>
      <c r="WDA33" s="678"/>
      <c r="WDB33" s="678"/>
      <c r="WDC33" s="678"/>
      <c r="WDD33" s="678"/>
      <c r="WDE33" s="678"/>
      <c r="WDF33" s="678"/>
      <c r="WDG33" s="678"/>
      <c r="WDH33" s="678"/>
      <c r="WDI33" s="678"/>
      <c r="WDJ33" s="678"/>
      <c r="WDK33" s="678"/>
      <c r="WDL33" s="678"/>
      <c r="WDM33" s="678"/>
      <c r="WDN33" s="678"/>
      <c r="WDO33" s="678"/>
      <c r="WDP33" s="678"/>
      <c r="WDQ33" s="678"/>
      <c r="WDR33" s="678"/>
      <c r="WDS33" s="678"/>
      <c r="WDT33" s="678"/>
      <c r="WDU33" s="678"/>
      <c r="WDV33" s="678"/>
      <c r="WDW33" s="678"/>
      <c r="WDX33" s="678"/>
      <c r="WDY33" s="678"/>
      <c r="WDZ33" s="678"/>
      <c r="WEA33" s="678"/>
      <c r="WEB33" s="678"/>
      <c r="WEC33" s="678"/>
      <c r="WED33" s="678"/>
      <c r="WEE33" s="678"/>
      <c r="WEF33" s="678"/>
      <c r="WEG33" s="678"/>
      <c r="WEH33" s="678"/>
      <c r="WEI33" s="678"/>
      <c r="WEJ33" s="678"/>
      <c r="WEK33" s="678"/>
      <c r="WEL33" s="678"/>
      <c r="WEM33" s="678"/>
      <c r="WEN33" s="678"/>
      <c r="WEO33" s="678"/>
      <c r="WEP33" s="678"/>
      <c r="WEQ33" s="678"/>
      <c r="WER33" s="678"/>
      <c r="WES33" s="678"/>
      <c r="WET33" s="678"/>
      <c r="WEU33" s="678"/>
      <c r="WEV33" s="678"/>
      <c r="WEW33" s="678"/>
      <c r="WEX33" s="678"/>
      <c r="WEY33" s="678"/>
      <c r="WEZ33" s="678"/>
      <c r="WFA33" s="678"/>
      <c r="WFB33" s="678"/>
      <c r="WFC33" s="678"/>
      <c r="WFD33" s="678"/>
      <c r="WFE33" s="678"/>
      <c r="WFF33" s="678"/>
      <c r="WFG33" s="678"/>
      <c r="WFH33" s="678"/>
      <c r="WFI33" s="678"/>
      <c r="WFJ33" s="678"/>
      <c r="WFK33" s="678"/>
      <c r="WFL33" s="678"/>
      <c r="WFM33" s="678"/>
      <c r="WFN33" s="678"/>
      <c r="WFO33" s="678"/>
      <c r="WFP33" s="678"/>
      <c r="WFQ33" s="678"/>
      <c r="WFR33" s="678"/>
      <c r="WFS33" s="678"/>
      <c r="WFT33" s="678"/>
      <c r="WFU33" s="678"/>
      <c r="WFV33" s="678"/>
      <c r="WFW33" s="678"/>
      <c r="WFX33" s="678"/>
      <c r="WFY33" s="678"/>
      <c r="WFZ33" s="678"/>
      <c r="WGA33" s="678"/>
      <c r="WGB33" s="678"/>
      <c r="WGC33" s="678"/>
      <c r="WGD33" s="678"/>
      <c r="WGE33" s="678"/>
      <c r="WGF33" s="678"/>
      <c r="WGG33" s="678"/>
      <c r="WGH33" s="678"/>
      <c r="WGI33" s="678"/>
      <c r="WGJ33" s="678"/>
      <c r="WGK33" s="678"/>
      <c r="WGL33" s="678"/>
      <c r="WGM33" s="678"/>
      <c r="WGN33" s="678"/>
      <c r="WGO33" s="678"/>
      <c r="WGP33" s="678"/>
      <c r="WGQ33" s="678"/>
      <c r="WGR33" s="678"/>
      <c r="WGS33" s="678"/>
      <c r="WGT33" s="678"/>
      <c r="WGU33" s="678"/>
      <c r="WGV33" s="678"/>
      <c r="WGW33" s="678"/>
      <c r="WGX33" s="678"/>
      <c r="WGY33" s="678"/>
      <c r="WGZ33" s="678"/>
      <c r="WHA33" s="678"/>
      <c r="WHB33" s="678"/>
      <c r="WHC33" s="678"/>
      <c r="WHD33" s="678"/>
      <c r="WHE33" s="678"/>
      <c r="WHF33" s="678"/>
      <c r="WHG33" s="678"/>
      <c r="WHH33" s="678"/>
      <c r="WHI33" s="678"/>
      <c r="WHJ33" s="678"/>
      <c r="WHK33" s="678"/>
      <c r="WHL33" s="678"/>
      <c r="WHM33" s="678"/>
      <c r="WHN33" s="678"/>
      <c r="WHO33" s="678"/>
      <c r="WHP33" s="678"/>
      <c r="WHQ33" s="678"/>
      <c r="WHR33" s="678"/>
      <c r="WHS33" s="678"/>
      <c r="WHT33" s="678"/>
      <c r="WHU33" s="678"/>
      <c r="WHV33" s="678"/>
      <c r="WHW33" s="678"/>
      <c r="WHX33" s="678"/>
      <c r="WHY33" s="678"/>
      <c r="WHZ33" s="678"/>
      <c r="WIA33" s="678"/>
      <c r="WIB33" s="678"/>
      <c r="WIC33" s="678"/>
      <c r="WID33" s="678"/>
      <c r="WIE33" s="678"/>
      <c r="WIF33" s="678"/>
      <c r="WIG33" s="678"/>
      <c r="WIH33" s="678"/>
      <c r="WII33" s="678"/>
      <c r="WIJ33" s="678"/>
      <c r="WIK33" s="678"/>
      <c r="WIL33" s="678"/>
      <c r="WIM33" s="678"/>
      <c r="WIN33" s="678"/>
      <c r="WIO33" s="678"/>
      <c r="WIP33" s="678"/>
      <c r="WIQ33" s="678"/>
      <c r="WIR33" s="678"/>
      <c r="WIS33" s="678"/>
      <c r="WIT33" s="678"/>
      <c r="WIU33" s="678"/>
      <c r="WIV33" s="678"/>
      <c r="WIW33" s="678"/>
      <c r="WIX33" s="678"/>
      <c r="WIY33" s="678"/>
      <c r="WIZ33" s="678"/>
      <c r="WJA33" s="678"/>
      <c r="WJB33" s="678"/>
      <c r="WJC33" s="678"/>
      <c r="WJD33" s="678"/>
      <c r="WJE33" s="678"/>
      <c r="WJF33" s="678"/>
      <c r="WJG33" s="678"/>
      <c r="WJH33" s="678"/>
      <c r="WJI33" s="678"/>
      <c r="WJJ33" s="678"/>
      <c r="WJK33" s="678"/>
      <c r="WJL33" s="678"/>
      <c r="WJM33" s="678"/>
      <c r="WJN33" s="678"/>
      <c r="WJO33" s="678"/>
      <c r="WJP33" s="678"/>
      <c r="WJQ33" s="678"/>
      <c r="WJR33" s="678"/>
      <c r="WJS33" s="678"/>
      <c r="WJT33" s="678"/>
      <c r="WJU33" s="678"/>
      <c r="WJV33" s="678"/>
      <c r="WJW33" s="678"/>
      <c r="WJX33" s="678"/>
      <c r="WJY33" s="678"/>
      <c r="WJZ33" s="678"/>
      <c r="WKA33" s="678"/>
      <c r="WKB33" s="678"/>
      <c r="WKC33" s="678"/>
      <c r="WKD33" s="678"/>
      <c r="WKE33" s="678"/>
      <c r="WKF33" s="678"/>
      <c r="WKG33" s="678"/>
      <c r="WKH33" s="678"/>
      <c r="WKI33" s="678"/>
      <c r="WKJ33" s="678"/>
      <c r="WKK33" s="678"/>
      <c r="WKL33" s="678"/>
      <c r="WKM33" s="678"/>
      <c r="WKN33" s="678"/>
      <c r="WKO33" s="678"/>
      <c r="WKP33" s="678"/>
      <c r="WKQ33" s="678"/>
      <c r="WKR33" s="678"/>
      <c r="WKS33" s="678"/>
      <c r="WKT33" s="678"/>
      <c r="WKU33" s="678"/>
      <c r="WKV33" s="678"/>
      <c r="WKW33" s="678"/>
      <c r="WKX33" s="678"/>
      <c r="WKY33" s="678"/>
      <c r="WKZ33" s="678"/>
      <c r="WLA33" s="678"/>
      <c r="WLB33" s="678"/>
      <c r="WLC33" s="678"/>
      <c r="WLD33" s="678"/>
      <c r="WLE33" s="678"/>
      <c r="WLF33" s="678"/>
      <c r="WLG33" s="678"/>
      <c r="WLH33" s="678"/>
      <c r="WLI33" s="678"/>
      <c r="WLJ33" s="678"/>
      <c r="WLK33" s="678"/>
      <c r="WLL33" s="678"/>
      <c r="WLM33" s="678"/>
      <c r="WLN33" s="678"/>
      <c r="WLO33" s="678"/>
      <c r="WLP33" s="678"/>
      <c r="WLQ33" s="678"/>
      <c r="WLR33" s="678"/>
      <c r="WLS33" s="678"/>
      <c r="WLT33" s="678"/>
      <c r="WLU33" s="678"/>
      <c r="WLV33" s="678"/>
      <c r="WLW33" s="678"/>
      <c r="WLX33" s="678"/>
      <c r="WLY33" s="678"/>
      <c r="WLZ33" s="678"/>
      <c r="WMA33" s="678"/>
      <c r="WMB33" s="678"/>
      <c r="WMC33" s="678"/>
      <c r="WMD33" s="678"/>
      <c r="WME33" s="678"/>
      <c r="WMF33" s="678"/>
      <c r="WMG33" s="678"/>
      <c r="WMH33" s="678"/>
      <c r="WMI33" s="678"/>
      <c r="WMJ33" s="678"/>
      <c r="WMK33" s="678"/>
      <c r="WML33" s="678"/>
      <c r="WMM33" s="678"/>
      <c r="WMN33" s="678"/>
      <c r="WMO33" s="678"/>
      <c r="WMP33" s="678"/>
      <c r="WMQ33" s="678"/>
      <c r="WMR33" s="678"/>
      <c r="WMS33" s="678"/>
      <c r="WMT33" s="678"/>
      <c r="WMU33" s="678"/>
      <c r="WMV33" s="678"/>
      <c r="WMW33" s="678"/>
      <c r="WMX33" s="678"/>
      <c r="WMY33" s="678"/>
      <c r="WMZ33" s="678"/>
      <c r="WNA33" s="678"/>
      <c r="WNB33" s="678"/>
      <c r="WNC33" s="678"/>
      <c r="WND33" s="678"/>
      <c r="WNE33" s="678"/>
      <c r="WNF33" s="678"/>
      <c r="WNG33" s="678"/>
      <c r="WNH33" s="678"/>
      <c r="WNI33" s="678"/>
      <c r="WNJ33" s="678"/>
      <c r="WNK33" s="678"/>
      <c r="WNL33" s="678"/>
      <c r="WNM33" s="678"/>
      <c r="WNN33" s="678"/>
      <c r="WNO33" s="678"/>
      <c r="WNP33" s="678"/>
      <c r="WNQ33" s="678"/>
      <c r="WNR33" s="678"/>
      <c r="WNS33" s="678"/>
      <c r="WNT33" s="678"/>
      <c r="WNU33" s="678"/>
      <c r="WNV33" s="678"/>
      <c r="WNW33" s="678"/>
      <c r="WNX33" s="678"/>
      <c r="WNY33" s="678"/>
      <c r="WNZ33" s="678"/>
      <c r="WOA33" s="678"/>
      <c r="WOB33" s="678"/>
      <c r="WOC33" s="678"/>
      <c r="WOD33" s="678"/>
      <c r="WOE33" s="678"/>
      <c r="WOF33" s="678"/>
      <c r="WOG33" s="678"/>
      <c r="WOH33" s="678"/>
      <c r="WOI33" s="678"/>
      <c r="WOJ33" s="678"/>
      <c r="WOK33" s="678"/>
      <c r="WOL33" s="678"/>
      <c r="WOM33" s="678"/>
      <c r="WON33" s="678"/>
      <c r="WOO33" s="678"/>
      <c r="WOP33" s="678"/>
      <c r="WOQ33" s="678"/>
      <c r="WOR33" s="678"/>
      <c r="WOS33" s="678"/>
      <c r="WOT33" s="678"/>
      <c r="WOU33" s="678"/>
      <c r="WOV33" s="678"/>
      <c r="WOW33" s="678"/>
      <c r="WOX33" s="678"/>
      <c r="WOY33" s="678"/>
      <c r="WOZ33" s="678"/>
      <c r="WPA33" s="678"/>
      <c r="WPB33" s="678"/>
      <c r="WPC33" s="678"/>
      <c r="WPD33" s="678"/>
      <c r="WPE33" s="678"/>
      <c r="WPF33" s="678"/>
      <c r="WPG33" s="678"/>
      <c r="WPH33" s="678"/>
      <c r="WPI33" s="678"/>
      <c r="WPJ33" s="678"/>
      <c r="WPK33" s="678"/>
      <c r="WPL33" s="678"/>
      <c r="WPM33" s="678"/>
      <c r="WPN33" s="678"/>
      <c r="WPO33" s="678"/>
      <c r="WPP33" s="678"/>
      <c r="WPQ33" s="678"/>
      <c r="WPR33" s="678"/>
      <c r="WPS33" s="678"/>
      <c r="WPT33" s="678"/>
      <c r="WPU33" s="678"/>
      <c r="WPV33" s="678"/>
      <c r="WPW33" s="678"/>
      <c r="WPX33" s="678"/>
      <c r="WPY33" s="678"/>
      <c r="WPZ33" s="678"/>
      <c r="WQA33" s="678"/>
      <c r="WQB33" s="678"/>
      <c r="WQC33" s="678"/>
      <c r="WQD33" s="678"/>
      <c r="WQE33" s="678"/>
      <c r="WQF33" s="678"/>
      <c r="WQG33" s="678"/>
      <c r="WQH33" s="678"/>
      <c r="WQI33" s="678"/>
      <c r="WQJ33" s="678"/>
      <c r="WQK33" s="678"/>
      <c r="WQL33" s="678"/>
      <c r="WQM33" s="678"/>
      <c r="WQN33" s="678"/>
      <c r="WQO33" s="678"/>
      <c r="WQP33" s="678"/>
      <c r="WQQ33" s="678"/>
      <c r="WQR33" s="678"/>
      <c r="WQS33" s="678"/>
      <c r="WQT33" s="678"/>
      <c r="WQU33" s="678"/>
      <c r="WQV33" s="678"/>
      <c r="WQW33" s="678"/>
      <c r="WQX33" s="678"/>
      <c r="WQY33" s="678"/>
      <c r="WQZ33" s="678"/>
      <c r="WRA33" s="678"/>
      <c r="WRB33" s="678"/>
      <c r="WRC33" s="678"/>
      <c r="WRD33" s="678"/>
      <c r="WRE33" s="678"/>
      <c r="WRF33" s="678"/>
      <c r="WRG33" s="678"/>
      <c r="WRH33" s="678"/>
      <c r="WRI33" s="678"/>
      <c r="WRJ33" s="678"/>
      <c r="WRK33" s="678"/>
      <c r="WRL33" s="678"/>
      <c r="WRM33" s="678"/>
      <c r="WRN33" s="678"/>
      <c r="WRO33" s="678"/>
      <c r="WRP33" s="678"/>
      <c r="WRQ33" s="678"/>
      <c r="WRR33" s="678"/>
      <c r="WRS33" s="678"/>
      <c r="WRT33" s="678"/>
      <c r="WRU33" s="678"/>
      <c r="WRV33" s="678"/>
      <c r="WRW33" s="678"/>
      <c r="WRX33" s="678"/>
      <c r="WRY33" s="678"/>
      <c r="WRZ33" s="678"/>
      <c r="WSA33" s="678"/>
      <c r="WSB33" s="678"/>
      <c r="WSC33" s="678"/>
      <c r="WSD33" s="678"/>
      <c r="WSE33" s="678"/>
      <c r="WSF33" s="678"/>
      <c r="WSG33" s="678"/>
      <c r="WSH33" s="678"/>
      <c r="WSI33" s="678"/>
      <c r="WSJ33" s="678"/>
      <c r="WSK33" s="678"/>
      <c r="WSL33" s="678"/>
      <c r="WSM33" s="678"/>
      <c r="WSN33" s="678"/>
      <c r="WSO33" s="678"/>
      <c r="WSP33" s="678"/>
      <c r="WSQ33" s="678"/>
      <c r="WSR33" s="678"/>
      <c r="WSS33" s="678"/>
      <c r="WST33" s="678"/>
      <c r="WSU33" s="678"/>
      <c r="WSV33" s="678"/>
      <c r="WSW33" s="678"/>
      <c r="WSX33" s="678"/>
      <c r="WSY33" s="678"/>
      <c r="WSZ33" s="678"/>
      <c r="WTA33" s="678"/>
      <c r="WTB33" s="678"/>
      <c r="WTC33" s="678"/>
      <c r="WTD33" s="678"/>
      <c r="WTE33" s="678"/>
      <c r="WTF33" s="678"/>
      <c r="WTG33" s="678"/>
      <c r="WTH33" s="678"/>
      <c r="WTI33" s="678"/>
      <c r="WTJ33" s="678"/>
      <c r="WTK33" s="678"/>
      <c r="WTL33" s="678"/>
      <c r="WTM33" s="678"/>
      <c r="WTN33" s="678"/>
      <c r="WTO33" s="678"/>
      <c r="WTP33" s="678"/>
      <c r="WTQ33" s="678"/>
      <c r="WTR33" s="678"/>
      <c r="WTS33" s="678"/>
      <c r="WTT33" s="678"/>
      <c r="WTU33" s="678"/>
      <c r="WTV33" s="678"/>
      <c r="WTW33" s="678"/>
      <c r="WTX33" s="678"/>
      <c r="WTY33" s="678"/>
      <c r="WTZ33" s="678"/>
      <c r="WUA33" s="678"/>
      <c r="WUB33" s="678"/>
      <c r="WUC33" s="678"/>
      <c r="WUD33" s="678"/>
      <c r="WUE33" s="678"/>
      <c r="WUF33" s="678"/>
      <c r="WUG33" s="678"/>
      <c r="WUH33" s="678"/>
      <c r="WUI33" s="678"/>
      <c r="WUJ33" s="678"/>
      <c r="WUK33" s="678"/>
      <c r="WUL33" s="678"/>
      <c r="WUM33" s="678"/>
      <c r="WUN33" s="678"/>
      <c r="WUO33" s="678"/>
      <c r="WUP33" s="678"/>
      <c r="WUQ33" s="678"/>
      <c r="WUR33" s="678"/>
      <c r="WUS33" s="678"/>
      <c r="WUT33" s="678"/>
      <c r="WUU33" s="678"/>
      <c r="WUV33" s="678"/>
      <c r="WUW33" s="678"/>
      <c r="WUX33" s="678"/>
      <c r="WUY33" s="678"/>
      <c r="WUZ33" s="678"/>
      <c r="WVA33" s="678"/>
      <c r="WVB33" s="678"/>
      <c r="WVC33" s="678"/>
      <c r="WVD33" s="678"/>
      <c r="WVE33" s="678"/>
      <c r="WVF33" s="678"/>
      <c r="WVG33" s="678"/>
      <c r="WVH33" s="678"/>
      <c r="WVI33" s="678"/>
      <c r="WVJ33" s="678"/>
      <c r="WVK33" s="678"/>
      <c r="WVL33" s="678"/>
      <c r="WVM33" s="678"/>
      <c r="WVN33" s="678"/>
      <c r="WVO33" s="678"/>
      <c r="WVP33" s="678"/>
      <c r="WVQ33" s="678"/>
      <c r="WVR33" s="678"/>
      <c r="WVS33" s="678"/>
      <c r="WVT33" s="678"/>
      <c r="WVU33" s="678"/>
      <c r="WVV33" s="678"/>
      <c r="WVW33" s="678"/>
      <c r="WVX33" s="678"/>
      <c r="WVY33" s="678"/>
      <c r="WVZ33" s="678"/>
      <c r="WWA33" s="678"/>
      <c r="WWB33" s="678"/>
      <c r="WWC33" s="678"/>
      <c r="WWD33" s="678"/>
      <c r="WWE33" s="678"/>
      <c r="WWF33" s="678"/>
      <c r="WWG33" s="678"/>
      <c r="WWH33" s="678"/>
      <c r="WWI33" s="678"/>
      <c r="WWJ33" s="678"/>
      <c r="WWK33" s="678"/>
      <c r="WWL33" s="678"/>
      <c r="WWM33" s="678"/>
      <c r="WWN33" s="678"/>
      <c r="WWO33" s="678"/>
      <c r="WWP33" s="678"/>
      <c r="WWQ33" s="678"/>
      <c r="WWR33" s="678"/>
      <c r="WWS33" s="678"/>
      <c r="WWT33" s="678"/>
      <c r="WWU33" s="678"/>
      <c r="WWV33" s="678"/>
      <c r="WWW33" s="678"/>
      <c r="WWX33" s="678"/>
      <c r="WWY33" s="678"/>
      <c r="WWZ33" s="678"/>
      <c r="WXA33" s="678"/>
      <c r="WXB33" s="678"/>
      <c r="WXC33" s="678"/>
      <c r="WXD33" s="678"/>
      <c r="WXE33" s="678"/>
      <c r="WXF33" s="678"/>
      <c r="WXG33" s="678"/>
      <c r="WXH33" s="678"/>
      <c r="WXI33" s="678"/>
      <c r="WXJ33" s="678"/>
      <c r="WXK33" s="678"/>
      <c r="WXL33" s="678"/>
      <c r="WXM33" s="678"/>
      <c r="WXN33" s="678"/>
      <c r="WXO33" s="678"/>
      <c r="WXP33" s="678"/>
      <c r="WXQ33" s="678"/>
      <c r="WXR33" s="678"/>
      <c r="WXS33" s="678"/>
      <c r="WXT33" s="678"/>
      <c r="WXU33" s="678"/>
      <c r="WXV33" s="678"/>
      <c r="WXW33" s="678"/>
      <c r="WXX33" s="678"/>
      <c r="WXY33" s="678"/>
      <c r="WXZ33" s="678"/>
      <c r="WYA33" s="678"/>
      <c r="WYB33" s="678"/>
      <c r="WYC33" s="678"/>
      <c r="WYD33" s="678"/>
      <c r="WYE33" s="678"/>
      <c r="WYF33" s="678"/>
      <c r="WYG33" s="678"/>
      <c r="WYH33" s="678"/>
      <c r="WYI33" s="678"/>
      <c r="WYJ33" s="678"/>
      <c r="WYK33" s="678"/>
      <c r="WYL33" s="678"/>
      <c r="WYM33" s="678"/>
      <c r="WYN33" s="678"/>
      <c r="WYO33" s="678"/>
      <c r="WYP33" s="678"/>
      <c r="WYQ33" s="678"/>
      <c r="WYR33" s="678"/>
      <c r="WYS33" s="678"/>
      <c r="WYT33" s="678"/>
      <c r="WYU33" s="678"/>
      <c r="WYV33" s="678"/>
      <c r="WYW33" s="678"/>
      <c r="WYX33" s="678"/>
      <c r="WYY33" s="678"/>
      <c r="WYZ33" s="678"/>
      <c r="WZA33" s="678"/>
      <c r="WZB33" s="678"/>
      <c r="WZC33" s="678"/>
      <c r="WZD33" s="678"/>
      <c r="WZE33" s="678"/>
      <c r="WZF33" s="678"/>
      <c r="WZG33" s="678"/>
      <c r="WZH33" s="678"/>
      <c r="WZI33" s="678"/>
      <c r="WZJ33" s="678"/>
      <c r="WZK33" s="678"/>
      <c r="WZL33" s="678"/>
      <c r="WZM33" s="678"/>
      <c r="WZN33" s="678"/>
      <c r="WZO33" s="678"/>
      <c r="WZP33" s="678"/>
      <c r="WZQ33" s="678"/>
      <c r="WZR33" s="678"/>
      <c r="WZS33" s="678"/>
      <c r="WZT33" s="678"/>
      <c r="WZU33" s="678"/>
      <c r="WZV33" s="678"/>
      <c r="WZW33" s="678"/>
      <c r="WZX33" s="678"/>
      <c r="WZY33" s="678"/>
      <c r="WZZ33" s="678"/>
      <c r="XAA33" s="678"/>
      <c r="XAB33" s="678"/>
      <c r="XAC33" s="678"/>
      <c r="XAD33" s="678"/>
      <c r="XAE33" s="678"/>
      <c r="XAF33" s="678"/>
      <c r="XAG33" s="678"/>
      <c r="XAH33" s="678"/>
      <c r="XAI33" s="678"/>
      <c r="XAJ33" s="678"/>
      <c r="XAK33" s="678"/>
      <c r="XAL33" s="678"/>
      <c r="XAM33" s="678"/>
      <c r="XAN33" s="678"/>
      <c r="XAO33" s="678"/>
      <c r="XAP33" s="678"/>
      <c r="XAQ33" s="678"/>
      <c r="XAR33" s="678"/>
      <c r="XAS33" s="678"/>
      <c r="XAT33" s="678"/>
      <c r="XAU33" s="678"/>
      <c r="XAV33" s="678"/>
      <c r="XAW33" s="678"/>
      <c r="XAX33" s="678"/>
      <c r="XAY33" s="678"/>
      <c r="XAZ33" s="678"/>
      <c r="XBA33" s="678"/>
      <c r="XBB33" s="678"/>
      <c r="XBC33" s="678"/>
      <c r="XBD33" s="678"/>
      <c r="XBE33" s="678"/>
      <c r="XBF33" s="678"/>
      <c r="XBG33" s="678"/>
      <c r="XBH33" s="678"/>
      <c r="XBI33" s="678"/>
      <c r="XBJ33" s="678"/>
      <c r="XBK33" s="678"/>
      <c r="XBL33" s="678"/>
      <c r="XBM33" s="678"/>
      <c r="XBN33" s="678"/>
      <c r="XBO33" s="678"/>
      <c r="XBP33" s="678"/>
      <c r="XBQ33" s="678"/>
      <c r="XBR33" s="678"/>
      <c r="XBS33" s="678"/>
      <c r="XBT33" s="678"/>
      <c r="XBU33" s="678"/>
      <c r="XBV33" s="678"/>
      <c r="XBW33" s="678"/>
      <c r="XBX33" s="678"/>
      <c r="XBY33" s="678"/>
      <c r="XBZ33" s="678"/>
      <c r="XCA33" s="678"/>
      <c r="XCB33" s="678"/>
      <c r="XCC33" s="678"/>
      <c r="XCD33" s="678"/>
      <c r="XCE33" s="678"/>
      <c r="XCF33" s="678"/>
      <c r="XCG33" s="678"/>
      <c r="XCH33" s="678"/>
      <c r="XCI33" s="678"/>
      <c r="XCJ33" s="678"/>
      <c r="XCK33" s="678"/>
      <c r="XCL33" s="678"/>
      <c r="XCM33" s="678"/>
      <c r="XCN33" s="678"/>
      <c r="XCO33" s="678"/>
      <c r="XCP33" s="678"/>
      <c r="XCQ33" s="678"/>
      <c r="XCR33" s="678"/>
      <c r="XCS33" s="678"/>
      <c r="XCT33" s="678"/>
      <c r="XCU33" s="678"/>
      <c r="XCV33" s="678"/>
      <c r="XCW33" s="678"/>
      <c r="XCX33" s="678"/>
      <c r="XCY33" s="678"/>
      <c r="XCZ33" s="678"/>
      <c r="XDA33" s="678"/>
      <c r="XDB33" s="678"/>
      <c r="XDC33" s="678"/>
      <c r="XDD33" s="678"/>
      <c r="XDE33" s="678"/>
      <c r="XDF33" s="678"/>
      <c r="XDG33" s="678"/>
      <c r="XDH33" s="678"/>
      <c r="XDI33" s="678"/>
      <c r="XDJ33" s="678"/>
      <c r="XDK33" s="678"/>
      <c r="XDL33" s="678"/>
      <c r="XDM33" s="678"/>
      <c r="XDN33" s="678"/>
      <c r="XDO33" s="678"/>
      <c r="XDP33" s="678"/>
      <c r="XDQ33" s="678"/>
      <c r="XDR33" s="678"/>
      <c r="XDS33" s="678"/>
      <c r="XDT33" s="678"/>
      <c r="XDU33" s="678"/>
      <c r="XDV33" s="678"/>
      <c r="XDW33" s="678"/>
      <c r="XDX33" s="678"/>
      <c r="XDY33" s="678"/>
      <c r="XDZ33" s="678"/>
      <c r="XEA33" s="678"/>
      <c r="XEB33" s="678"/>
      <c r="XEC33" s="678"/>
      <c r="XED33" s="678"/>
      <c r="XEE33" s="678"/>
      <c r="XEF33" s="678"/>
      <c r="XEG33" s="678"/>
      <c r="XEH33" s="678"/>
      <c r="XEI33" s="678"/>
      <c r="XEJ33" s="678"/>
      <c r="XEK33" s="678"/>
      <c r="XEL33" s="678"/>
      <c r="XEM33" s="678"/>
      <c r="XEN33" s="678"/>
      <c r="XEO33" s="678"/>
      <c r="XEP33" s="678"/>
      <c r="XEQ33" s="678"/>
      <c r="XER33" s="678"/>
      <c r="XES33" s="678"/>
      <c r="XET33" s="678"/>
      <c r="XEU33" s="678"/>
      <c r="XEV33" s="678"/>
      <c r="XEW33" s="678"/>
      <c r="XEX33" s="678"/>
      <c r="XEY33" s="678"/>
      <c r="XEZ33" s="678"/>
      <c r="XFA33" s="678"/>
      <c r="XFB33" s="678"/>
    </row>
    <row r="34" spans="1:16382" ht="20.100000000000001" customHeight="1">
      <c r="A34" s="678" t="s">
        <v>247</v>
      </c>
      <c r="B34" s="678"/>
      <c r="C34" s="678"/>
      <c r="D34" s="678"/>
      <c r="E34" s="678"/>
      <c r="F34" s="678"/>
      <c r="G34" s="678"/>
      <c r="H34" s="678"/>
      <c r="I34" s="678"/>
      <c r="J34" s="678"/>
      <c r="K34" s="678"/>
      <c r="L34" s="678"/>
      <c r="M34" s="678"/>
      <c r="N34" s="678"/>
      <c r="O34" s="678"/>
      <c r="P34" s="678"/>
      <c r="Q34" s="678"/>
      <c r="R34" s="678"/>
      <c r="S34" s="678"/>
      <c r="T34" s="678"/>
      <c r="U34" s="678"/>
      <c r="V34" s="678"/>
      <c r="W34" s="678"/>
      <c r="X34" s="678"/>
      <c r="Y34" s="678"/>
      <c r="Z34" s="678"/>
      <c r="AA34" s="678"/>
      <c r="AB34" s="678"/>
      <c r="AC34" s="678"/>
      <c r="AD34" s="678"/>
      <c r="AE34" s="678"/>
      <c r="AF34" s="678"/>
      <c r="AG34" s="12"/>
      <c r="AH34" s="278"/>
      <c r="AI34" s="12"/>
      <c r="AJ34" s="647"/>
      <c r="AK34" s="7"/>
      <c r="AL34" s="434"/>
      <c r="AM34" s="434"/>
      <c r="AN34" s="434"/>
      <c r="AO34" s="434"/>
      <c r="AP34" s="434"/>
      <c r="AQ34" s="649"/>
      <c r="AR34" s="649"/>
      <c r="AS34" s="649"/>
      <c r="AT34" s="649"/>
      <c r="AU34" s="649"/>
      <c r="AV34" s="434"/>
      <c r="AW34" s="649"/>
      <c r="AX34" s="678"/>
      <c r="AY34" s="678"/>
      <c r="AZ34" s="678"/>
      <c r="BA34" s="678"/>
      <c r="BB34" s="678"/>
      <c r="BC34" s="678"/>
      <c r="BD34" s="678"/>
      <c r="BE34" s="678"/>
      <c r="BF34" s="678"/>
      <c r="BG34" s="678"/>
      <c r="BH34" s="678"/>
      <c r="BI34" s="678"/>
      <c r="BJ34" s="678"/>
      <c r="BK34" s="678"/>
      <c r="BL34" s="678"/>
      <c r="BM34" s="678"/>
      <c r="BN34" s="678"/>
      <c r="BO34" s="678"/>
      <c r="BP34" s="678"/>
      <c r="BQ34" s="678"/>
      <c r="BR34" s="678"/>
      <c r="BS34" s="678"/>
      <c r="BT34" s="678"/>
      <c r="BU34" s="678"/>
      <c r="BV34" s="678"/>
      <c r="BW34" s="678"/>
      <c r="BX34" s="678"/>
      <c r="BY34" s="678"/>
      <c r="BZ34" s="678"/>
      <c r="CA34" s="678"/>
      <c r="CB34" s="678"/>
      <c r="CC34" s="678"/>
      <c r="CD34" s="678"/>
      <c r="CE34" s="678"/>
      <c r="CF34" s="678"/>
      <c r="CG34" s="678"/>
      <c r="CH34" s="678"/>
      <c r="CI34" s="678"/>
      <c r="CJ34" s="678"/>
      <c r="CK34" s="678"/>
      <c r="CL34" s="678"/>
      <c r="CM34" s="678"/>
      <c r="CN34" s="678"/>
      <c r="CO34" s="678"/>
      <c r="CP34" s="678"/>
      <c r="CQ34" s="678"/>
      <c r="CR34" s="678"/>
      <c r="CS34" s="678"/>
      <c r="CT34" s="678"/>
      <c r="CU34" s="678"/>
      <c r="CV34" s="678"/>
      <c r="CW34" s="678"/>
      <c r="CX34" s="678"/>
      <c r="CY34" s="678"/>
      <c r="CZ34" s="678"/>
      <c r="DA34" s="678"/>
      <c r="DB34" s="678"/>
      <c r="DC34" s="678"/>
      <c r="DD34" s="678"/>
      <c r="DE34" s="678"/>
      <c r="DF34" s="678"/>
      <c r="DG34" s="678"/>
      <c r="DH34" s="678"/>
      <c r="DI34" s="678"/>
      <c r="DJ34" s="678"/>
      <c r="DK34" s="678"/>
      <c r="DL34" s="678"/>
      <c r="DM34" s="678"/>
      <c r="DN34" s="678"/>
      <c r="DO34" s="678"/>
      <c r="DP34" s="678"/>
      <c r="DQ34" s="678"/>
      <c r="DR34" s="678"/>
      <c r="DS34" s="678"/>
      <c r="DT34" s="678"/>
      <c r="DU34" s="678"/>
      <c r="DV34" s="678"/>
      <c r="DW34" s="678"/>
      <c r="DX34" s="678"/>
      <c r="DY34" s="678"/>
      <c r="DZ34" s="678"/>
      <c r="EA34" s="678"/>
      <c r="EB34" s="678"/>
      <c r="EC34" s="678"/>
      <c r="ED34" s="678"/>
      <c r="EE34" s="678"/>
      <c r="EF34" s="678"/>
      <c r="EG34" s="678"/>
      <c r="EH34" s="678"/>
      <c r="EI34" s="678"/>
      <c r="EJ34" s="678"/>
      <c r="EK34" s="678"/>
      <c r="EL34" s="678"/>
      <c r="EM34" s="678"/>
      <c r="EN34" s="678"/>
      <c r="EO34" s="678"/>
      <c r="EP34" s="678"/>
      <c r="EQ34" s="678"/>
      <c r="ER34" s="678"/>
      <c r="ES34" s="678"/>
      <c r="ET34" s="678"/>
      <c r="EU34" s="678"/>
      <c r="EV34" s="678"/>
      <c r="EW34" s="678"/>
      <c r="EX34" s="678"/>
      <c r="EY34" s="678"/>
      <c r="EZ34" s="678"/>
      <c r="FA34" s="678"/>
      <c r="FB34" s="678"/>
      <c r="FC34" s="678"/>
      <c r="FD34" s="678"/>
      <c r="FE34" s="678"/>
      <c r="FF34" s="678"/>
      <c r="FG34" s="678"/>
      <c r="FH34" s="678"/>
      <c r="FI34" s="678"/>
      <c r="FJ34" s="678"/>
      <c r="FK34" s="678"/>
      <c r="FL34" s="678"/>
      <c r="FM34" s="678"/>
      <c r="FN34" s="678"/>
      <c r="FO34" s="678"/>
      <c r="FP34" s="678"/>
      <c r="FQ34" s="678"/>
      <c r="FR34" s="678"/>
      <c r="FS34" s="678"/>
      <c r="FT34" s="678"/>
      <c r="FU34" s="678"/>
      <c r="FV34" s="678"/>
      <c r="FW34" s="678"/>
      <c r="FX34" s="678"/>
      <c r="FY34" s="678"/>
      <c r="FZ34" s="678"/>
      <c r="GA34" s="678"/>
      <c r="GB34" s="678"/>
      <c r="GC34" s="678"/>
      <c r="GD34" s="678"/>
      <c r="GE34" s="678"/>
      <c r="GF34" s="678"/>
      <c r="GG34" s="678"/>
      <c r="GH34" s="678"/>
      <c r="GI34" s="678"/>
      <c r="GJ34" s="678"/>
      <c r="GK34" s="678"/>
      <c r="GL34" s="678"/>
      <c r="GM34" s="678"/>
      <c r="GN34" s="678"/>
      <c r="GO34" s="678"/>
      <c r="GP34" s="678"/>
      <c r="GQ34" s="678"/>
      <c r="GR34" s="678"/>
      <c r="GS34" s="678"/>
      <c r="GT34" s="678"/>
      <c r="GU34" s="678"/>
      <c r="GV34" s="678"/>
      <c r="GW34" s="678"/>
      <c r="GX34" s="678"/>
      <c r="GY34" s="678"/>
      <c r="GZ34" s="678"/>
      <c r="HA34" s="678"/>
      <c r="HB34" s="678"/>
      <c r="HC34" s="678"/>
      <c r="HD34" s="678"/>
      <c r="HE34" s="678"/>
      <c r="HF34" s="678"/>
      <c r="HG34" s="678"/>
      <c r="HH34" s="678"/>
      <c r="HI34" s="678"/>
      <c r="HJ34" s="678"/>
      <c r="HK34" s="678"/>
      <c r="HL34" s="678"/>
      <c r="HM34" s="678"/>
      <c r="HN34" s="678"/>
      <c r="HO34" s="678"/>
      <c r="HP34" s="678"/>
      <c r="HQ34" s="678"/>
      <c r="HR34" s="678"/>
      <c r="HS34" s="678"/>
      <c r="HT34" s="678"/>
      <c r="HU34" s="678"/>
      <c r="HV34" s="678"/>
      <c r="HW34" s="678"/>
      <c r="HX34" s="678"/>
      <c r="HY34" s="678"/>
      <c r="HZ34" s="678"/>
      <c r="IA34" s="678"/>
      <c r="IB34" s="678"/>
      <c r="IC34" s="678"/>
      <c r="ID34" s="678"/>
      <c r="IE34" s="678"/>
      <c r="IF34" s="678"/>
      <c r="IG34" s="678"/>
      <c r="IH34" s="678"/>
      <c r="II34" s="678"/>
      <c r="IJ34" s="678"/>
      <c r="IK34" s="678"/>
      <c r="IL34" s="678"/>
      <c r="IM34" s="678"/>
      <c r="IN34" s="678"/>
      <c r="IO34" s="678"/>
      <c r="IP34" s="678"/>
      <c r="IQ34" s="678"/>
      <c r="IR34" s="678"/>
      <c r="IS34" s="678"/>
      <c r="IT34" s="678"/>
      <c r="IU34" s="678"/>
      <c r="IV34" s="678"/>
      <c r="IW34" s="678"/>
      <c r="IX34" s="678"/>
      <c r="IY34" s="678"/>
      <c r="IZ34" s="678"/>
      <c r="JA34" s="678"/>
      <c r="JB34" s="678"/>
      <c r="JC34" s="678"/>
      <c r="JD34" s="678"/>
      <c r="JE34" s="678"/>
      <c r="JF34" s="678"/>
      <c r="JG34" s="678"/>
      <c r="JH34" s="678"/>
      <c r="JI34" s="678"/>
      <c r="JJ34" s="678"/>
      <c r="JK34" s="678"/>
      <c r="JL34" s="678"/>
      <c r="JM34" s="678"/>
      <c r="JN34" s="678"/>
      <c r="JO34" s="678"/>
      <c r="JP34" s="678"/>
      <c r="JQ34" s="678"/>
      <c r="JR34" s="678"/>
      <c r="JS34" s="678"/>
      <c r="JT34" s="678"/>
      <c r="JU34" s="678"/>
      <c r="JV34" s="678"/>
      <c r="JW34" s="678"/>
      <c r="JX34" s="678"/>
      <c r="JY34" s="678"/>
      <c r="JZ34" s="678"/>
      <c r="KA34" s="678"/>
      <c r="KB34" s="678"/>
      <c r="KC34" s="678"/>
      <c r="KD34" s="678"/>
      <c r="KE34" s="678"/>
      <c r="KF34" s="678"/>
      <c r="KG34" s="678"/>
      <c r="KH34" s="678"/>
      <c r="KI34" s="678"/>
      <c r="KJ34" s="678"/>
      <c r="KK34" s="678"/>
      <c r="KL34" s="678"/>
      <c r="KM34" s="678"/>
      <c r="KN34" s="678"/>
      <c r="KO34" s="678"/>
      <c r="KP34" s="678"/>
      <c r="KQ34" s="678"/>
      <c r="KR34" s="678"/>
      <c r="KS34" s="678"/>
      <c r="KT34" s="678"/>
      <c r="KU34" s="678"/>
      <c r="KV34" s="678"/>
      <c r="KW34" s="678"/>
      <c r="KX34" s="678"/>
      <c r="KY34" s="678"/>
      <c r="KZ34" s="678"/>
      <c r="LA34" s="678"/>
      <c r="LB34" s="678"/>
      <c r="LC34" s="678"/>
      <c r="LD34" s="678"/>
      <c r="LE34" s="678"/>
      <c r="LF34" s="678"/>
      <c r="LG34" s="678"/>
      <c r="LH34" s="678"/>
      <c r="LI34" s="678"/>
      <c r="LJ34" s="678"/>
      <c r="LK34" s="678"/>
      <c r="LL34" s="678"/>
      <c r="LM34" s="678"/>
      <c r="LN34" s="678"/>
      <c r="LO34" s="678"/>
      <c r="LP34" s="678"/>
      <c r="LQ34" s="678"/>
      <c r="LR34" s="678"/>
      <c r="LS34" s="678"/>
      <c r="LT34" s="678"/>
      <c r="LU34" s="678"/>
      <c r="LV34" s="678"/>
      <c r="LW34" s="678"/>
      <c r="LX34" s="678"/>
      <c r="LY34" s="678"/>
      <c r="LZ34" s="678"/>
      <c r="MA34" s="678"/>
      <c r="MB34" s="678"/>
      <c r="MC34" s="678"/>
      <c r="MD34" s="678"/>
      <c r="ME34" s="678"/>
      <c r="MF34" s="678"/>
      <c r="MG34" s="678"/>
      <c r="MH34" s="678"/>
      <c r="MI34" s="678"/>
      <c r="MJ34" s="678"/>
      <c r="MK34" s="678"/>
      <c r="ML34" s="678"/>
      <c r="MM34" s="678"/>
      <c r="MN34" s="678"/>
      <c r="MO34" s="678"/>
      <c r="MP34" s="678"/>
      <c r="MQ34" s="678"/>
      <c r="MR34" s="678"/>
      <c r="MS34" s="678"/>
      <c r="MT34" s="678"/>
      <c r="MU34" s="678"/>
      <c r="MV34" s="678"/>
      <c r="MW34" s="678"/>
      <c r="MX34" s="678"/>
      <c r="MY34" s="678"/>
      <c r="MZ34" s="678"/>
      <c r="NA34" s="678"/>
      <c r="NB34" s="678"/>
      <c r="NC34" s="678"/>
      <c r="ND34" s="678"/>
      <c r="NE34" s="678"/>
      <c r="NF34" s="678"/>
      <c r="NG34" s="678"/>
      <c r="NH34" s="678"/>
      <c r="NI34" s="678"/>
      <c r="NJ34" s="678"/>
      <c r="NK34" s="678"/>
      <c r="NL34" s="678"/>
      <c r="NM34" s="678"/>
      <c r="NN34" s="678"/>
      <c r="NO34" s="678"/>
      <c r="NP34" s="678"/>
      <c r="NQ34" s="678"/>
      <c r="NR34" s="678"/>
      <c r="NS34" s="678"/>
      <c r="NT34" s="678"/>
      <c r="NU34" s="678"/>
      <c r="NV34" s="678"/>
      <c r="NW34" s="678"/>
      <c r="NX34" s="678"/>
      <c r="NY34" s="678"/>
      <c r="NZ34" s="678"/>
      <c r="OA34" s="678"/>
      <c r="OB34" s="678"/>
      <c r="OC34" s="678"/>
      <c r="OD34" s="678"/>
      <c r="OE34" s="678"/>
      <c r="OF34" s="678"/>
      <c r="OG34" s="678"/>
      <c r="OH34" s="678"/>
      <c r="OI34" s="678"/>
      <c r="OJ34" s="678"/>
      <c r="OK34" s="678"/>
      <c r="OL34" s="678"/>
      <c r="OM34" s="678"/>
      <c r="ON34" s="678"/>
      <c r="OO34" s="678"/>
      <c r="OP34" s="678"/>
      <c r="OQ34" s="678"/>
      <c r="OR34" s="678"/>
      <c r="OS34" s="678"/>
      <c r="OT34" s="678"/>
      <c r="OU34" s="678"/>
      <c r="OV34" s="678"/>
      <c r="OW34" s="678"/>
      <c r="OX34" s="678"/>
      <c r="OY34" s="678"/>
      <c r="OZ34" s="678"/>
      <c r="PA34" s="678"/>
      <c r="PB34" s="678"/>
      <c r="PC34" s="678"/>
      <c r="PD34" s="678"/>
      <c r="PE34" s="678"/>
      <c r="PF34" s="678"/>
      <c r="PG34" s="678"/>
      <c r="PH34" s="678"/>
      <c r="PI34" s="678"/>
      <c r="PJ34" s="678"/>
      <c r="PK34" s="678"/>
      <c r="PL34" s="678"/>
      <c r="PM34" s="678"/>
      <c r="PN34" s="678"/>
      <c r="PO34" s="678"/>
      <c r="PP34" s="678"/>
      <c r="PQ34" s="678"/>
      <c r="PR34" s="678"/>
      <c r="PS34" s="678"/>
      <c r="PT34" s="678"/>
      <c r="PU34" s="678"/>
      <c r="PV34" s="678"/>
      <c r="PW34" s="678"/>
      <c r="PX34" s="678"/>
      <c r="PY34" s="678"/>
      <c r="PZ34" s="678"/>
      <c r="QA34" s="678"/>
      <c r="QB34" s="678"/>
      <c r="QC34" s="678"/>
      <c r="QD34" s="678"/>
      <c r="QE34" s="678"/>
      <c r="QF34" s="678"/>
      <c r="QG34" s="678"/>
      <c r="QH34" s="678"/>
      <c r="QI34" s="678"/>
      <c r="QJ34" s="678"/>
      <c r="QK34" s="678"/>
      <c r="QL34" s="678"/>
      <c r="QM34" s="678"/>
      <c r="QN34" s="678"/>
      <c r="QO34" s="678"/>
      <c r="QP34" s="678"/>
      <c r="QQ34" s="678"/>
      <c r="QR34" s="678"/>
      <c r="QS34" s="678"/>
      <c r="QT34" s="678"/>
      <c r="QU34" s="678"/>
      <c r="QV34" s="678"/>
      <c r="QW34" s="678"/>
      <c r="QX34" s="678"/>
      <c r="QY34" s="678"/>
      <c r="QZ34" s="678"/>
      <c r="RA34" s="678"/>
      <c r="RB34" s="678"/>
      <c r="RC34" s="678"/>
      <c r="RD34" s="678"/>
      <c r="RE34" s="678"/>
      <c r="RF34" s="678"/>
      <c r="RG34" s="678"/>
      <c r="RH34" s="678"/>
      <c r="RI34" s="678"/>
      <c r="RJ34" s="678"/>
      <c r="RK34" s="678"/>
      <c r="RL34" s="678"/>
      <c r="RM34" s="678"/>
      <c r="RN34" s="678"/>
      <c r="RO34" s="678"/>
      <c r="RP34" s="678"/>
      <c r="RQ34" s="678"/>
      <c r="RR34" s="678"/>
      <c r="RS34" s="678"/>
      <c r="RT34" s="678"/>
      <c r="RU34" s="678"/>
      <c r="RV34" s="678"/>
      <c r="RW34" s="678"/>
      <c r="RX34" s="678"/>
      <c r="RY34" s="678"/>
      <c r="RZ34" s="678"/>
      <c r="SA34" s="678"/>
      <c r="SB34" s="678"/>
      <c r="SC34" s="678"/>
      <c r="SD34" s="678"/>
      <c r="SE34" s="678"/>
      <c r="SF34" s="678"/>
      <c r="SG34" s="678"/>
      <c r="SH34" s="678"/>
      <c r="SI34" s="678"/>
      <c r="SJ34" s="678"/>
      <c r="SK34" s="678"/>
      <c r="SL34" s="678"/>
      <c r="SM34" s="678"/>
      <c r="SN34" s="678"/>
      <c r="SO34" s="678"/>
      <c r="SP34" s="678"/>
      <c r="SQ34" s="678"/>
      <c r="SR34" s="678"/>
      <c r="SS34" s="678"/>
      <c r="ST34" s="678"/>
      <c r="SU34" s="678"/>
      <c r="SV34" s="678"/>
      <c r="SW34" s="678"/>
      <c r="SX34" s="678"/>
      <c r="SY34" s="678"/>
      <c r="SZ34" s="678"/>
      <c r="TA34" s="678"/>
      <c r="TB34" s="678"/>
      <c r="TC34" s="678"/>
      <c r="TD34" s="678"/>
      <c r="TE34" s="678"/>
      <c r="TF34" s="678"/>
      <c r="TG34" s="678"/>
      <c r="TH34" s="678"/>
      <c r="TI34" s="678"/>
      <c r="TJ34" s="678"/>
      <c r="TK34" s="678"/>
      <c r="TL34" s="678"/>
      <c r="TM34" s="678"/>
      <c r="TN34" s="678"/>
      <c r="TO34" s="678"/>
      <c r="TP34" s="678"/>
      <c r="TQ34" s="678"/>
      <c r="TR34" s="678"/>
      <c r="TS34" s="678"/>
      <c r="TT34" s="678"/>
      <c r="TU34" s="678"/>
      <c r="TV34" s="678"/>
      <c r="TW34" s="678"/>
      <c r="TX34" s="678"/>
      <c r="TY34" s="678"/>
      <c r="TZ34" s="678"/>
      <c r="UA34" s="678"/>
      <c r="UB34" s="678"/>
      <c r="UC34" s="678"/>
      <c r="UD34" s="678"/>
      <c r="UE34" s="678"/>
      <c r="UF34" s="678"/>
      <c r="UG34" s="678"/>
      <c r="UH34" s="678"/>
      <c r="UI34" s="678"/>
      <c r="UJ34" s="678"/>
      <c r="UK34" s="678"/>
      <c r="UL34" s="678"/>
      <c r="UM34" s="678"/>
      <c r="UN34" s="678"/>
      <c r="UO34" s="678"/>
      <c r="UP34" s="678"/>
      <c r="UQ34" s="678"/>
      <c r="UR34" s="678"/>
      <c r="US34" s="678"/>
      <c r="UT34" s="678"/>
      <c r="UU34" s="678"/>
      <c r="UV34" s="678"/>
      <c r="UW34" s="678"/>
      <c r="UX34" s="678"/>
      <c r="UY34" s="678"/>
      <c r="UZ34" s="678"/>
      <c r="VA34" s="678"/>
      <c r="VB34" s="678"/>
      <c r="VC34" s="678"/>
      <c r="VD34" s="678"/>
      <c r="VE34" s="678"/>
      <c r="VF34" s="678"/>
      <c r="VG34" s="678"/>
      <c r="VH34" s="678"/>
      <c r="VI34" s="678"/>
      <c r="VJ34" s="678"/>
      <c r="VK34" s="678"/>
      <c r="VL34" s="678"/>
      <c r="VM34" s="678"/>
      <c r="VN34" s="678"/>
      <c r="VO34" s="678"/>
      <c r="VP34" s="678"/>
      <c r="VQ34" s="678"/>
      <c r="VR34" s="678"/>
      <c r="VS34" s="678"/>
      <c r="VT34" s="678"/>
      <c r="VU34" s="678"/>
      <c r="VV34" s="678"/>
      <c r="VW34" s="678"/>
      <c r="VX34" s="678"/>
      <c r="VY34" s="678"/>
      <c r="VZ34" s="678"/>
      <c r="WA34" s="678"/>
      <c r="WB34" s="678"/>
      <c r="WC34" s="678"/>
      <c r="WD34" s="678"/>
      <c r="WE34" s="678"/>
      <c r="WF34" s="678"/>
      <c r="WG34" s="678"/>
      <c r="WH34" s="678"/>
      <c r="WI34" s="678"/>
      <c r="WJ34" s="678"/>
      <c r="WK34" s="678"/>
      <c r="WL34" s="678"/>
      <c r="WM34" s="678"/>
      <c r="WN34" s="678"/>
      <c r="WO34" s="678"/>
      <c r="WP34" s="678"/>
      <c r="WQ34" s="678"/>
      <c r="WR34" s="678"/>
      <c r="WS34" s="678"/>
      <c r="WT34" s="678"/>
      <c r="WU34" s="678"/>
      <c r="WV34" s="678"/>
      <c r="WW34" s="678"/>
      <c r="WX34" s="678"/>
      <c r="WY34" s="678"/>
      <c r="WZ34" s="678"/>
      <c r="XA34" s="678"/>
      <c r="XB34" s="678"/>
      <c r="XC34" s="678"/>
      <c r="XD34" s="678"/>
      <c r="XE34" s="678"/>
      <c r="XF34" s="678"/>
      <c r="XG34" s="678"/>
      <c r="XH34" s="678"/>
      <c r="XI34" s="678"/>
      <c r="XJ34" s="678"/>
      <c r="XK34" s="678"/>
      <c r="XL34" s="678"/>
      <c r="XM34" s="678"/>
      <c r="XN34" s="678"/>
      <c r="XO34" s="678"/>
      <c r="XP34" s="678"/>
      <c r="XQ34" s="678"/>
      <c r="XR34" s="678"/>
      <c r="XS34" s="678"/>
      <c r="XT34" s="678"/>
      <c r="XU34" s="678"/>
      <c r="XV34" s="678"/>
      <c r="XW34" s="678"/>
      <c r="XX34" s="678"/>
      <c r="XY34" s="678"/>
      <c r="XZ34" s="678"/>
      <c r="YA34" s="678"/>
      <c r="YB34" s="678"/>
      <c r="YC34" s="678"/>
      <c r="YD34" s="678"/>
      <c r="YE34" s="678"/>
      <c r="YF34" s="678"/>
      <c r="YG34" s="678"/>
      <c r="YH34" s="678"/>
      <c r="YI34" s="678"/>
      <c r="YJ34" s="678"/>
      <c r="YK34" s="678"/>
      <c r="YL34" s="678"/>
      <c r="YM34" s="678"/>
      <c r="YN34" s="678"/>
      <c r="YO34" s="678"/>
      <c r="YP34" s="678"/>
      <c r="YQ34" s="678"/>
      <c r="YR34" s="678"/>
      <c r="YS34" s="678"/>
      <c r="YT34" s="678"/>
      <c r="YU34" s="678"/>
      <c r="YV34" s="678"/>
      <c r="YW34" s="678"/>
      <c r="YX34" s="678"/>
      <c r="YY34" s="678"/>
      <c r="YZ34" s="678"/>
      <c r="ZA34" s="678"/>
      <c r="ZB34" s="678"/>
      <c r="ZC34" s="678"/>
      <c r="ZD34" s="678"/>
      <c r="ZE34" s="678"/>
      <c r="ZF34" s="678"/>
      <c r="ZG34" s="678"/>
      <c r="ZH34" s="678"/>
      <c r="ZI34" s="678"/>
      <c r="ZJ34" s="678"/>
      <c r="ZK34" s="678"/>
      <c r="ZL34" s="678"/>
      <c r="ZM34" s="678"/>
      <c r="ZN34" s="678"/>
      <c r="ZO34" s="678"/>
      <c r="ZP34" s="678"/>
      <c r="ZQ34" s="678"/>
      <c r="ZR34" s="678"/>
      <c r="ZS34" s="678"/>
      <c r="ZT34" s="678"/>
      <c r="ZU34" s="678"/>
      <c r="ZV34" s="678"/>
      <c r="ZW34" s="678"/>
      <c r="ZX34" s="678"/>
      <c r="ZY34" s="678"/>
      <c r="ZZ34" s="678"/>
      <c r="AAA34" s="678"/>
      <c r="AAB34" s="678"/>
      <c r="AAC34" s="678"/>
      <c r="AAD34" s="678"/>
      <c r="AAE34" s="678"/>
      <c r="AAF34" s="678"/>
      <c r="AAG34" s="678"/>
      <c r="AAH34" s="678"/>
      <c r="AAI34" s="678"/>
      <c r="AAJ34" s="678"/>
      <c r="AAK34" s="678"/>
      <c r="AAL34" s="678"/>
      <c r="AAM34" s="678"/>
      <c r="AAN34" s="678"/>
      <c r="AAO34" s="678"/>
      <c r="AAP34" s="678"/>
      <c r="AAQ34" s="678"/>
      <c r="AAR34" s="678"/>
      <c r="AAS34" s="678"/>
      <c r="AAT34" s="678"/>
      <c r="AAU34" s="678"/>
      <c r="AAV34" s="678"/>
      <c r="AAW34" s="678"/>
      <c r="AAX34" s="678"/>
      <c r="AAY34" s="678"/>
      <c r="AAZ34" s="678"/>
      <c r="ABA34" s="678"/>
      <c r="ABB34" s="678"/>
      <c r="ABC34" s="678"/>
      <c r="ABD34" s="678"/>
      <c r="ABE34" s="678"/>
      <c r="ABF34" s="678"/>
      <c r="ABG34" s="678"/>
      <c r="ABH34" s="678"/>
      <c r="ABI34" s="678"/>
      <c r="ABJ34" s="678"/>
      <c r="ABK34" s="678"/>
      <c r="ABL34" s="678"/>
      <c r="ABM34" s="678"/>
      <c r="ABN34" s="678"/>
      <c r="ABO34" s="678"/>
      <c r="ABP34" s="678"/>
      <c r="ABQ34" s="678"/>
      <c r="ABR34" s="678"/>
      <c r="ABS34" s="678"/>
      <c r="ABT34" s="678"/>
      <c r="ABU34" s="678"/>
      <c r="ABV34" s="678"/>
      <c r="ABW34" s="678"/>
      <c r="ABX34" s="678"/>
      <c r="ABY34" s="678"/>
      <c r="ABZ34" s="678"/>
      <c r="ACA34" s="678"/>
      <c r="ACB34" s="678"/>
      <c r="ACC34" s="678"/>
      <c r="ACD34" s="678"/>
      <c r="ACE34" s="678"/>
      <c r="ACF34" s="678"/>
      <c r="ACG34" s="678"/>
      <c r="ACH34" s="678"/>
      <c r="ACI34" s="678"/>
      <c r="ACJ34" s="678"/>
      <c r="ACK34" s="678"/>
      <c r="ACL34" s="678"/>
      <c r="ACM34" s="678"/>
      <c r="ACN34" s="678"/>
      <c r="ACO34" s="678"/>
      <c r="ACP34" s="678"/>
      <c r="ACQ34" s="678"/>
      <c r="ACR34" s="678"/>
      <c r="ACS34" s="678"/>
      <c r="ACT34" s="678"/>
      <c r="ACU34" s="678"/>
      <c r="ACV34" s="678"/>
      <c r="ACW34" s="678"/>
      <c r="ACX34" s="678"/>
      <c r="ACY34" s="678"/>
      <c r="ACZ34" s="678"/>
      <c r="ADA34" s="678"/>
      <c r="ADB34" s="678"/>
      <c r="ADC34" s="678"/>
      <c r="ADD34" s="678"/>
      <c r="ADE34" s="678"/>
      <c r="ADF34" s="678"/>
      <c r="ADG34" s="678"/>
      <c r="ADH34" s="678"/>
      <c r="ADI34" s="678"/>
      <c r="ADJ34" s="678"/>
      <c r="ADK34" s="678"/>
      <c r="ADL34" s="678"/>
      <c r="ADM34" s="678"/>
      <c r="ADN34" s="678"/>
      <c r="ADO34" s="678"/>
      <c r="ADP34" s="678"/>
      <c r="ADQ34" s="678"/>
      <c r="ADR34" s="678"/>
      <c r="ADS34" s="678"/>
      <c r="ADT34" s="678"/>
      <c r="ADU34" s="678"/>
      <c r="ADV34" s="678"/>
      <c r="ADW34" s="678"/>
      <c r="ADX34" s="678"/>
      <c r="ADY34" s="678"/>
      <c r="ADZ34" s="678"/>
      <c r="AEA34" s="678"/>
      <c r="AEB34" s="678"/>
      <c r="AEC34" s="678"/>
      <c r="AED34" s="678"/>
      <c r="AEE34" s="678"/>
      <c r="AEF34" s="678"/>
      <c r="AEG34" s="678"/>
      <c r="AEH34" s="678"/>
      <c r="AEI34" s="678"/>
      <c r="AEJ34" s="678"/>
      <c r="AEK34" s="678"/>
      <c r="AEL34" s="678"/>
      <c r="AEM34" s="678"/>
      <c r="AEN34" s="678"/>
      <c r="AEO34" s="678"/>
      <c r="AEP34" s="678"/>
      <c r="AEQ34" s="678"/>
      <c r="AER34" s="678"/>
      <c r="AES34" s="678"/>
      <c r="AET34" s="678"/>
      <c r="AEU34" s="678"/>
      <c r="AEV34" s="678"/>
      <c r="AEW34" s="678"/>
      <c r="AEX34" s="678"/>
      <c r="AEY34" s="678"/>
      <c r="AEZ34" s="678"/>
      <c r="AFA34" s="678"/>
      <c r="AFB34" s="678"/>
      <c r="AFC34" s="678"/>
      <c r="AFD34" s="678"/>
      <c r="AFE34" s="678"/>
      <c r="AFF34" s="678"/>
      <c r="AFG34" s="678"/>
      <c r="AFH34" s="678"/>
      <c r="AFI34" s="678"/>
      <c r="AFJ34" s="678"/>
      <c r="AFK34" s="678"/>
      <c r="AFL34" s="678"/>
      <c r="AFM34" s="678"/>
      <c r="AFN34" s="678"/>
      <c r="AFO34" s="678"/>
      <c r="AFP34" s="678"/>
      <c r="AFQ34" s="678"/>
      <c r="AFR34" s="678"/>
      <c r="AFS34" s="678"/>
      <c r="AFT34" s="678"/>
      <c r="AFU34" s="678"/>
      <c r="AFV34" s="678"/>
      <c r="AFW34" s="678"/>
      <c r="AFX34" s="678"/>
      <c r="AFY34" s="678"/>
      <c r="AFZ34" s="678"/>
      <c r="AGA34" s="678"/>
      <c r="AGB34" s="678"/>
      <c r="AGC34" s="678"/>
      <c r="AGD34" s="678"/>
      <c r="AGE34" s="678"/>
      <c r="AGF34" s="678"/>
      <c r="AGG34" s="678"/>
      <c r="AGH34" s="678"/>
      <c r="AGI34" s="678"/>
      <c r="AGJ34" s="678"/>
      <c r="AGK34" s="678"/>
      <c r="AGL34" s="678"/>
      <c r="AGM34" s="678"/>
      <c r="AGN34" s="678"/>
      <c r="AGO34" s="678"/>
      <c r="AGP34" s="678"/>
      <c r="AGQ34" s="678"/>
      <c r="AGR34" s="678"/>
      <c r="AGS34" s="678"/>
      <c r="AGT34" s="678"/>
      <c r="AGU34" s="678"/>
      <c r="AGV34" s="678"/>
      <c r="AGW34" s="678"/>
      <c r="AGX34" s="678"/>
      <c r="AGY34" s="678"/>
      <c r="AGZ34" s="678"/>
      <c r="AHA34" s="678"/>
      <c r="AHB34" s="678"/>
      <c r="AHC34" s="678"/>
      <c r="AHD34" s="678"/>
      <c r="AHE34" s="678"/>
      <c r="AHF34" s="678"/>
      <c r="AHG34" s="678"/>
      <c r="AHH34" s="678"/>
      <c r="AHI34" s="678"/>
      <c r="AHJ34" s="678"/>
      <c r="AHK34" s="678"/>
      <c r="AHL34" s="678"/>
      <c r="AHM34" s="678"/>
      <c r="AHN34" s="678"/>
      <c r="AHO34" s="678"/>
      <c r="AHP34" s="678"/>
      <c r="AHQ34" s="678"/>
      <c r="AHR34" s="678"/>
      <c r="AHS34" s="678"/>
      <c r="AHT34" s="678"/>
      <c r="AHU34" s="678"/>
      <c r="AHV34" s="678"/>
      <c r="AHW34" s="678"/>
      <c r="AHX34" s="678"/>
      <c r="AHY34" s="678"/>
      <c r="AHZ34" s="678"/>
      <c r="AIA34" s="678"/>
      <c r="AIB34" s="678"/>
      <c r="AIC34" s="678"/>
      <c r="AID34" s="678"/>
      <c r="AIE34" s="678"/>
      <c r="AIF34" s="678"/>
      <c r="AIG34" s="678"/>
      <c r="AIH34" s="678"/>
      <c r="AII34" s="678"/>
      <c r="AIJ34" s="678"/>
      <c r="AIK34" s="678"/>
      <c r="AIL34" s="678"/>
      <c r="AIM34" s="678"/>
      <c r="AIN34" s="678"/>
      <c r="AIO34" s="678"/>
      <c r="AIP34" s="678"/>
      <c r="AIQ34" s="678"/>
      <c r="AIR34" s="678"/>
      <c r="AIS34" s="678"/>
      <c r="AIT34" s="678"/>
      <c r="AIU34" s="678"/>
      <c r="AIV34" s="678"/>
      <c r="AIW34" s="678"/>
      <c r="AIX34" s="678"/>
      <c r="AIY34" s="678"/>
      <c r="AIZ34" s="678"/>
      <c r="AJA34" s="678"/>
      <c r="AJB34" s="678"/>
      <c r="AJC34" s="678"/>
      <c r="AJD34" s="678"/>
      <c r="AJE34" s="678"/>
      <c r="AJF34" s="678"/>
      <c r="AJG34" s="678"/>
      <c r="AJH34" s="678"/>
      <c r="AJI34" s="678"/>
      <c r="AJJ34" s="678"/>
      <c r="AJK34" s="678"/>
      <c r="AJL34" s="678"/>
      <c r="AJM34" s="678"/>
      <c r="AJN34" s="678"/>
      <c r="AJO34" s="678"/>
      <c r="AJP34" s="678"/>
      <c r="AJQ34" s="678"/>
      <c r="AJR34" s="678"/>
      <c r="AJS34" s="678"/>
      <c r="AJT34" s="678"/>
      <c r="AJU34" s="678"/>
      <c r="AJV34" s="678"/>
      <c r="AJW34" s="678"/>
      <c r="AJX34" s="678"/>
      <c r="AJY34" s="678"/>
      <c r="AJZ34" s="678"/>
      <c r="AKA34" s="678"/>
      <c r="AKB34" s="678"/>
      <c r="AKC34" s="678"/>
      <c r="AKD34" s="678"/>
      <c r="AKE34" s="678"/>
      <c r="AKF34" s="678"/>
      <c r="AKG34" s="678"/>
      <c r="AKH34" s="678"/>
      <c r="AKI34" s="678"/>
      <c r="AKJ34" s="678"/>
      <c r="AKK34" s="678"/>
      <c r="AKL34" s="678"/>
      <c r="AKM34" s="678"/>
      <c r="AKN34" s="678"/>
      <c r="AKO34" s="678"/>
      <c r="AKP34" s="678"/>
      <c r="AKQ34" s="678"/>
      <c r="AKR34" s="678"/>
      <c r="AKS34" s="678"/>
      <c r="AKT34" s="678"/>
      <c r="AKU34" s="678"/>
      <c r="AKV34" s="678"/>
      <c r="AKW34" s="678"/>
      <c r="AKX34" s="678"/>
      <c r="AKY34" s="678"/>
      <c r="AKZ34" s="678"/>
      <c r="ALA34" s="678"/>
      <c r="ALB34" s="678"/>
      <c r="ALC34" s="678"/>
      <c r="ALD34" s="678"/>
      <c r="ALE34" s="678"/>
      <c r="ALF34" s="678"/>
      <c r="ALG34" s="678"/>
      <c r="ALH34" s="678"/>
      <c r="ALI34" s="678"/>
      <c r="ALJ34" s="678"/>
      <c r="ALK34" s="678"/>
      <c r="ALL34" s="678"/>
      <c r="ALM34" s="678"/>
      <c r="ALN34" s="678"/>
      <c r="ALO34" s="678"/>
      <c r="ALP34" s="678"/>
      <c r="ALQ34" s="678"/>
      <c r="ALR34" s="678"/>
      <c r="ALS34" s="678"/>
      <c r="ALT34" s="678"/>
      <c r="ALU34" s="678"/>
      <c r="ALV34" s="678"/>
      <c r="ALW34" s="678"/>
      <c r="ALX34" s="678"/>
      <c r="ALY34" s="678"/>
      <c r="ALZ34" s="678"/>
      <c r="AMA34" s="678"/>
      <c r="AMB34" s="678"/>
      <c r="AMC34" s="678"/>
      <c r="AMD34" s="678"/>
      <c r="AME34" s="678"/>
      <c r="AMF34" s="678"/>
      <c r="AMG34" s="678"/>
      <c r="AMH34" s="678"/>
      <c r="AMI34" s="678"/>
      <c r="AMJ34" s="678"/>
      <c r="AMK34" s="678"/>
      <c r="AML34" s="678"/>
      <c r="AMM34" s="678"/>
      <c r="AMN34" s="678"/>
      <c r="AMO34" s="678"/>
      <c r="AMP34" s="678"/>
      <c r="AMQ34" s="678"/>
      <c r="AMR34" s="678"/>
      <c r="AMS34" s="678"/>
      <c r="AMT34" s="678"/>
      <c r="AMU34" s="678"/>
      <c r="AMV34" s="678"/>
      <c r="AMW34" s="678"/>
      <c r="AMX34" s="678"/>
      <c r="AMY34" s="678"/>
      <c r="AMZ34" s="678"/>
      <c r="ANA34" s="678"/>
      <c r="ANB34" s="678"/>
      <c r="ANC34" s="678"/>
      <c r="AND34" s="678"/>
      <c r="ANE34" s="678"/>
      <c r="ANF34" s="678"/>
      <c r="ANG34" s="678"/>
      <c r="ANH34" s="678"/>
      <c r="ANI34" s="678"/>
      <c r="ANJ34" s="678"/>
      <c r="ANK34" s="678"/>
      <c r="ANL34" s="678"/>
      <c r="ANM34" s="678"/>
      <c r="ANN34" s="678"/>
      <c r="ANO34" s="678"/>
      <c r="ANP34" s="678"/>
      <c r="ANQ34" s="678"/>
      <c r="ANR34" s="678"/>
      <c r="ANS34" s="678"/>
      <c r="ANT34" s="678"/>
      <c r="ANU34" s="678"/>
      <c r="ANV34" s="678"/>
      <c r="ANW34" s="678"/>
      <c r="ANX34" s="678"/>
      <c r="ANY34" s="678"/>
      <c r="ANZ34" s="678"/>
      <c r="AOA34" s="678"/>
      <c r="AOB34" s="678"/>
      <c r="AOC34" s="678"/>
      <c r="AOD34" s="678"/>
      <c r="AOE34" s="678"/>
      <c r="AOF34" s="678"/>
      <c r="AOG34" s="678"/>
      <c r="AOH34" s="678"/>
      <c r="AOI34" s="678"/>
      <c r="AOJ34" s="678"/>
      <c r="AOK34" s="678"/>
      <c r="AOL34" s="678"/>
      <c r="AOM34" s="678"/>
      <c r="AON34" s="678"/>
      <c r="AOO34" s="678"/>
      <c r="AOP34" s="678"/>
      <c r="AOQ34" s="678"/>
      <c r="AOR34" s="678"/>
      <c r="AOS34" s="678"/>
      <c r="AOT34" s="678"/>
      <c r="AOU34" s="678"/>
      <c r="AOV34" s="678"/>
      <c r="AOW34" s="678"/>
      <c r="AOX34" s="678"/>
      <c r="AOY34" s="678"/>
      <c r="AOZ34" s="678"/>
      <c r="APA34" s="678"/>
      <c r="APB34" s="678"/>
      <c r="APC34" s="678"/>
      <c r="APD34" s="678"/>
      <c r="APE34" s="678"/>
      <c r="APF34" s="678"/>
      <c r="APG34" s="678"/>
      <c r="APH34" s="678"/>
      <c r="API34" s="678"/>
      <c r="APJ34" s="678"/>
      <c r="APK34" s="678"/>
      <c r="APL34" s="678"/>
      <c r="APM34" s="678"/>
      <c r="APN34" s="678"/>
      <c r="APO34" s="678"/>
      <c r="APP34" s="678"/>
      <c r="APQ34" s="678"/>
      <c r="APR34" s="678"/>
      <c r="APS34" s="678"/>
      <c r="APT34" s="678"/>
      <c r="APU34" s="678"/>
      <c r="APV34" s="678"/>
      <c r="APW34" s="678"/>
      <c r="APX34" s="678"/>
      <c r="APY34" s="678"/>
      <c r="APZ34" s="678"/>
      <c r="AQA34" s="678"/>
      <c r="AQB34" s="678"/>
      <c r="AQC34" s="678"/>
      <c r="AQD34" s="678"/>
      <c r="AQE34" s="678"/>
      <c r="AQF34" s="678"/>
      <c r="AQG34" s="678"/>
      <c r="AQH34" s="678"/>
      <c r="AQI34" s="678"/>
      <c r="AQJ34" s="678"/>
      <c r="AQK34" s="678"/>
      <c r="AQL34" s="678"/>
      <c r="AQM34" s="678"/>
      <c r="AQN34" s="678"/>
      <c r="AQO34" s="678"/>
      <c r="AQP34" s="678"/>
      <c r="AQQ34" s="678"/>
      <c r="AQR34" s="678"/>
      <c r="AQS34" s="678"/>
      <c r="AQT34" s="678"/>
      <c r="AQU34" s="678"/>
      <c r="AQV34" s="678"/>
      <c r="AQW34" s="678"/>
      <c r="AQX34" s="678"/>
      <c r="AQY34" s="678"/>
      <c r="AQZ34" s="678"/>
      <c r="ARA34" s="678"/>
      <c r="ARB34" s="678"/>
      <c r="ARC34" s="678"/>
      <c r="ARD34" s="678"/>
      <c r="ARE34" s="678"/>
      <c r="ARF34" s="678"/>
      <c r="ARG34" s="678"/>
      <c r="ARH34" s="678"/>
      <c r="ARI34" s="678"/>
      <c r="ARJ34" s="678"/>
      <c r="ARK34" s="678"/>
      <c r="ARL34" s="678"/>
      <c r="ARM34" s="678"/>
      <c r="ARN34" s="678"/>
      <c r="ARO34" s="678"/>
      <c r="ARP34" s="678"/>
      <c r="ARQ34" s="678"/>
      <c r="ARR34" s="678"/>
      <c r="ARS34" s="678"/>
      <c r="ART34" s="678"/>
      <c r="ARU34" s="678"/>
      <c r="ARV34" s="678"/>
      <c r="ARW34" s="678"/>
      <c r="ARX34" s="678"/>
      <c r="ARY34" s="678"/>
      <c r="ARZ34" s="678"/>
      <c r="ASA34" s="678"/>
      <c r="ASB34" s="678"/>
      <c r="ASC34" s="678"/>
      <c r="ASD34" s="678"/>
      <c r="ASE34" s="678"/>
      <c r="ASF34" s="678"/>
      <c r="ASG34" s="678"/>
      <c r="ASH34" s="678"/>
      <c r="ASI34" s="678"/>
      <c r="ASJ34" s="678"/>
      <c r="ASK34" s="678"/>
      <c r="ASL34" s="678"/>
      <c r="ASM34" s="678"/>
      <c r="ASN34" s="678"/>
      <c r="ASO34" s="678"/>
      <c r="ASP34" s="678"/>
      <c r="ASQ34" s="678"/>
      <c r="ASR34" s="678"/>
      <c r="ASS34" s="678"/>
      <c r="AST34" s="678"/>
      <c r="ASU34" s="678"/>
      <c r="ASV34" s="678"/>
      <c r="ASW34" s="678"/>
      <c r="ASX34" s="678"/>
      <c r="ASY34" s="678"/>
      <c r="ASZ34" s="678"/>
      <c r="ATA34" s="678"/>
      <c r="ATB34" s="678"/>
      <c r="ATC34" s="678"/>
      <c r="ATD34" s="678"/>
      <c r="ATE34" s="678"/>
      <c r="ATF34" s="678"/>
      <c r="ATG34" s="678"/>
      <c r="ATH34" s="678"/>
      <c r="ATI34" s="678"/>
      <c r="ATJ34" s="678"/>
      <c r="ATK34" s="678"/>
      <c r="ATL34" s="678"/>
      <c r="ATM34" s="678"/>
      <c r="ATN34" s="678"/>
      <c r="ATO34" s="678"/>
      <c r="ATP34" s="678"/>
      <c r="ATQ34" s="678"/>
      <c r="ATR34" s="678"/>
      <c r="ATS34" s="678"/>
      <c r="ATT34" s="678"/>
      <c r="ATU34" s="678"/>
      <c r="ATV34" s="678"/>
      <c r="ATW34" s="678"/>
      <c r="ATX34" s="678"/>
      <c r="ATY34" s="678"/>
      <c r="ATZ34" s="678"/>
      <c r="AUA34" s="678"/>
      <c r="AUB34" s="678"/>
      <c r="AUC34" s="678"/>
      <c r="AUD34" s="678"/>
      <c r="AUE34" s="678"/>
      <c r="AUF34" s="678"/>
      <c r="AUG34" s="678"/>
      <c r="AUH34" s="678"/>
      <c r="AUI34" s="678"/>
      <c r="AUJ34" s="678"/>
      <c r="AUK34" s="678"/>
      <c r="AUL34" s="678"/>
      <c r="AUM34" s="678"/>
      <c r="AUN34" s="678"/>
      <c r="AUO34" s="678"/>
      <c r="AUP34" s="678"/>
      <c r="AUQ34" s="678"/>
      <c r="AUR34" s="678"/>
      <c r="AUS34" s="678"/>
      <c r="AUT34" s="678"/>
      <c r="AUU34" s="678"/>
      <c r="AUV34" s="678"/>
      <c r="AUW34" s="678"/>
      <c r="AUX34" s="678"/>
      <c r="AUY34" s="678"/>
      <c r="AUZ34" s="678"/>
      <c r="AVA34" s="678"/>
      <c r="AVB34" s="678"/>
      <c r="AVC34" s="678"/>
      <c r="AVD34" s="678"/>
      <c r="AVE34" s="678"/>
      <c r="AVF34" s="678"/>
      <c r="AVG34" s="678"/>
      <c r="AVH34" s="678"/>
      <c r="AVI34" s="678"/>
      <c r="AVJ34" s="678"/>
      <c r="AVK34" s="678"/>
      <c r="AVL34" s="678"/>
      <c r="AVM34" s="678"/>
      <c r="AVN34" s="678"/>
      <c r="AVO34" s="678"/>
      <c r="AVP34" s="678"/>
      <c r="AVQ34" s="678"/>
      <c r="AVR34" s="678"/>
      <c r="AVS34" s="678"/>
      <c r="AVT34" s="678"/>
      <c r="AVU34" s="678"/>
      <c r="AVV34" s="678"/>
      <c r="AVW34" s="678"/>
      <c r="AVX34" s="678"/>
      <c r="AVY34" s="678"/>
      <c r="AVZ34" s="678"/>
      <c r="AWA34" s="678"/>
      <c r="AWB34" s="678"/>
      <c r="AWC34" s="678"/>
      <c r="AWD34" s="678"/>
      <c r="AWE34" s="678"/>
      <c r="AWF34" s="678"/>
      <c r="AWG34" s="678"/>
      <c r="AWH34" s="678"/>
      <c r="AWI34" s="678"/>
      <c r="AWJ34" s="678"/>
      <c r="AWK34" s="678"/>
      <c r="AWL34" s="678"/>
      <c r="AWM34" s="678"/>
      <c r="AWN34" s="678"/>
      <c r="AWO34" s="678"/>
      <c r="AWP34" s="678"/>
      <c r="AWQ34" s="678"/>
      <c r="AWR34" s="678"/>
      <c r="AWS34" s="678"/>
      <c r="AWT34" s="678"/>
      <c r="AWU34" s="678"/>
      <c r="AWV34" s="678"/>
      <c r="AWW34" s="678"/>
      <c r="AWX34" s="678"/>
      <c r="AWY34" s="678"/>
      <c r="AWZ34" s="678"/>
      <c r="AXA34" s="678"/>
      <c r="AXB34" s="678"/>
      <c r="AXC34" s="678"/>
      <c r="AXD34" s="678"/>
      <c r="AXE34" s="678"/>
      <c r="AXF34" s="678"/>
      <c r="AXG34" s="678"/>
      <c r="AXH34" s="678"/>
      <c r="AXI34" s="678"/>
      <c r="AXJ34" s="678"/>
      <c r="AXK34" s="678"/>
      <c r="AXL34" s="678"/>
      <c r="AXM34" s="678"/>
      <c r="AXN34" s="678"/>
      <c r="AXO34" s="678"/>
      <c r="AXP34" s="678"/>
      <c r="AXQ34" s="678"/>
      <c r="AXR34" s="678"/>
      <c r="AXS34" s="678"/>
      <c r="AXT34" s="678"/>
      <c r="AXU34" s="678"/>
      <c r="AXV34" s="678"/>
      <c r="AXW34" s="678"/>
      <c r="AXX34" s="678"/>
      <c r="AXY34" s="678"/>
      <c r="AXZ34" s="678"/>
      <c r="AYA34" s="678"/>
      <c r="AYB34" s="678"/>
      <c r="AYC34" s="678"/>
      <c r="AYD34" s="678"/>
      <c r="AYE34" s="678"/>
      <c r="AYF34" s="678"/>
      <c r="AYG34" s="678"/>
      <c r="AYH34" s="678"/>
      <c r="AYI34" s="678"/>
      <c r="AYJ34" s="678"/>
      <c r="AYK34" s="678"/>
      <c r="AYL34" s="678"/>
      <c r="AYM34" s="678"/>
      <c r="AYN34" s="678"/>
      <c r="AYO34" s="678"/>
      <c r="AYP34" s="678"/>
      <c r="AYQ34" s="678"/>
      <c r="AYR34" s="678"/>
      <c r="AYS34" s="678"/>
      <c r="AYT34" s="678"/>
      <c r="AYU34" s="678"/>
      <c r="AYV34" s="678"/>
      <c r="AYW34" s="678"/>
      <c r="AYX34" s="678"/>
      <c r="AYY34" s="678"/>
      <c r="AYZ34" s="678"/>
      <c r="AZA34" s="678"/>
      <c r="AZB34" s="678"/>
      <c r="AZC34" s="678"/>
      <c r="AZD34" s="678"/>
      <c r="AZE34" s="678"/>
      <c r="AZF34" s="678"/>
      <c r="AZG34" s="678"/>
      <c r="AZH34" s="678"/>
      <c r="AZI34" s="678"/>
      <c r="AZJ34" s="678"/>
      <c r="AZK34" s="678"/>
      <c r="AZL34" s="678"/>
      <c r="AZM34" s="678"/>
      <c r="AZN34" s="678"/>
      <c r="AZO34" s="678"/>
      <c r="AZP34" s="678"/>
      <c r="AZQ34" s="678"/>
      <c r="AZR34" s="678"/>
      <c r="AZS34" s="678"/>
      <c r="AZT34" s="678"/>
      <c r="AZU34" s="678"/>
      <c r="AZV34" s="678"/>
      <c r="AZW34" s="678"/>
      <c r="AZX34" s="678"/>
      <c r="AZY34" s="678"/>
      <c r="AZZ34" s="678"/>
      <c r="BAA34" s="678"/>
      <c r="BAB34" s="678"/>
      <c r="BAC34" s="678"/>
      <c r="BAD34" s="678"/>
      <c r="BAE34" s="678"/>
      <c r="BAF34" s="678"/>
      <c r="BAG34" s="678"/>
      <c r="BAH34" s="678"/>
      <c r="BAI34" s="678"/>
      <c r="BAJ34" s="678"/>
      <c r="BAK34" s="678"/>
      <c r="BAL34" s="678"/>
      <c r="BAM34" s="678"/>
      <c r="BAN34" s="678"/>
      <c r="BAO34" s="678"/>
      <c r="BAP34" s="678"/>
      <c r="BAQ34" s="678"/>
      <c r="BAR34" s="678"/>
      <c r="BAS34" s="678"/>
      <c r="BAT34" s="678"/>
      <c r="BAU34" s="678"/>
      <c r="BAV34" s="678"/>
      <c r="BAW34" s="678"/>
      <c r="BAX34" s="678"/>
      <c r="BAY34" s="678"/>
      <c r="BAZ34" s="678"/>
      <c r="BBA34" s="678"/>
      <c r="BBB34" s="678"/>
      <c r="BBC34" s="678"/>
      <c r="BBD34" s="678"/>
      <c r="BBE34" s="678"/>
      <c r="BBF34" s="678"/>
      <c r="BBG34" s="678"/>
      <c r="BBH34" s="678"/>
      <c r="BBI34" s="678"/>
      <c r="BBJ34" s="678"/>
      <c r="BBK34" s="678"/>
      <c r="BBL34" s="678"/>
      <c r="BBM34" s="678"/>
      <c r="BBN34" s="678"/>
      <c r="BBO34" s="678"/>
      <c r="BBP34" s="678"/>
      <c r="BBQ34" s="678"/>
      <c r="BBR34" s="678"/>
      <c r="BBS34" s="678"/>
      <c r="BBT34" s="678"/>
      <c r="BBU34" s="678"/>
      <c r="BBV34" s="678"/>
      <c r="BBW34" s="678"/>
      <c r="BBX34" s="678"/>
      <c r="BBY34" s="678"/>
      <c r="BBZ34" s="678"/>
      <c r="BCA34" s="678"/>
      <c r="BCB34" s="678"/>
      <c r="BCC34" s="678"/>
      <c r="BCD34" s="678"/>
      <c r="BCE34" s="678"/>
      <c r="BCF34" s="678"/>
      <c r="BCG34" s="678"/>
      <c r="BCH34" s="678"/>
      <c r="BCI34" s="678"/>
      <c r="BCJ34" s="678"/>
      <c r="BCK34" s="678"/>
      <c r="BCL34" s="678"/>
      <c r="BCM34" s="678"/>
      <c r="BCN34" s="678"/>
      <c r="BCO34" s="678"/>
      <c r="BCP34" s="678"/>
      <c r="BCQ34" s="678"/>
      <c r="BCR34" s="678"/>
      <c r="BCS34" s="678"/>
      <c r="BCT34" s="678"/>
      <c r="BCU34" s="678"/>
      <c r="BCV34" s="678"/>
      <c r="BCW34" s="678"/>
      <c r="BCX34" s="678"/>
      <c r="BCY34" s="678"/>
      <c r="BCZ34" s="678"/>
      <c r="BDA34" s="678"/>
      <c r="BDB34" s="678"/>
      <c r="BDC34" s="678"/>
      <c r="BDD34" s="678"/>
      <c r="BDE34" s="678"/>
      <c r="BDF34" s="678"/>
      <c r="BDG34" s="678"/>
      <c r="BDH34" s="678"/>
      <c r="BDI34" s="678"/>
      <c r="BDJ34" s="678"/>
      <c r="BDK34" s="678"/>
      <c r="BDL34" s="678"/>
      <c r="BDM34" s="678"/>
      <c r="BDN34" s="678"/>
      <c r="BDO34" s="678"/>
      <c r="BDP34" s="678"/>
      <c r="BDQ34" s="678"/>
      <c r="BDR34" s="678"/>
      <c r="BDS34" s="678"/>
      <c r="BDT34" s="678"/>
      <c r="BDU34" s="678"/>
      <c r="BDV34" s="678"/>
      <c r="BDW34" s="678"/>
      <c r="BDX34" s="678"/>
      <c r="BDY34" s="678"/>
      <c r="BDZ34" s="678"/>
      <c r="BEA34" s="678"/>
      <c r="BEB34" s="678"/>
      <c r="BEC34" s="678"/>
      <c r="BED34" s="678"/>
      <c r="BEE34" s="678"/>
      <c r="BEF34" s="678"/>
      <c r="BEG34" s="678"/>
      <c r="BEH34" s="678"/>
      <c r="BEI34" s="678"/>
      <c r="BEJ34" s="678"/>
      <c r="BEK34" s="678"/>
      <c r="BEL34" s="678"/>
      <c r="BEM34" s="678"/>
      <c r="BEN34" s="678"/>
      <c r="BEO34" s="678"/>
      <c r="BEP34" s="678"/>
      <c r="BEQ34" s="678"/>
      <c r="BER34" s="678"/>
      <c r="BES34" s="678"/>
      <c r="BET34" s="678"/>
      <c r="BEU34" s="678"/>
      <c r="BEV34" s="678"/>
      <c r="BEW34" s="678"/>
      <c r="BEX34" s="678"/>
      <c r="BEY34" s="678"/>
      <c r="BEZ34" s="678"/>
      <c r="BFA34" s="678"/>
      <c r="BFB34" s="678"/>
      <c r="BFC34" s="678"/>
      <c r="BFD34" s="678"/>
      <c r="BFE34" s="678"/>
      <c r="BFF34" s="678"/>
      <c r="BFG34" s="678"/>
      <c r="BFH34" s="678"/>
      <c r="BFI34" s="678"/>
      <c r="BFJ34" s="678"/>
      <c r="BFK34" s="678"/>
      <c r="BFL34" s="678"/>
      <c r="BFM34" s="678"/>
      <c r="BFN34" s="678"/>
      <c r="BFO34" s="678"/>
      <c r="BFP34" s="678"/>
      <c r="BFQ34" s="678"/>
      <c r="BFR34" s="678"/>
      <c r="BFS34" s="678"/>
      <c r="BFT34" s="678"/>
      <c r="BFU34" s="678"/>
      <c r="BFV34" s="678"/>
      <c r="BFW34" s="678"/>
      <c r="BFX34" s="678"/>
      <c r="BFY34" s="678"/>
      <c r="BFZ34" s="678"/>
      <c r="BGA34" s="678"/>
      <c r="BGB34" s="678"/>
      <c r="BGC34" s="678"/>
      <c r="BGD34" s="678"/>
      <c r="BGE34" s="678"/>
      <c r="BGF34" s="678"/>
      <c r="BGG34" s="678"/>
      <c r="BGH34" s="678"/>
      <c r="BGI34" s="678"/>
      <c r="BGJ34" s="678"/>
      <c r="BGK34" s="678"/>
      <c r="BGL34" s="678"/>
      <c r="BGM34" s="678"/>
      <c r="BGN34" s="678"/>
      <c r="BGO34" s="678"/>
      <c r="BGP34" s="678"/>
      <c r="BGQ34" s="678"/>
      <c r="BGR34" s="678"/>
      <c r="BGS34" s="678"/>
      <c r="BGT34" s="678"/>
      <c r="BGU34" s="678"/>
      <c r="BGV34" s="678"/>
      <c r="BGW34" s="678"/>
      <c r="BGX34" s="678"/>
      <c r="BGY34" s="678"/>
      <c r="BGZ34" s="678"/>
      <c r="BHA34" s="678"/>
      <c r="BHB34" s="678"/>
      <c r="BHC34" s="678"/>
      <c r="BHD34" s="678"/>
      <c r="BHE34" s="678"/>
      <c r="BHF34" s="678"/>
      <c r="BHG34" s="678"/>
      <c r="BHH34" s="678"/>
      <c r="BHI34" s="678"/>
      <c r="BHJ34" s="678"/>
      <c r="BHK34" s="678"/>
      <c r="BHL34" s="678"/>
      <c r="BHM34" s="678"/>
      <c r="BHN34" s="678"/>
      <c r="BHO34" s="678"/>
      <c r="BHP34" s="678"/>
      <c r="BHQ34" s="678"/>
      <c r="BHR34" s="678"/>
      <c r="BHS34" s="678"/>
      <c r="BHT34" s="678"/>
      <c r="BHU34" s="678"/>
      <c r="BHV34" s="678"/>
      <c r="BHW34" s="678"/>
      <c r="BHX34" s="678"/>
      <c r="BHY34" s="678"/>
      <c r="BHZ34" s="678"/>
      <c r="BIA34" s="678"/>
      <c r="BIB34" s="678"/>
      <c r="BIC34" s="678"/>
      <c r="BID34" s="678"/>
      <c r="BIE34" s="678"/>
      <c r="BIF34" s="678"/>
      <c r="BIG34" s="678"/>
      <c r="BIH34" s="678"/>
      <c r="BII34" s="678"/>
      <c r="BIJ34" s="678"/>
      <c r="BIK34" s="678"/>
      <c r="BIL34" s="678"/>
      <c r="BIM34" s="678"/>
      <c r="BIN34" s="678"/>
      <c r="BIO34" s="678"/>
      <c r="BIP34" s="678"/>
      <c r="BIQ34" s="678"/>
      <c r="BIR34" s="678"/>
      <c r="BIS34" s="678"/>
      <c r="BIT34" s="678"/>
      <c r="BIU34" s="678"/>
      <c r="BIV34" s="678"/>
      <c r="BIW34" s="678"/>
      <c r="BIX34" s="678"/>
      <c r="BIY34" s="678"/>
      <c r="BIZ34" s="678"/>
      <c r="BJA34" s="678"/>
      <c r="BJB34" s="678"/>
      <c r="BJC34" s="678"/>
      <c r="BJD34" s="678"/>
      <c r="BJE34" s="678"/>
      <c r="BJF34" s="678"/>
      <c r="BJG34" s="678"/>
      <c r="BJH34" s="678"/>
      <c r="BJI34" s="678"/>
      <c r="BJJ34" s="678"/>
      <c r="BJK34" s="678"/>
      <c r="BJL34" s="678"/>
      <c r="BJM34" s="678"/>
      <c r="BJN34" s="678"/>
      <c r="BJO34" s="678"/>
      <c r="BJP34" s="678"/>
      <c r="BJQ34" s="678"/>
      <c r="BJR34" s="678"/>
      <c r="BJS34" s="678"/>
      <c r="BJT34" s="678"/>
      <c r="BJU34" s="678"/>
      <c r="BJV34" s="678"/>
      <c r="BJW34" s="678"/>
      <c r="BJX34" s="678"/>
      <c r="BJY34" s="678"/>
      <c r="BJZ34" s="678"/>
      <c r="BKA34" s="678"/>
      <c r="BKB34" s="678"/>
      <c r="BKC34" s="678"/>
      <c r="BKD34" s="678"/>
      <c r="BKE34" s="678"/>
      <c r="BKF34" s="678"/>
      <c r="BKG34" s="678"/>
      <c r="BKH34" s="678"/>
      <c r="BKI34" s="678"/>
      <c r="BKJ34" s="678"/>
      <c r="BKK34" s="678"/>
      <c r="BKL34" s="678"/>
      <c r="BKM34" s="678"/>
      <c r="BKN34" s="678"/>
      <c r="BKO34" s="678"/>
      <c r="BKP34" s="678"/>
      <c r="BKQ34" s="678"/>
      <c r="BKR34" s="678"/>
      <c r="BKS34" s="678"/>
      <c r="BKT34" s="678"/>
      <c r="BKU34" s="678"/>
      <c r="BKV34" s="678"/>
      <c r="BKW34" s="678"/>
      <c r="BKX34" s="678"/>
      <c r="BKY34" s="678"/>
      <c r="BKZ34" s="678"/>
      <c r="BLA34" s="678"/>
      <c r="BLB34" s="678"/>
      <c r="BLC34" s="678"/>
      <c r="BLD34" s="678"/>
      <c r="BLE34" s="678"/>
      <c r="BLF34" s="678"/>
      <c r="BLG34" s="678"/>
      <c r="BLH34" s="678"/>
      <c r="BLI34" s="678"/>
      <c r="BLJ34" s="678"/>
      <c r="BLK34" s="678"/>
      <c r="BLL34" s="678"/>
      <c r="BLM34" s="678"/>
      <c r="BLN34" s="678"/>
      <c r="BLO34" s="678"/>
      <c r="BLP34" s="678"/>
      <c r="BLQ34" s="678"/>
      <c r="BLR34" s="678"/>
      <c r="BLS34" s="678"/>
      <c r="BLT34" s="678"/>
      <c r="BLU34" s="678"/>
      <c r="BLV34" s="678"/>
      <c r="BLW34" s="678"/>
      <c r="BLX34" s="678"/>
      <c r="BLY34" s="678"/>
      <c r="BLZ34" s="678"/>
      <c r="BMA34" s="678"/>
      <c r="BMB34" s="678"/>
      <c r="BMC34" s="678"/>
      <c r="BMD34" s="678"/>
      <c r="BME34" s="678"/>
      <c r="BMF34" s="678"/>
      <c r="BMG34" s="678"/>
      <c r="BMH34" s="678"/>
      <c r="BMI34" s="678"/>
      <c r="BMJ34" s="678"/>
      <c r="BMK34" s="678"/>
      <c r="BML34" s="678"/>
      <c r="BMM34" s="678"/>
      <c r="BMN34" s="678"/>
      <c r="BMO34" s="678"/>
      <c r="BMP34" s="678"/>
      <c r="BMQ34" s="678"/>
      <c r="BMR34" s="678"/>
      <c r="BMS34" s="678"/>
      <c r="BMT34" s="678"/>
      <c r="BMU34" s="678"/>
      <c r="BMV34" s="678"/>
      <c r="BMW34" s="678"/>
      <c r="BMX34" s="678"/>
      <c r="BMY34" s="678"/>
      <c r="BMZ34" s="678"/>
      <c r="BNA34" s="678"/>
      <c r="BNB34" s="678"/>
      <c r="BNC34" s="678"/>
      <c r="BND34" s="678"/>
      <c r="BNE34" s="678"/>
      <c r="BNF34" s="678"/>
      <c r="BNG34" s="678"/>
      <c r="BNH34" s="678"/>
      <c r="BNI34" s="678"/>
      <c r="BNJ34" s="678"/>
      <c r="BNK34" s="678"/>
      <c r="BNL34" s="678"/>
      <c r="BNM34" s="678"/>
      <c r="BNN34" s="678"/>
      <c r="BNO34" s="678"/>
      <c r="BNP34" s="678"/>
      <c r="BNQ34" s="678"/>
      <c r="BNR34" s="678"/>
      <c r="BNS34" s="678"/>
      <c r="BNT34" s="678"/>
      <c r="BNU34" s="678"/>
      <c r="BNV34" s="678"/>
      <c r="BNW34" s="678"/>
      <c r="BNX34" s="678"/>
      <c r="BNY34" s="678"/>
      <c r="BNZ34" s="678"/>
      <c r="BOA34" s="678"/>
      <c r="BOB34" s="678"/>
      <c r="BOC34" s="678"/>
      <c r="BOD34" s="678"/>
      <c r="BOE34" s="678"/>
      <c r="BOF34" s="678"/>
      <c r="BOG34" s="678"/>
      <c r="BOH34" s="678"/>
      <c r="BOI34" s="678"/>
      <c r="BOJ34" s="678"/>
      <c r="BOK34" s="678"/>
      <c r="BOL34" s="678"/>
      <c r="BOM34" s="678"/>
      <c r="BON34" s="678"/>
      <c r="BOO34" s="678"/>
      <c r="BOP34" s="678"/>
      <c r="BOQ34" s="678"/>
      <c r="BOR34" s="678"/>
      <c r="BOS34" s="678"/>
      <c r="BOT34" s="678"/>
      <c r="BOU34" s="678"/>
      <c r="BOV34" s="678"/>
      <c r="BOW34" s="678"/>
      <c r="BOX34" s="678"/>
      <c r="BOY34" s="678"/>
      <c r="BOZ34" s="678"/>
      <c r="BPA34" s="678"/>
      <c r="BPB34" s="678"/>
      <c r="BPC34" s="678"/>
      <c r="BPD34" s="678"/>
      <c r="BPE34" s="678"/>
      <c r="BPF34" s="678"/>
      <c r="BPG34" s="678"/>
      <c r="BPH34" s="678"/>
      <c r="BPI34" s="678"/>
      <c r="BPJ34" s="678"/>
      <c r="BPK34" s="678"/>
      <c r="BPL34" s="678"/>
      <c r="BPM34" s="678"/>
      <c r="BPN34" s="678"/>
      <c r="BPO34" s="678"/>
      <c r="BPP34" s="678"/>
      <c r="BPQ34" s="678"/>
      <c r="BPR34" s="678"/>
      <c r="BPS34" s="678"/>
      <c r="BPT34" s="678"/>
      <c r="BPU34" s="678"/>
      <c r="BPV34" s="678"/>
      <c r="BPW34" s="678"/>
      <c r="BPX34" s="678"/>
      <c r="BPY34" s="678"/>
      <c r="BPZ34" s="678"/>
      <c r="BQA34" s="678"/>
      <c r="BQB34" s="678"/>
      <c r="BQC34" s="678"/>
      <c r="BQD34" s="678"/>
      <c r="BQE34" s="678"/>
      <c r="BQF34" s="678"/>
      <c r="BQG34" s="678"/>
      <c r="BQH34" s="678"/>
      <c r="BQI34" s="678"/>
      <c r="BQJ34" s="678"/>
      <c r="BQK34" s="678"/>
      <c r="BQL34" s="678"/>
      <c r="BQM34" s="678"/>
      <c r="BQN34" s="678"/>
      <c r="BQO34" s="678"/>
      <c r="BQP34" s="678"/>
      <c r="BQQ34" s="678"/>
      <c r="BQR34" s="678"/>
      <c r="BQS34" s="678"/>
      <c r="BQT34" s="678"/>
      <c r="BQU34" s="678"/>
      <c r="BQV34" s="678"/>
      <c r="BQW34" s="678"/>
      <c r="BQX34" s="678"/>
      <c r="BQY34" s="678"/>
      <c r="BQZ34" s="678"/>
      <c r="BRA34" s="678"/>
      <c r="BRB34" s="678"/>
      <c r="BRC34" s="678"/>
      <c r="BRD34" s="678"/>
      <c r="BRE34" s="678"/>
      <c r="BRF34" s="678"/>
      <c r="BRG34" s="678"/>
      <c r="BRH34" s="678"/>
      <c r="BRI34" s="678"/>
      <c r="BRJ34" s="678"/>
      <c r="BRK34" s="678"/>
      <c r="BRL34" s="678"/>
      <c r="BRM34" s="678"/>
      <c r="BRN34" s="678"/>
      <c r="BRO34" s="678"/>
      <c r="BRP34" s="678"/>
      <c r="BRQ34" s="678"/>
      <c r="BRR34" s="678"/>
      <c r="BRS34" s="678"/>
      <c r="BRT34" s="678"/>
      <c r="BRU34" s="678"/>
      <c r="BRV34" s="678"/>
      <c r="BRW34" s="678"/>
      <c r="BRX34" s="678"/>
      <c r="BRY34" s="678"/>
      <c r="BRZ34" s="678"/>
      <c r="BSA34" s="678"/>
      <c r="BSB34" s="678"/>
      <c r="BSC34" s="678"/>
      <c r="BSD34" s="678"/>
      <c r="BSE34" s="678"/>
      <c r="BSF34" s="678"/>
      <c r="BSG34" s="678"/>
      <c r="BSH34" s="678"/>
      <c r="BSI34" s="678"/>
      <c r="BSJ34" s="678"/>
      <c r="BSK34" s="678"/>
      <c r="BSL34" s="678"/>
      <c r="BSM34" s="678"/>
      <c r="BSN34" s="678"/>
      <c r="BSO34" s="678"/>
      <c r="BSP34" s="678"/>
      <c r="BSQ34" s="678"/>
      <c r="BSR34" s="678"/>
      <c r="BSS34" s="678"/>
      <c r="BST34" s="678"/>
      <c r="BSU34" s="678"/>
      <c r="BSV34" s="678"/>
      <c r="BSW34" s="678"/>
      <c r="BSX34" s="678"/>
      <c r="BSY34" s="678"/>
      <c r="BSZ34" s="678"/>
      <c r="BTA34" s="678"/>
      <c r="BTB34" s="678"/>
      <c r="BTC34" s="678"/>
      <c r="BTD34" s="678"/>
      <c r="BTE34" s="678"/>
      <c r="BTF34" s="678"/>
      <c r="BTG34" s="678"/>
      <c r="BTH34" s="678"/>
      <c r="BTI34" s="678"/>
      <c r="BTJ34" s="678"/>
      <c r="BTK34" s="678"/>
      <c r="BTL34" s="678"/>
      <c r="BTM34" s="678"/>
      <c r="BTN34" s="678"/>
      <c r="BTO34" s="678"/>
      <c r="BTP34" s="678"/>
      <c r="BTQ34" s="678"/>
      <c r="BTR34" s="678"/>
      <c r="BTS34" s="678"/>
      <c r="BTT34" s="678"/>
      <c r="BTU34" s="678"/>
      <c r="BTV34" s="678"/>
      <c r="BTW34" s="678"/>
      <c r="BTX34" s="678"/>
      <c r="BTY34" s="678"/>
      <c r="BTZ34" s="678"/>
      <c r="BUA34" s="678"/>
      <c r="BUB34" s="678"/>
      <c r="BUC34" s="678"/>
      <c r="BUD34" s="678"/>
      <c r="BUE34" s="678"/>
      <c r="BUF34" s="678"/>
      <c r="BUG34" s="678"/>
      <c r="BUH34" s="678"/>
      <c r="BUI34" s="678"/>
      <c r="BUJ34" s="678"/>
      <c r="BUK34" s="678"/>
      <c r="BUL34" s="678"/>
      <c r="BUM34" s="678"/>
      <c r="BUN34" s="678"/>
      <c r="BUO34" s="678"/>
      <c r="BUP34" s="678"/>
      <c r="BUQ34" s="678"/>
      <c r="BUR34" s="678"/>
      <c r="BUS34" s="678"/>
      <c r="BUT34" s="678"/>
      <c r="BUU34" s="678"/>
      <c r="BUV34" s="678"/>
      <c r="BUW34" s="678"/>
      <c r="BUX34" s="678"/>
      <c r="BUY34" s="678"/>
      <c r="BUZ34" s="678"/>
      <c r="BVA34" s="678"/>
      <c r="BVB34" s="678"/>
      <c r="BVC34" s="678"/>
      <c r="BVD34" s="678"/>
      <c r="BVE34" s="678"/>
      <c r="BVF34" s="678"/>
      <c r="BVG34" s="678"/>
      <c r="BVH34" s="678"/>
      <c r="BVI34" s="678"/>
      <c r="BVJ34" s="678"/>
      <c r="BVK34" s="678"/>
      <c r="BVL34" s="678"/>
      <c r="BVM34" s="678"/>
      <c r="BVN34" s="678"/>
      <c r="BVO34" s="678"/>
      <c r="BVP34" s="678"/>
      <c r="BVQ34" s="678"/>
      <c r="BVR34" s="678"/>
      <c r="BVS34" s="678"/>
      <c r="BVT34" s="678"/>
      <c r="BVU34" s="678"/>
      <c r="BVV34" s="678"/>
      <c r="BVW34" s="678"/>
      <c r="BVX34" s="678"/>
      <c r="BVY34" s="678"/>
      <c r="BVZ34" s="678"/>
      <c r="BWA34" s="678"/>
      <c r="BWB34" s="678"/>
      <c r="BWC34" s="678"/>
      <c r="BWD34" s="678"/>
      <c r="BWE34" s="678"/>
      <c r="BWF34" s="678"/>
      <c r="BWG34" s="678"/>
      <c r="BWH34" s="678"/>
      <c r="BWI34" s="678"/>
      <c r="BWJ34" s="678"/>
      <c r="BWK34" s="678"/>
      <c r="BWL34" s="678"/>
      <c r="BWM34" s="678"/>
      <c r="BWN34" s="678"/>
      <c r="BWO34" s="678"/>
      <c r="BWP34" s="678"/>
      <c r="BWQ34" s="678"/>
      <c r="BWR34" s="678"/>
      <c r="BWS34" s="678"/>
      <c r="BWT34" s="678"/>
      <c r="BWU34" s="678"/>
      <c r="BWV34" s="678"/>
      <c r="BWW34" s="678"/>
      <c r="BWX34" s="678"/>
      <c r="BWY34" s="678"/>
      <c r="BWZ34" s="678"/>
      <c r="BXA34" s="678"/>
      <c r="BXB34" s="678"/>
      <c r="BXC34" s="678"/>
      <c r="BXD34" s="678"/>
      <c r="BXE34" s="678"/>
      <c r="BXF34" s="678"/>
      <c r="BXG34" s="678"/>
      <c r="BXH34" s="678"/>
      <c r="BXI34" s="678"/>
      <c r="BXJ34" s="678"/>
      <c r="BXK34" s="678"/>
      <c r="BXL34" s="678"/>
      <c r="BXM34" s="678"/>
      <c r="BXN34" s="678"/>
      <c r="BXO34" s="678"/>
      <c r="BXP34" s="678"/>
      <c r="BXQ34" s="678"/>
      <c r="BXR34" s="678"/>
      <c r="BXS34" s="678"/>
      <c r="BXT34" s="678"/>
      <c r="BXU34" s="678"/>
      <c r="BXV34" s="678"/>
      <c r="BXW34" s="678"/>
      <c r="BXX34" s="678"/>
      <c r="BXY34" s="678"/>
      <c r="BXZ34" s="678"/>
      <c r="BYA34" s="678"/>
      <c r="BYB34" s="678"/>
      <c r="BYC34" s="678"/>
      <c r="BYD34" s="678"/>
      <c r="BYE34" s="678"/>
      <c r="BYF34" s="678"/>
      <c r="BYG34" s="678"/>
      <c r="BYH34" s="678"/>
      <c r="BYI34" s="678"/>
      <c r="BYJ34" s="678"/>
      <c r="BYK34" s="678"/>
      <c r="BYL34" s="678"/>
      <c r="BYM34" s="678"/>
      <c r="BYN34" s="678"/>
      <c r="BYO34" s="678"/>
      <c r="BYP34" s="678"/>
      <c r="BYQ34" s="678"/>
      <c r="BYR34" s="678"/>
      <c r="BYS34" s="678"/>
      <c r="BYT34" s="678"/>
      <c r="BYU34" s="678"/>
      <c r="BYV34" s="678"/>
      <c r="BYW34" s="678"/>
      <c r="BYX34" s="678"/>
      <c r="BYY34" s="678"/>
      <c r="BYZ34" s="678"/>
      <c r="BZA34" s="678"/>
      <c r="BZB34" s="678"/>
      <c r="BZC34" s="678"/>
      <c r="BZD34" s="678"/>
      <c r="BZE34" s="678"/>
      <c r="BZF34" s="678"/>
      <c r="BZG34" s="678"/>
      <c r="BZH34" s="678"/>
      <c r="BZI34" s="678"/>
      <c r="BZJ34" s="678"/>
      <c r="BZK34" s="678"/>
      <c r="BZL34" s="678"/>
      <c r="BZM34" s="678"/>
      <c r="BZN34" s="678"/>
      <c r="BZO34" s="678"/>
      <c r="BZP34" s="678"/>
      <c r="BZQ34" s="678"/>
      <c r="BZR34" s="678"/>
      <c r="BZS34" s="678"/>
      <c r="BZT34" s="678"/>
      <c r="BZU34" s="678"/>
      <c r="BZV34" s="678"/>
      <c r="BZW34" s="678"/>
      <c r="BZX34" s="678"/>
      <c r="BZY34" s="678"/>
      <c r="BZZ34" s="678"/>
      <c r="CAA34" s="678"/>
      <c r="CAB34" s="678"/>
      <c r="CAC34" s="678"/>
      <c r="CAD34" s="678"/>
      <c r="CAE34" s="678"/>
      <c r="CAF34" s="678"/>
      <c r="CAG34" s="678"/>
      <c r="CAH34" s="678"/>
      <c r="CAI34" s="678"/>
      <c r="CAJ34" s="678"/>
      <c r="CAK34" s="678"/>
      <c r="CAL34" s="678"/>
      <c r="CAM34" s="678"/>
      <c r="CAN34" s="678"/>
      <c r="CAO34" s="678"/>
      <c r="CAP34" s="678"/>
      <c r="CAQ34" s="678"/>
      <c r="CAR34" s="678"/>
      <c r="CAS34" s="678"/>
      <c r="CAT34" s="678"/>
      <c r="CAU34" s="678"/>
      <c r="CAV34" s="678"/>
      <c r="CAW34" s="678"/>
      <c r="CAX34" s="678"/>
      <c r="CAY34" s="678"/>
      <c r="CAZ34" s="678"/>
      <c r="CBA34" s="678"/>
      <c r="CBB34" s="678"/>
      <c r="CBC34" s="678"/>
      <c r="CBD34" s="678"/>
      <c r="CBE34" s="678"/>
      <c r="CBF34" s="678"/>
      <c r="CBG34" s="678"/>
      <c r="CBH34" s="678"/>
      <c r="CBI34" s="678"/>
      <c r="CBJ34" s="678"/>
      <c r="CBK34" s="678"/>
      <c r="CBL34" s="678"/>
      <c r="CBM34" s="678"/>
      <c r="CBN34" s="678"/>
      <c r="CBO34" s="678"/>
      <c r="CBP34" s="678"/>
      <c r="CBQ34" s="678"/>
      <c r="CBR34" s="678"/>
      <c r="CBS34" s="678"/>
      <c r="CBT34" s="678"/>
      <c r="CBU34" s="678"/>
      <c r="CBV34" s="678"/>
      <c r="CBW34" s="678"/>
      <c r="CBX34" s="678"/>
      <c r="CBY34" s="678"/>
      <c r="CBZ34" s="678"/>
      <c r="CCA34" s="678"/>
      <c r="CCB34" s="678"/>
      <c r="CCC34" s="678"/>
      <c r="CCD34" s="678"/>
      <c r="CCE34" s="678"/>
      <c r="CCF34" s="678"/>
      <c r="CCG34" s="678"/>
      <c r="CCH34" s="678"/>
      <c r="CCI34" s="678"/>
      <c r="CCJ34" s="678"/>
      <c r="CCK34" s="678"/>
      <c r="CCL34" s="678"/>
      <c r="CCM34" s="678"/>
      <c r="CCN34" s="678"/>
      <c r="CCO34" s="678"/>
      <c r="CCP34" s="678"/>
      <c r="CCQ34" s="678"/>
      <c r="CCR34" s="678"/>
      <c r="CCS34" s="678"/>
      <c r="CCT34" s="678"/>
      <c r="CCU34" s="678"/>
      <c r="CCV34" s="678"/>
      <c r="CCW34" s="678"/>
      <c r="CCX34" s="678"/>
      <c r="CCY34" s="678"/>
      <c r="CCZ34" s="678"/>
      <c r="CDA34" s="678"/>
      <c r="CDB34" s="678"/>
      <c r="CDC34" s="678"/>
      <c r="CDD34" s="678"/>
      <c r="CDE34" s="678"/>
      <c r="CDF34" s="678"/>
      <c r="CDG34" s="678"/>
      <c r="CDH34" s="678"/>
      <c r="CDI34" s="678"/>
      <c r="CDJ34" s="678"/>
      <c r="CDK34" s="678"/>
      <c r="CDL34" s="678"/>
      <c r="CDM34" s="678"/>
      <c r="CDN34" s="678"/>
      <c r="CDO34" s="678"/>
      <c r="CDP34" s="678"/>
      <c r="CDQ34" s="678"/>
      <c r="CDR34" s="678"/>
      <c r="CDS34" s="678"/>
      <c r="CDT34" s="678"/>
      <c r="CDU34" s="678"/>
      <c r="CDV34" s="678"/>
      <c r="CDW34" s="678"/>
      <c r="CDX34" s="678"/>
      <c r="CDY34" s="678"/>
      <c r="CDZ34" s="678"/>
      <c r="CEA34" s="678"/>
      <c r="CEB34" s="678"/>
      <c r="CEC34" s="678"/>
      <c r="CED34" s="678"/>
      <c r="CEE34" s="678"/>
      <c r="CEF34" s="678"/>
      <c r="CEG34" s="678"/>
      <c r="CEH34" s="678"/>
      <c r="CEI34" s="678"/>
      <c r="CEJ34" s="678"/>
      <c r="CEK34" s="678"/>
      <c r="CEL34" s="678"/>
      <c r="CEM34" s="678"/>
      <c r="CEN34" s="678"/>
      <c r="CEO34" s="678"/>
      <c r="CEP34" s="678"/>
      <c r="CEQ34" s="678"/>
      <c r="CER34" s="678"/>
      <c r="CES34" s="678"/>
      <c r="CET34" s="678"/>
      <c r="CEU34" s="678"/>
      <c r="CEV34" s="678"/>
      <c r="CEW34" s="678"/>
      <c r="CEX34" s="678"/>
      <c r="CEY34" s="678"/>
      <c r="CEZ34" s="678"/>
      <c r="CFA34" s="678"/>
      <c r="CFB34" s="678"/>
      <c r="CFC34" s="678"/>
      <c r="CFD34" s="678"/>
      <c r="CFE34" s="678"/>
      <c r="CFF34" s="678"/>
      <c r="CFG34" s="678"/>
      <c r="CFH34" s="678"/>
      <c r="CFI34" s="678"/>
      <c r="CFJ34" s="678"/>
      <c r="CFK34" s="678"/>
      <c r="CFL34" s="678"/>
      <c r="CFM34" s="678"/>
      <c r="CFN34" s="678"/>
      <c r="CFO34" s="678"/>
      <c r="CFP34" s="678"/>
      <c r="CFQ34" s="678"/>
      <c r="CFR34" s="678"/>
      <c r="CFS34" s="678"/>
      <c r="CFT34" s="678"/>
      <c r="CFU34" s="678"/>
      <c r="CFV34" s="678"/>
      <c r="CFW34" s="678"/>
      <c r="CFX34" s="678"/>
      <c r="CFY34" s="678"/>
      <c r="CFZ34" s="678"/>
      <c r="CGA34" s="678"/>
      <c r="CGB34" s="678"/>
      <c r="CGC34" s="678"/>
      <c r="CGD34" s="678"/>
      <c r="CGE34" s="678"/>
      <c r="CGF34" s="678"/>
      <c r="CGG34" s="678"/>
      <c r="CGH34" s="678"/>
      <c r="CGI34" s="678"/>
      <c r="CGJ34" s="678"/>
      <c r="CGK34" s="678"/>
      <c r="CGL34" s="678"/>
      <c r="CGM34" s="678"/>
      <c r="CGN34" s="678"/>
      <c r="CGO34" s="678"/>
      <c r="CGP34" s="678"/>
      <c r="CGQ34" s="678"/>
      <c r="CGR34" s="678"/>
      <c r="CGS34" s="678"/>
      <c r="CGT34" s="678"/>
      <c r="CGU34" s="678"/>
      <c r="CGV34" s="678"/>
      <c r="CGW34" s="678"/>
      <c r="CGX34" s="678"/>
      <c r="CGY34" s="678"/>
      <c r="CGZ34" s="678"/>
      <c r="CHA34" s="678"/>
      <c r="CHB34" s="678"/>
      <c r="CHC34" s="678"/>
      <c r="CHD34" s="678"/>
      <c r="CHE34" s="678"/>
      <c r="CHF34" s="678"/>
      <c r="CHG34" s="678"/>
      <c r="CHH34" s="678"/>
      <c r="CHI34" s="678"/>
      <c r="CHJ34" s="678"/>
      <c r="CHK34" s="678"/>
      <c r="CHL34" s="678"/>
      <c r="CHM34" s="678"/>
      <c r="CHN34" s="678"/>
      <c r="CHO34" s="678"/>
      <c r="CHP34" s="678"/>
      <c r="CHQ34" s="678"/>
      <c r="CHR34" s="678"/>
      <c r="CHS34" s="678"/>
      <c r="CHT34" s="678"/>
      <c r="CHU34" s="678"/>
      <c r="CHV34" s="678"/>
      <c r="CHW34" s="678"/>
      <c r="CHX34" s="678"/>
      <c r="CHY34" s="678"/>
      <c r="CHZ34" s="678"/>
      <c r="CIA34" s="678"/>
      <c r="CIB34" s="678"/>
      <c r="CIC34" s="678"/>
      <c r="CID34" s="678"/>
      <c r="CIE34" s="678"/>
      <c r="CIF34" s="678"/>
      <c r="CIG34" s="678"/>
      <c r="CIH34" s="678"/>
      <c r="CII34" s="678"/>
      <c r="CIJ34" s="678"/>
      <c r="CIK34" s="678"/>
      <c r="CIL34" s="678"/>
      <c r="CIM34" s="678"/>
      <c r="CIN34" s="678"/>
      <c r="CIO34" s="678"/>
      <c r="CIP34" s="678"/>
      <c r="CIQ34" s="678"/>
      <c r="CIR34" s="678"/>
      <c r="CIS34" s="678"/>
      <c r="CIT34" s="678"/>
      <c r="CIU34" s="678"/>
      <c r="CIV34" s="678"/>
      <c r="CIW34" s="678"/>
      <c r="CIX34" s="678"/>
      <c r="CIY34" s="678"/>
      <c r="CIZ34" s="678"/>
      <c r="CJA34" s="678"/>
      <c r="CJB34" s="678"/>
      <c r="CJC34" s="678"/>
      <c r="CJD34" s="678"/>
      <c r="CJE34" s="678"/>
      <c r="CJF34" s="678"/>
      <c r="CJG34" s="678"/>
      <c r="CJH34" s="678"/>
      <c r="CJI34" s="678"/>
      <c r="CJJ34" s="678"/>
      <c r="CJK34" s="678"/>
      <c r="CJL34" s="678"/>
      <c r="CJM34" s="678"/>
      <c r="CJN34" s="678"/>
      <c r="CJO34" s="678"/>
      <c r="CJP34" s="678"/>
      <c r="CJQ34" s="678"/>
      <c r="CJR34" s="678"/>
      <c r="CJS34" s="678"/>
      <c r="CJT34" s="678"/>
      <c r="CJU34" s="678"/>
      <c r="CJV34" s="678"/>
      <c r="CJW34" s="678"/>
      <c r="CJX34" s="678"/>
      <c r="CJY34" s="678"/>
      <c r="CJZ34" s="678"/>
      <c r="CKA34" s="678"/>
      <c r="CKB34" s="678"/>
      <c r="CKC34" s="678"/>
      <c r="CKD34" s="678"/>
      <c r="CKE34" s="678"/>
      <c r="CKF34" s="678"/>
      <c r="CKG34" s="678"/>
      <c r="CKH34" s="678"/>
      <c r="CKI34" s="678"/>
      <c r="CKJ34" s="678"/>
      <c r="CKK34" s="678"/>
      <c r="CKL34" s="678"/>
      <c r="CKM34" s="678"/>
      <c r="CKN34" s="678"/>
      <c r="CKO34" s="678"/>
      <c r="CKP34" s="678"/>
      <c r="CKQ34" s="678"/>
      <c r="CKR34" s="678"/>
      <c r="CKS34" s="678"/>
      <c r="CKT34" s="678"/>
      <c r="CKU34" s="678"/>
      <c r="CKV34" s="678"/>
      <c r="CKW34" s="678"/>
      <c r="CKX34" s="678"/>
      <c r="CKY34" s="678"/>
      <c r="CKZ34" s="678"/>
      <c r="CLA34" s="678"/>
      <c r="CLB34" s="678"/>
      <c r="CLC34" s="678"/>
      <c r="CLD34" s="678"/>
      <c r="CLE34" s="678"/>
      <c r="CLF34" s="678"/>
      <c r="CLG34" s="678"/>
      <c r="CLH34" s="678"/>
      <c r="CLI34" s="678"/>
      <c r="CLJ34" s="678"/>
      <c r="CLK34" s="678"/>
      <c r="CLL34" s="678"/>
      <c r="CLM34" s="678"/>
      <c r="CLN34" s="678"/>
      <c r="CLO34" s="678"/>
      <c r="CLP34" s="678"/>
      <c r="CLQ34" s="678"/>
      <c r="CLR34" s="678"/>
      <c r="CLS34" s="678"/>
      <c r="CLT34" s="678"/>
      <c r="CLU34" s="678"/>
      <c r="CLV34" s="678"/>
      <c r="CLW34" s="678"/>
      <c r="CLX34" s="678"/>
      <c r="CLY34" s="678"/>
      <c r="CLZ34" s="678"/>
      <c r="CMA34" s="678"/>
      <c r="CMB34" s="678"/>
      <c r="CMC34" s="678"/>
      <c r="CMD34" s="678"/>
      <c r="CME34" s="678"/>
      <c r="CMF34" s="678"/>
      <c r="CMG34" s="678"/>
      <c r="CMH34" s="678"/>
      <c r="CMI34" s="678"/>
      <c r="CMJ34" s="678"/>
      <c r="CMK34" s="678"/>
      <c r="CML34" s="678"/>
      <c r="CMM34" s="678"/>
      <c r="CMN34" s="678"/>
      <c r="CMO34" s="678"/>
      <c r="CMP34" s="678"/>
      <c r="CMQ34" s="678"/>
      <c r="CMR34" s="678"/>
      <c r="CMS34" s="678"/>
      <c r="CMT34" s="678"/>
      <c r="CMU34" s="678"/>
      <c r="CMV34" s="678"/>
      <c r="CMW34" s="678"/>
      <c r="CMX34" s="678"/>
      <c r="CMY34" s="678"/>
      <c r="CMZ34" s="678"/>
      <c r="CNA34" s="678"/>
      <c r="CNB34" s="678"/>
      <c r="CNC34" s="678"/>
      <c r="CND34" s="678"/>
      <c r="CNE34" s="678"/>
      <c r="CNF34" s="678"/>
      <c r="CNG34" s="678"/>
      <c r="CNH34" s="678"/>
      <c r="CNI34" s="678"/>
      <c r="CNJ34" s="678"/>
      <c r="CNK34" s="678"/>
      <c r="CNL34" s="678"/>
      <c r="CNM34" s="678"/>
      <c r="CNN34" s="678"/>
      <c r="CNO34" s="678"/>
      <c r="CNP34" s="678"/>
      <c r="CNQ34" s="678"/>
      <c r="CNR34" s="678"/>
      <c r="CNS34" s="678"/>
      <c r="CNT34" s="678"/>
      <c r="CNU34" s="678"/>
      <c r="CNV34" s="678"/>
      <c r="CNW34" s="678"/>
      <c r="CNX34" s="678"/>
      <c r="CNY34" s="678"/>
      <c r="CNZ34" s="678"/>
      <c r="COA34" s="678"/>
      <c r="COB34" s="678"/>
      <c r="COC34" s="678"/>
      <c r="COD34" s="678"/>
      <c r="COE34" s="678"/>
      <c r="COF34" s="678"/>
      <c r="COG34" s="678"/>
      <c r="COH34" s="678"/>
      <c r="COI34" s="678"/>
      <c r="COJ34" s="678"/>
      <c r="COK34" s="678"/>
      <c r="COL34" s="678"/>
      <c r="COM34" s="678"/>
      <c r="CON34" s="678"/>
      <c r="COO34" s="678"/>
      <c r="COP34" s="678"/>
      <c r="COQ34" s="678"/>
      <c r="COR34" s="678"/>
      <c r="COS34" s="678"/>
      <c r="COT34" s="678"/>
      <c r="COU34" s="678"/>
      <c r="COV34" s="678"/>
      <c r="COW34" s="678"/>
      <c r="COX34" s="678"/>
      <c r="COY34" s="678"/>
      <c r="COZ34" s="678"/>
      <c r="CPA34" s="678"/>
      <c r="CPB34" s="678"/>
      <c r="CPC34" s="678"/>
      <c r="CPD34" s="678"/>
      <c r="CPE34" s="678"/>
      <c r="CPF34" s="678"/>
      <c r="CPG34" s="678"/>
      <c r="CPH34" s="678"/>
      <c r="CPI34" s="678"/>
      <c r="CPJ34" s="678"/>
      <c r="CPK34" s="678"/>
      <c r="CPL34" s="678"/>
      <c r="CPM34" s="678"/>
      <c r="CPN34" s="678"/>
      <c r="CPO34" s="678"/>
      <c r="CPP34" s="678"/>
      <c r="CPQ34" s="678"/>
      <c r="CPR34" s="678"/>
      <c r="CPS34" s="678"/>
      <c r="CPT34" s="678"/>
      <c r="CPU34" s="678"/>
      <c r="CPV34" s="678"/>
      <c r="CPW34" s="678"/>
      <c r="CPX34" s="678"/>
      <c r="CPY34" s="678"/>
      <c r="CPZ34" s="678"/>
      <c r="CQA34" s="678"/>
      <c r="CQB34" s="678"/>
      <c r="CQC34" s="678"/>
      <c r="CQD34" s="678"/>
      <c r="CQE34" s="678"/>
      <c r="CQF34" s="678"/>
      <c r="CQG34" s="678"/>
      <c r="CQH34" s="678"/>
      <c r="CQI34" s="678"/>
      <c r="CQJ34" s="678"/>
      <c r="CQK34" s="678"/>
      <c r="CQL34" s="678"/>
      <c r="CQM34" s="678"/>
      <c r="CQN34" s="678"/>
      <c r="CQO34" s="678"/>
      <c r="CQP34" s="678"/>
      <c r="CQQ34" s="678"/>
      <c r="CQR34" s="678"/>
      <c r="CQS34" s="678"/>
      <c r="CQT34" s="678"/>
      <c r="CQU34" s="678"/>
      <c r="CQV34" s="678"/>
      <c r="CQW34" s="678"/>
      <c r="CQX34" s="678"/>
      <c r="CQY34" s="678"/>
      <c r="CQZ34" s="678"/>
      <c r="CRA34" s="678"/>
      <c r="CRB34" s="678"/>
      <c r="CRC34" s="678"/>
      <c r="CRD34" s="678"/>
      <c r="CRE34" s="678"/>
      <c r="CRF34" s="678"/>
      <c r="CRG34" s="678"/>
      <c r="CRH34" s="678"/>
      <c r="CRI34" s="678"/>
      <c r="CRJ34" s="678"/>
      <c r="CRK34" s="678"/>
      <c r="CRL34" s="678"/>
      <c r="CRM34" s="678"/>
      <c r="CRN34" s="678"/>
      <c r="CRO34" s="678"/>
      <c r="CRP34" s="678"/>
      <c r="CRQ34" s="678"/>
      <c r="CRR34" s="678"/>
      <c r="CRS34" s="678"/>
      <c r="CRT34" s="678"/>
      <c r="CRU34" s="678"/>
      <c r="CRV34" s="678"/>
      <c r="CRW34" s="678"/>
      <c r="CRX34" s="678"/>
      <c r="CRY34" s="678"/>
      <c r="CRZ34" s="678"/>
      <c r="CSA34" s="678"/>
      <c r="CSB34" s="678"/>
      <c r="CSC34" s="678"/>
      <c r="CSD34" s="678"/>
      <c r="CSE34" s="678"/>
      <c r="CSF34" s="678"/>
      <c r="CSG34" s="678"/>
      <c r="CSH34" s="678"/>
      <c r="CSI34" s="678"/>
      <c r="CSJ34" s="678"/>
      <c r="CSK34" s="678"/>
      <c r="CSL34" s="678"/>
      <c r="CSM34" s="678"/>
      <c r="CSN34" s="678"/>
      <c r="CSO34" s="678"/>
      <c r="CSP34" s="678"/>
      <c r="CSQ34" s="678"/>
      <c r="CSR34" s="678"/>
      <c r="CSS34" s="678"/>
      <c r="CST34" s="678"/>
      <c r="CSU34" s="678"/>
      <c r="CSV34" s="678"/>
      <c r="CSW34" s="678"/>
      <c r="CSX34" s="678"/>
      <c r="CSY34" s="678"/>
      <c r="CSZ34" s="678"/>
      <c r="CTA34" s="678"/>
      <c r="CTB34" s="678"/>
      <c r="CTC34" s="678"/>
      <c r="CTD34" s="678"/>
      <c r="CTE34" s="678"/>
      <c r="CTF34" s="678"/>
      <c r="CTG34" s="678"/>
      <c r="CTH34" s="678"/>
      <c r="CTI34" s="678"/>
      <c r="CTJ34" s="678"/>
      <c r="CTK34" s="678"/>
      <c r="CTL34" s="678"/>
      <c r="CTM34" s="678"/>
      <c r="CTN34" s="678"/>
      <c r="CTO34" s="678"/>
      <c r="CTP34" s="678"/>
      <c r="CTQ34" s="678"/>
      <c r="CTR34" s="678"/>
      <c r="CTS34" s="678"/>
      <c r="CTT34" s="678"/>
      <c r="CTU34" s="678"/>
      <c r="CTV34" s="678"/>
      <c r="CTW34" s="678"/>
      <c r="CTX34" s="678"/>
      <c r="CTY34" s="678"/>
      <c r="CTZ34" s="678"/>
      <c r="CUA34" s="678"/>
      <c r="CUB34" s="678"/>
      <c r="CUC34" s="678"/>
      <c r="CUD34" s="678"/>
      <c r="CUE34" s="678"/>
      <c r="CUF34" s="678"/>
      <c r="CUG34" s="678"/>
      <c r="CUH34" s="678"/>
      <c r="CUI34" s="678"/>
      <c r="CUJ34" s="678"/>
      <c r="CUK34" s="678"/>
      <c r="CUL34" s="678"/>
      <c r="CUM34" s="678"/>
      <c r="CUN34" s="678"/>
      <c r="CUO34" s="678"/>
      <c r="CUP34" s="678"/>
      <c r="CUQ34" s="678"/>
      <c r="CUR34" s="678"/>
      <c r="CUS34" s="678"/>
      <c r="CUT34" s="678"/>
      <c r="CUU34" s="678"/>
      <c r="CUV34" s="678"/>
      <c r="CUW34" s="678"/>
      <c r="CUX34" s="678"/>
      <c r="CUY34" s="678"/>
      <c r="CUZ34" s="678"/>
      <c r="CVA34" s="678"/>
      <c r="CVB34" s="678"/>
      <c r="CVC34" s="678"/>
      <c r="CVD34" s="678"/>
      <c r="CVE34" s="678"/>
      <c r="CVF34" s="678"/>
      <c r="CVG34" s="678"/>
      <c r="CVH34" s="678"/>
      <c r="CVI34" s="678"/>
      <c r="CVJ34" s="678"/>
      <c r="CVK34" s="678"/>
      <c r="CVL34" s="678"/>
      <c r="CVM34" s="678"/>
      <c r="CVN34" s="678"/>
      <c r="CVO34" s="678"/>
      <c r="CVP34" s="678"/>
      <c r="CVQ34" s="678"/>
      <c r="CVR34" s="678"/>
      <c r="CVS34" s="678"/>
      <c r="CVT34" s="678"/>
      <c r="CVU34" s="678"/>
      <c r="CVV34" s="678"/>
      <c r="CVW34" s="678"/>
      <c r="CVX34" s="678"/>
      <c r="CVY34" s="678"/>
      <c r="CVZ34" s="678"/>
      <c r="CWA34" s="678"/>
      <c r="CWB34" s="678"/>
      <c r="CWC34" s="678"/>
      <c r="CWD34" s="678"/>
      <c r="CWE34" s="678"/>
      <c r="CWF34" s="678"/>
      <c r="CWG34" s="678"/>
      <c r="CWH34" s="678"/>
      <c r="CWI34" s="678"/>
      <c r="CWJ34" s="678"/>
      <c r="CWK34" s="678"/>
      <c r="CWL34" s="678"/>
      <c r="CWM34" s="678"/>
      <c r="CWN34" s="678"/>
      <c r="CWO34" s="678"/>
      <c r="CWP34" s="678"/>
      <c r="CWQ34" s="678"/>
      <c r="CWR34" s="678"/>
      <c r="CWS34" s="678"/>
      <c r="CWT34" s="678"/>
      <c r="CWU34" s="678"/>
      <c r="CWV34" s="678"/>
      <c r="CWW34" s="678"/>
      <c r="CWX34" s="678"/>
      <c r="CWY34" s="678"/>
      <c r="CWZ34" s="678"/>
      <c r="CXA34" s="678"/>
      <c r="CXB34" s="678"/>
      <c r="CXC34" s="678"/>
      <c r="CXD34" s="678"/>
      <c r="CXE34" s="678"/>
      <c r="CXF34" s="678"/>
      <c r="CXG34" s="678"/>
      <c r="CXH34" s="678"/>
      <c r="CXI34" s="678"/>
      <c r="CXJ34" s="678"/>
      <c r="CXK34" s="678"/>
      <c r="CXL34" s="678"/>
      <c r="CXM34" s="678"/>
      <c r="CXN34" s="678"/>
      <c r="CXO34" s="678"/>
      <c r="CXP34" s="678"/>
      <c r="CXQ34" s="678"/>
      <c r="CXR34" s="678"/>
      <c r="CXS34" s="678"/>
      <c r="CXT34" s="678"/>
      <c r="CXU34" s="678"/>
      <c r="CXV34" s="678"/>
      <c r="CXW34" s="678"/>
      <c r="CXX34" s="678"/>
      <c r="CXY34" s="678"/>
      <c r="CXZ34" s="678"/>
      <c r="CYA34" s="678"/>
      <c r="CYB34" s="678"/>
      <c r="CYC34" s="678"/>
      <c r="CYD34" s="678"/>
      <c r="CYE34" s="678"/>
      <c r="CYF34" s="678"/>
      <c r="CYG34" s="678"/>
      <c r="CYH34" s="678"/>
      <c r="CYI34" s="678"/>
      <c r="CYJ34" s="678"/>
      <c r="CYK34" s="678"/>
      <c r="CYL34" s="678"/>
      <c r="CYM34" s="678"/>
      <c r="CYN34" s="678"/>
      <c r="CYO34" s="678"/>
      <c r="CYP34" s="678"/>
      <c r="CYQ34" s="678"/>
      <c r="CYR34" s="678"/>
      <c r="CYS34" s="678"/>
      <c r="CYT34" s="678"/>
      <c r="CYU34" s="678"/>
      <c r="CYV34" s="678"/>
      <c r="CYW34" s="678"/>
      <c r="CYX34" s="678"/>
      <c r="CYY34" s="678"/>
      <c r="CYZ34" s="678"/>
      <c r="CZA34" s="678"/>
      <c r="CZB34" s="678"/>
      <c r="CZC34" s="678"/>
      <c r="CZD34" s="678"/>
      <c r="CZE34" s="678"/>
      <c r="CZF34" s="678"/>
      <c r="CZG34" s="678"/>
      <c r="CZH34" s="678"/>
      <c r="CZI34" s="678"/>
      <c r="CZJ34" s="678"/>
      <c r="CZK34" s="678"/>
      <c r="CZL34" s="678"/>
      <c r="CZM34" s="678"/>
      <c r="CZN34" s="678"/>
      <c r="CZO34" s="678"/>
      <c r="CZP34" s="678"/>
      <c r="CZQ34" s="678"/>
      <c r="CZR34" s="678"/>
      <c r="CZS34" s="678"/>
      <c r="CZT34" s="678"/>
      <c r="CZU34" s="678"/>
      <c r="CZV34" s="678"/>
      <c r="CZW34" s="678"/>
      <c r="CZX34" s="678"/>
      <c r="CZY34" s="678"/>
      <c r="CZZ34" s="678"/>
      <c r="DAA34" s="678"/>
      <c r="DAB34" s="678"/>
      <c r="DAC34" s="678"/>
      <c r="DAD34" s="678"/>
      <c r="DAE34" s="678"/>
      <c r="DAF34" s="678"/>
      <c r="DAG34" s="678"/>
      <c r="DAH34" s="678"/>
      <c r="DAI34" s="678"/>
      <c r="DAJ34" s="678"/>
      <c r="DAK34" s="678"/>
      <c r="DAL34" s="678"/>
      <c r="DAM34" s="678"/>
      <c r="DAN34" s="678"/>
      <c r="DAO34" s="678"/>
      <c r="DAP34" s="678"/>
      <c r="DAQ34" s="678"/>
      <c r="DAR34" s="678"/>
      <c r="DAS34" s="678"/>
      <c r="DAT34" s="678"/>
      <c r="DAU34" s="678"/>
      <c r="DAV34" s="678"/>
      <c r="DAW34" s="678"/>
      <c r="DAX34" s="678"/>
      <c r="DAY34" s="678"/>
      <c r="DAZ34" s="678"/>
      <c r="DBA34" s="678"/>
      <c r="DBB34" s="678"/>
      <c r="DBC34" s="678"/>
      <c r="DBD34" s="678"/>
      <c r="DBE34" s="678"/>
      <c r="DBF34" s="678"/>
      <c r="DBG34" s="678"/>
      <c r="DBH34" s="678"/>
      <c r="DBI34" s="678"/>
      <c r="DBJ34" s="678"/>
      <c r="DBK34" s="678"/>
      <c r="DBL34" s="678"/>
      <c r="DBM34" s="678"/>
      <c r="DBN34" s="678"/>
      <c r="DBO34" s="678"/>
      <c r="DBP34" s="678"/>
      <c r="DBQ34" s="678"/>
      <c r="DBR34" s="678"/>
      <c r="DBS34" s="678"/>
      <c r="DBT34" s="678"/>
      <c r="DBU34" s="678"/>
      <c r="DBV34" s="678"/>
      <c r="DBW34" s="678"/>
      <c r="DBX34" s="678"/>
      <c r="DBY34" s="678"/>
      <c r="DBZ34" s="678"/>
      <c r="DCA34" s="678"/>
      <c r="DCB34" s="678"/>
      <c r="DCC34" s="678"/>
      <c r="DCD34" s="678"/>
      <c r="DCE34" s="678"/>
      <c r="DCF34" s="678"/>
      <c r="DCG34" s="678"/>
      <c r="DCH34" s="678"/>
      <c r="DCI34" s="678"/>
      <c r="DCJ34" s="678"/>
      <c r="DCK34" s="678"/>
      <c r="DCL34" s="678"/>
      <c r="DCM34" s="678"/>
      <c r="DCN34" s="678"/>
      <c r="DCO34" s="678"/>
      <c r="DCP34" s="678"/>
      <c r="DCQ34" s="678"/>
      <c r="DCR34" s="678"/>
      <c r="DCS34" s="678"/>
      <c r="DCT34" s="678"/>
      <c r="DCU34" s="678"/>
      <c r="DCV34" s="678"/>
      <c r="DCW34" s="678"/>
      <c r="DCX34" s="678"/>
      <c r="DCY34" s="678"/>
      <c r="DCZ34" s="678"/>
      <c r="DDA34" s="678"/>
      <c r="DDB34" s="678"/>
      <c r="DDC34" s="678"/>
      <c r="DDD34" s="678"/>
      <c r="DDE34" s="678"/>
      <c r="DDF34" s="678"/>
      <c r="DDG34" s="678"/>
      <c r="DDH34" s="678"/>
      <c r="DDI34" s="678"/>
      <c r="DDJ34" s="678"/>
      <c r="DDK34" s="678"/>
      <c r="DDL34" s="678"/>
      <c r="DDM34" s="678"/>
      <c r="DDN34" s="678"/>
      <c r="DDO34" s="678"/>
      <c r="DDP34" s="678"/>
      <c r="DDQ34" s="678"/>
      <c r="DDR34" s="678"/>
      <c r="DDS34" s="678"/>
      <c r="DDT34" s="678"/>
      <c r="DDU34" s="678"/>
      <c r="DDV34" s="678"/>
      <c r="DDW34" s="678"/>
      <c r="DDX34" s="678"/>
      <c r="DDY34" s="678"/>
      <c r="DDZ34" s="678"/>
      <c r="DEA34" s="678"/>
      <c r="DEB34" s="678"/>
      <c r="DEC34" s="678"/>
      <c r="DED34" s="678"/>
      <c r="DEE34" s="678"/>
      <c r="DEF34" s="678"/>
      <c r="DEG34" s="678"/>
      <c r="DEH34" s="678"/>
      <c r="DEI34" s="678"/>
      <c r="DEJ34" s="678"/>
      <c r="DEK34" s="678"/>
      <c r="DEL34" s="678"/>
      <c r="DEM34" s="678"/>
      <c r="DEN34" s="678"/>
      <c r="DEO34" s="678"/>
      <c r="DEP34" s="678"/>
      <c r="DEQ34" s="678"/>
      <c r="DER34" s="678"/>
      <c r="DES34" s="678"/>
      <c r="DET34" s="678"/>
      <c r="DEU34" s="678"/>
      <c r="DEV34" s="678"/>
      <c r="DEW34" s="678"/>
      <c r="DEX34" s="678"/>
      <c r="DEY34" s="678"/>
      <c r="DEZ34" s="678"/>
      <c r="DFA34" s="678"/>
      <c r="DFB34" s="678"/>
      <c r="DFC34" s="678"/>
      <c r="DFD34" s="678"/>
      <c r="DFE34" s="678"/>
      <c r="DFF34" s="678"/>
      <c r="DFG34" s="678"/>
      <c r="DFH34" s="678"/>
      <c r="DFI34" s="678"/>
      <c r="DFJ34" s="678"/>
      <c r="DFK34" s="678"/>
      <c r="DFL34" s="678"/>
      <c r="DFM34" s="678"/>
      <c r="DFN34" s="678"/>
      <c r="DFO34" s="678"/>
      <c r="DFP34" s="678"/>
      <c r="DFQ34" s="678"/>
      <c r="DFR34" s="678"/>
      <c r="DFS34" s="678"/>
      <c r="DFT34" s="678"/>
      <c r="DFU34" s="678"/>
      <c r="DFV34" s="678"/>
      <c r="DFW34" s="678"/>
      <c r="DFX34" s="678"/>
      <c r="DFY34" s="678"/>
      <c r="DFZ34" s="678"/>
      <c r="DGA34" s="678"/>
      <c r="DGB34" s="678"/>
      <c r="DGC34" s="678"/>
      <c r="DGD34" s="678"/>
      <c r="DGE34" s="678"/>
      <c r="DGF34" s="678"/>
      <c r="DGG34" s="678"/>
      <c r="DGH34" s="678"/>
      <c r="DGI34" s="678"/>
      <c r="DGJ34" s="678"/>
      <c r="DGK34" s="678"/>
      <c r="DGL34" s="678"/>
      <c r="DGM34" s="678"/>
      <c r="DGN34" s="678"/>
      <c r="DGO34" s="678"/>
      <c r="DGP34" s="678"/>
      <c r="DGQ34" s="678"/>
      <c r="DGR34" s="678"/>
      <c r="DGS34" s="678"/>
      <c r="DGT34" s="678"/>
      <c r="DGU34" s="678"/>
      <c r="DGV34" s="678"/>
      <c r="DGW34" s="678"/>
      <c r="DGX34" s="678"/>
      <c r="DGY34" s="678"/>
      <c r="DGZ34" s="678"/>
      <c r="DHA34" s="678"/>
      <c r="DHB34" s="678"/>
      <c r="DHC34" s="678"/>
      <c r="DHD34" s="678"/>
      <c r="DHE34" s="678"/>
      <c r="DHF34" s="678"/>
      <c r="DHG34" s="678"/>
      <c r="DHH34" s="678"/>
      <c r="DHI34" s="678"/>
      <c r="DHJ34" s="678"/>
      <c r="DHK34" s="678"/>
      <c r="DHL34" s="678"/>
      <c r="DHM34" s="678"/>
      <c r="DHN34" s="678"/>
      <c r="DHO34" s="678"/>
      <c r="DHP34" s="678"/>
      <c r="DHQ34" s="678"/>
      <c r="DHR34" s="678"/>
      <c r="DHS34" s="678"/>
      <c r="DHT34" s="678"/>
      <c r="DHU34" s="678"/>
      <c r="DHV34" s="678"/>
      <c r="DHW34" s="678"/>
      <c r="DHX34" s="678"/>
      <c r="DHY34" s="678"/>
      <c r="DHZ34" s="678"/>
      <c r="DIA34" s="678"/>
      <c r="DIB34" s="678"/>
      <c r="DIC34" s="678"/>
      <c r="DID34" s="678"/>
      <c r="DIE34" s="678"/>
      <c r="DIF34" s="678"/>
      <c r="DIG34" s="678"/>
      <c r="DIH34" s="678"/>
      <c r="DII34" s="678"/>
      <c r="DIJ34" s="678"/>
      <c r="DIK34" s="678"/>
      <c r="DIL34" s="678"/>
      <c r="DIM34" s="678"/>
      <c r="DIN34" s="678"/>
      <c r="DIO34" s="678"/>
      <c r="DIP34" s="678"/>
      <c r="DIQ34" s="678"/>
      <c r="DIR34" s="678"/>
      <c r="DIS34" s="678"/>
      <c r="DIT34" s="678"/>
      <c r="DIU34" s="678"/>
      <c r="DIV34" s="678"/>
      <c r="DIW34" s="678"/>
      <c r="DIX34" s="678"/>
      <c r="DIY34" s="678"/>
      <c r="DIZ34" s="678"/>
      <c r="DJA34" s="678"/>
      <c r="DJB34" s="678"/>
      <c r="DJC34" s="678"/>
      <c r="DJD34" s="678"/>
      <c r="DJE34" s="678"/>
      <c r="DJF34" s="678"/>
      <c r="DJG34" s="678"/>
      <c r="DJH34" s="678"/>
      <c r="DJI34" s="678"/>
      <c r="DJJ34" s="678"/>
      <c r="DJK34" s="678"/>
      <c r="DJL34" s="678"/>
      <c r="DJM34" s="678"/>
      <c r="DJN34" s="678"/>
      <c r="DJO34" s="678"/>
      <c r="DJP34" s="678"/>
      <c r="DJQ34" s="678"/>
      <c r="DJR34" s="678"/>
      <c r="DJS34" s="678"/>
      <c r="DJT34" s="678"/>
      <c r="DJU34" s="678"/>
      <c r="DJV34" s="678"/>
      <c r="DJW34" s="678"/>
      <c r="DJX34" s="678"/>
      <c r="DJY34" s="678"/>
      <c r="DJZ34" s="678"/>
      <c r="DKA34" s="678"/>
      <c r="DKB34" s="678"/>
      <c r="DKC34" s="678"/>
      <c r="DKD34" s="678"/>
      <c r="DKE34" s="678"/>
      <c r="DKF34" s="678"/>
      <c r="DKG34" s="678"/>
      <c r="DKH34" s="678"/>
      <c r="DKI34" s="678"/>
      <c r="DKJ34" s="678"/>
      <c r="DKK34" s="678"/>
      <c r="DKL34" s="678"/>
      <c r="DKM34" s="678"/>
      <c r="DKN34" s="678"/>
      <c r="DKO34" s="678"/>
      <c r="DKP34" s="678"/>
      <c r="DKQ34" s="678"/>
      <c r="DKR34" s="678"/>
      <c r="DKS34" s="678"/>
      <c r="DKT34" s="678"/>
      <c r="DKU34" s="678"/>
      <c r="DKV34" s="678"/>
      <c r="DKW34" s="678"/>
      <c r="DKX34" s="678"/>
      <c r="DKY34" s="678"/>
      <c r="DKZ34" s="678"/>
      <c r="DLA34" s="678"/>
      <c r="DLB34" s="678"/>
      <c r="DLC34" s="678"/>
      <c r="DLD34" s="678"/>
      <c r="DLE34" s="678"/>
      <c r="DLF34" s="678"/>
      <c r="DLG34" s="678"/>
      <c r="DLH34" s="678"/>
      <c r="DLI34" s="678"/>
      <c r="DLJ34" s="678"/>
      <c r="DLK34" s="678"/>
      <c r="DLL34" s="678"/>
      <c r="DLM34" s="678"/>
      <c r="DLN34" s="678"/>
      <c r="DLO34" s="678"/>
      <c r="DLP34" s="678"/>
      <c r="DLQ34" s="678"/>
      <c r="DLR34" s="678"/>
      <c r="DLS34" s="678"/>
      <c r="DLT34" s="678"/>
      <c r="DLU34" s="678"/>
      <c r="DLV34" s="678"/>
      <c r="DLW34" s="678"/>
      <c r="DLX34" s="678"/>
      <c r="DLY34" s="678"/>
      <c r="DLZ34" s="678"/>
      <c r="DMA34" s="678"/>
      <c r="DMB34" s="678"/>
      <c r="DMC34" s="678"/>
      <c r="DMD34" s="678"/>
      <c r="DME34" s="678"/>
      <c r="DMF34" s="678"/>
      <c r="DMG34" s="678"/>
      <c r="DMH34" s="678"/>
      <c r="DMI34" s="678"/>
      <c r="DMJ34" s="678"/>
      <c r="DMK34" s="678"/>
      <c r="DML34" s="678"/>
      <c r="DMM34" s="678"/>
      <c r="DMN34" s="678"/>
      <c r="DMO34" s="678"/>
      <c r="DMP34" s="678"/>
      <c r="DMQ34" s="678"/>
      <c r="DMR34" s="678"/>
      <c r="DMS34" s="678"/>
      <c r="DMT34" s="678"/>
      <c r="DMU34" s="678"/>
      <c r="DMV34" s="678"/>
      <c r="DMW34" s="678"/>
      <c r="DMX34" s="678"/>
      <c r="DMY34" s="678"/>
      <c r="DMZ34" s="678"/>
      <c r="DNA34" s="678"/>
      <c r="DNB34" s="678"/>
      <c r="DNC34" s="678"/>
      <c r="DND34" s="678"/>
      <c r="DNE34" s="678"/>
      <c r="DNF34" s="678"/>
      <c r="DNG34" s="678"/>
      <c r="DNH34" s="678"/>
      <c r="DNI34" s="678"/>
      <c r="DNJ34" s="678"/>
      <c r="DNK34" s="678"/>
      <c r="DNL34" s="678"/>
      <c r="DNM34" s="678"/>
      <c r="DNN34" s="678"/>
      <c r="DNO34" s="678"/>
      <c r="DNP34" s="678"/>
      <c r="DNQ34" s="678"/>
      <c r="DNR34" s="678"/>
      <c r="DNS34" s="678"/>
      <c r="DNT34" s="678"/>
      <c r="DNU34" s="678"/>
      <c r="DNV34" s="678"/>
      <c r="DNW34" s="678"/>
      <c r="DNX34" s="678"/>
      <c r="DNY34" s="678"/>
      <c r="DNZ34" s="678"/>
      <c r="DOA34" s="678"/>
      <c r="DOB34" s="678"/>
      <c r="DOC34" s="678"/>
      <c r="DOD34" s="678"/>
      <c r="DOE34" s="678"/>
      <c r="DOF34" s="678"/>
      <c r="DOG34" s="678"/>
      <c r="DOH34" s="678"/>
      <c r="DOI34" s="678"/>
      <c r="DOJ34" s="678"/>
      <c r="DOK34" s="678"/>
      <c r="DOL34" s="678"/>
      <c r="DOM34" s="678"/>
      <c r="DON34" s="678"/>
      <c r="DOO34" s="678"/>
      <c r="DOP34" s="678"/>
      <c r="DOQ34" s="678"/>
      <c r="DOR34" s="678"/>
      <c r="DOS34" s="678"/>
      <c r="DOT34" s="678"/>
      <c r="DOU34" s="678"/>
      <c r="DOV34" s="678"/>
      <c r="DOW34" s="678"/>
      <c r="DOX34" s="678"/>
      <c r="DOY34" s="678"/>
      <c r="DOZ34" s="678"/>
      <c r="DPA34" s="678"/>
      <c r="DPB34" s="678"/>
      <c r="DPC34" s="678"/>
      <c r="DPD34" s="678"/>
      <c r="DPE34" s="678"/>
      <c r="DPF34" s="678"/>
      <c r="DPG34" s="678"/>
      <c r="DPH34" s="678"/>
      <c r="DPI34" s="678"/>
      <c r="DPJ34" s="678"/>
      <c r="DPK34" s="678"/>
      <c r="DPL34" s="678"/>
      <c r="DPM34" s="678"/>
      <c r="DPN34" s="678"/>
      <c r="DPO34" s="678"/>
      <c r="DPP34" s="678"/>
      <c r="DPQ34" s="678"/>
      <c r="DPR34" s="678"/>
      <c r="DPS34" s="678"/>
      <c r="DPT34" s="678"/>
      <c r="DPU34" s="678"/>
      <c r="DPV34" s="678"/>
      <c r="DPW34" s="678"/>
      <c r="DPX34" s="678"/>
      <c r="DPY34" s="678"/>
      <c r="DPZ34" s="678"/>
      <c r="DQA34" s="678"/>
      <c r="DQB34" s="678"/>
      <c r="DQC34" s="678"/>
      <c r="DQD34" s="678"/>
      <c r="DQE34" s="678"/>
      <c r="DQF34" s="678"/>
      <c r="DQG34" s="678"/>
      <c r="DQH34" s="678"/>
      <c r="DQI34" s="678"/>
      <c r="DQJ34" s="678"/>
      <c r="DQK34" s="678"/>
      <c r="DQL34" s="678"/>
      <c r="DQM34" s="678"/>
      <c r="DQN34" s="678"/>
      <c r="DQO34" s="678"/>
      <c r="DQP34" s="678"/>
      <c r="DQQ34" s="678"/>
      <c r="DQR34" s="678"/>
      <c r="DQS34" s="678"/>
      <c r="DQT34" s="678"/>
      <c r="DQU34" s="678"/>
      <c r="DQV34" s="678"/>
      <c r="DQW34" s="678"/>
      <c r="DQX34" s="678"/>
      <c r="DQY34" s="678"/>
      <c r="DQZ34" s="678"/>
      <c r="DRA34" s="678"/>
      <c r="DRB34" s="678"/>
      <c r="DRC34" s="678"/>
      <c r="DRD34" s="678"/>
      <c r="DRE34" s="678"/>
      <c r="DRF34" s="678"/>
      <c r="DRG34" s="678"/>
      <c r="DRH34" s="678"/>
      <c r="DRI34" s="678"/>
      <c r="DRJ34" s="678"/>
      <c r="DRK34" s="678"/>
      <c r="DRL34" s="678"/>
      <c r="DRM34" s="678"/>
      <c r="DRN34" s="678"/>
      <c r="DRO34" s="678"/>
      <c r="DRP34" s="678"/>
      <c r="DRQ34" s="678"/>
      <c r="DRR34" s="678"/>
      <c r="DRS34" s="678"/>
      <c r="DRT34" s="678"/>
      <c r="DRU34" s="678"/>
      <c r="DRV34" s="678"/>
      <c r="DRW34" s="678"/>
      <c r="DRX34" s="678"/>
      <c r="DRY34" s="678"/>
      <c r="DRZ34" s="678"/>
      <c r="DSA34" s="678"/>
      <c r="DSB34" s="678"/>
      <c r="DSC34" s="678"/>
      <c r="DSD34" s="678"/>
      <c r="DSE34" s="678"/>
      <c r="DSF34" s="678"/>
      <c r="DSG34" s="678"/>
      <c r="DSH34" s="678"/>
      <c r="DSI34" s="678"/>
      <c r="DSJ34" s="678"/>
      <c r="DSK34" s="678"/>
      <c r="DSL34" s="678"/>
      <c r="DSM34" s="678"/>
      <c r="DSN34" s="678"/>
      <c r="DSO34" s="678"/>
      <c r="DSP34" s="678"/>
      <c r="DSQ34" s="678"/>
      <c r="DSR34" s="678"/>
      <c r="DSS34" s="678"/>
      <c r="DST34" s="678"/>
      <c r="DSU34" s="678"/>
      <c r="DSV34" s="678"/>
      <c r="DSW34" s="678"/>
      <c r="DSX34" s="678"/>
      <c r="DSY34" s="678"/>
      <c r="DSZ34" s="678"/>
      <c r="DTA34" s="678"/>
      <c r="DTB34" s="678"/>
      <c r="DTC34" s="678"/>
      <c r="DTD34" s="678"/>
      <c r="DTE34" s="678"/>
      <c r="DTF34" s="678"/>
      <c r="DTG34" s="678"/>
      <c r="DTH34" s="678"/>
      <c r="DTI34" s="678"/>
      <c r="DTJ34" s="678"/>
      <c r="DTK34" s="678"/>
      <c r="DTL34" s="678"/>
      <c r="DTM34" s="678"/>
      <c r="DTN34" s="678"/>
      <c r="DTO34" s="678"/>
      <c r="DTP34" s="678"/>
      <c r="DTQ34" s="678"/>
      <c r="DTR34" s="678"/>
      <c r="DTS34" s="678"/>
      <c r="DTT34" s="678"/>
      <c r="DTU34" s="678"/>
      <c r="DTV34" s="678"/>
      <c r="DTW34" s="678"/>
      <c r="DTX34" s="678"/>
      <c r="DTY34" s="678"/>
      <c r="DTZ34" s="678"/>
      <c r="DUA34" s="678"/>
      <c r="DUB34" s="678"/>
      <c r="DUC34" s="678"/>
      <c r="DUD34" s="678"/>
      <c r="DUE34" s="678"/>
      <c r="DUF34" s="678"/>
      <c r="DUG34" s="678"/>
      <c r="DUH34" s="678"/>
      <c r="DUI34" s="678"/>
      <c r="DUJ34" s="678"/>
      <c r="DUK34" s="678"/>
      <c r="DUL34" s="678"/>
      <c r="DUM34" s="678"/>
      <c r="DUN34" s="678"/>
      <c r="DUO34" s="678"/>
      <c r="DUP34" s="678"/>
      <c r="DUQ34" s="678"/>
      <c r="DUR34" s="678"/>
      <c r="DUS34" s="678"/>
      <c r="DUT34" s="678"/>
      <c r="DUU34" s="678"/>
      <c r="DUV34" s="678"/>
      <c r="DUW34" s="678"/>
      <c r="DUX34" s="678"/>
      <c r="DUY34" s="678"/>
      <c r="DUZ34" s="678"/>
      <c r="DVA34" s="678"/>
      <c r="DVB34" s="678"/>
      <c r="DVC34" s="678"/>
      <c r="DVD34" s="678"/>
      <c r="DVE34" s="678"/>
      <c r="DVF34" s="678"/>
      <c r="DVG34" s="678"/>
      <c r="DVH34" s="678"/>
      <c r="DVI34" s="678"/>
      <c r="DVJ34" s="678"/>
      <c r="DVK34" s="678"/>
      <c r="DVL34" s="678"/>
      <c r="DVM34" s="678"/>
      <c r="DVN34" s="678"/>
      <c r="DVO34" s="678"/>
      <c r="DVP34" s="678"/>
      <c r="DVQ34" s="678"/>
      <c r="DVR34" s="678"/>
      <c r="DVS34" s="678"/>
      <c r="DVT34" s="678"/>
      <c r="DVU34" s="678"/>
      <c r="DVV34" s="678"/>
      <c r="DVW34" s="678"/>
      <c r="DVX34" s="678"/>
      <c r="DVY34" s="678"/>
      <c r="DVZ34" s="678"/>
      <c r="DWA34" s="678"/>
      <c r="DWB34" s="678"/>
      <c r="DWC34" s="678"/>
      <c r="DWD34" s="678"/>
      <c r="DWE34" s="678"/>
      <c r="DWF34" s="678"/>
      <c r="DWG34" s="678"/>
      <c r="DWH34" s="678"/>
      <c r="DWI34" s="678"/>
      <c r="DWJ34" s="678"/>
      <c r="DWK34" s="678"/>
      <c r="DWL34" s="678"/>
      <c r="DWM34" s="678"/>
      <c r="DWN34" s="678"/>
      <c r="DWO34" s="678"/>
      <c r="DWP34" s="678"/>
      <c r="DWQ34" s="678"/>
      <c r="DWR34" s="678"/>
      <c r="DWS34" s="678"/>
      <c r="DWT34" s="678"/>
      <c r="DWU34" s="678"/>
      <c r="DWV34" s="678"/>
      <c r="DWW34" s="678"/>
      <c r="DWX34" s="678"/>
      <c r="DWY34" s="678"/>
      <c r="DWZ34" s="678"/>
      <c r="DXA34" s="678"/>
      <c r="DXB34" s="678"/>
      <c r="DXC34" s="678"/>
      <c r="DXD34" s="678"/>
      <c r="DXE34" s="678"/>
      <c r="DXF34" s="678"/>
      <c r="DXG34" s="678"/>
      <c r="DXH34" s="678"/>
      <c r="DXI34" s="678"/>
      <c r="DXJ34" s="678"/>
      <c r="DXK34" s="678"/>
      <c r="DXL34" s="678"/>
      <c r="DXM34" s="678"/>
      <c r="DXN34" s="678"/>
      <c r="DXO34" s="678"/>
      <c r="DXP34" s="678"/>
      <c r="DXQ34" s="678"/>
      <c r="DXR34" s="678"/>
      <c r="DXS34" s="678"/>
      <c r="DXT34" s="678"/>
      <c r="DXU34" s="678"/>
      <c r="DXV34" s="678"/>
      <c r="DXW34" s="678"/>
      <c r="DXX34" s="678"/>
      <c r="DXY34" s="678"/>
      <c r="DXZ34" s="678"/>
      <c r="DYA34" s="678"/>
      <c r="DYB34" s="678"/>
      <c r="DYC34" s="678"/>
      <c r="DYD34" s="678"/>
      <c r="DYE34" s="678"/>
      <c r="DYF34" s="678"/>
      <c r="DYG34" s="678"/>
      <c r="DYH34" s="678"/>
      <c r="DYI34" s="678"/>
      <c r="DYJ34" s="678"/>
      <c r="DYK34" s="678"/>
      <c r="DYL34" s="678"/>
      <c r="DYM34" s="678"/>
      <c r="DYN34" s="678"/>
      <c r="DYO34" s="678"/>
      <c r="DYP34" s="678"/>
      <c r="DYQ34" s="678"/>
      <c r="DYR34" s="678"/>
      <c r="DYS34" s="678"/>
      <c r="DYT34" s="678"/>
      <c r="DYU34" s="678"/>
      <c r="DYV34" s="678"/>
      <c r="DYW34" s="678"/>
      <c r="DYX34" s="678"/>
      <c r="DYY34" s="678"/>
      <c r="DYZ34" s="678"/>
      <c r="DZA34" s="678"/>
      <c r="DZB34" s="678"/>
      <c r="DZC34" s="678"/>
      <c r="DZD34" s="678"/>
      <c r="DZE34" s="678"/>
      <c r="DZF34" s="678"/>
      <c r="DZG34" s="678"/>
      <c r="DZH34" s="678"/>
      <c r="DZI34" s="678"/>
      <c r="DZJ34" s="678"/>
      <c r="DZK34" s="678"/>
      <c r="DZL34" s="678"/>
      <c r="DZM34" s="678"/>
      <c r="DZN34" s="678"/>
      <c r="DZO34" s="678"/>
      <c r="DZP34" s="678"/>
      <c r="DZQ34" s="678"/>
      <c r="DZR34" s="678"/>
      <c r="DZS34" s="678"/>
      <c r="DZT34" s="678"/>
      <c r="DZU34" s="678"/>
      <c r="DZV34" s="678"/>
      <c r="DZW34" s="678"/>
      <c r="DZX34" s="678"/>
      <c r="DZY34" s="678"/>
      <c r="DZZ34" s="678"/>
      <c r="EAA34" s="678"/>
      <c r="EAB34" s="678"/>
      <c r="EAC34" s="678"/>
      <c r="EAD34" s="678"/>
      <c r="EAE34" s="678"/>
      <c r="EAF34" s="678"/>
      <c r="EAG34" s="678"/>
      <c r="EAH34" s="678"/>
      <c r="EAI34" s="678"/>
      <c r="EAJ34" s="678"/>
      <c r="EAK34" s="678"/>
      <c r="EAL34" s="678"/>
      <c r="EAM34" s="678"/>
      <c r="EAN34" s="678"/>
      <c r="EAO34" s="678"/>
      <c r="EAP34" s="678"/>
      <c r="EAQ34" s="678"/>
      <c r="EAR34" s="678"/>
      <c r="EAS34" s="678"/>
      <c r="EAT34" s="678"/>
      <c r="EAU34" s="678"/>
      <c r="EAV34" s="678"/>
      <c r="EAW34" s="678"/>
      <c r="EAX34" s="678"/>
      <c r="EAY34" s="678"/>
      <c r="EAZ34" s="678"/>
      <c r="EBA34" s="678"/>
      <c r="EBB34" s="678"/>
      <c r="EBC34" s="678"/>
      <c r="EBD34" s="678"/>
      <c r="EBE34" s="678"/>
      <c r="EBF34" s="678"/>
      <c r="EBG34" s="678"/>
      <c r="EBH34" s="678"/>
      <c r="EBI34" s="678"/>
      <c r="EBJ34" s="678"/>
      <c r="EBK34" s="678"/>
      <c r="EBL34" s="678"/>
      <c r="EBM34" s="678"/>
      <c r="EBN34" s="678"/>
      <c r="EBO34" s="678"/>
      <c r="EBP34" s="678"/>
      <c r="EBQ34" s="678"/>
      <c r="EBR34" s="678"/>
      <c r="EBS34" s="678"/>
      <c r="EBT34" s="678"/>
      <c r="EBU34" s="678"/>
      <c r="EBV34" s="678"/>
      <c r="EBW34" s="678"/>
      <c r="EBX34" s="678"/>
      <c r="EBY34" s="678"/>
      <c r="EBZ34" s="678"/>
      <c r="ECA34" s="678"/>
      <c r="ECB34" s="678"/>
      <c r="ECC34" s="678"/>
      <c r="ECD34" s="678"/>
      <c r="ECE34" s="678"/>
      <c r="ECF34" s="678"/>
      <c r="ECG34" s="678"/>
      <c r="ECH34" s="678"/>
      <c r="ECI34" s="678"/>
      <c r="ECJ34" s="678"/>
      <c r="ECK34" s="678"/>
      <c r="ECL34" s="678"/>
      <c r="ECM34" s="678"/>
      <c r="ECN34" s="678"/>
      <c r="ECO34" s="678"/>
      <c r="ECP34" s="678"/>
      <c r="ECQ34" s="678"/>
      <c r="ECR34" s="678"/>
      <c r="ECS34" s="678"/>
      <c r="ECT34" s="678"/>
      <c r="ECU34" s="678"/>
      <c r="ECV34" s="678"/>
      <c r="ECW34" s="678"/>
      <c r="ECX34" s="678"/>
      <c r="ECY34" s="678"/>
      <c r="ECZ34" s="678"/>
      <c r="EDA34" s="678"/>
      <c r="EDB34" s="678"/>
      <c r="EDC34" s="678"/>
      <c r="EDD34" s="678"/>
      <c r="EDE34" s="678"/>
      <c r="EDF34" s="678"/>
      <c r="EDG34" s="678"/>
      <c r="EDH34" s="678"/>
      <c r="EDI34" s="678"/>
      <c r="EDJ34" s="678"/>
      <c r="EDK34" s="678"/>
      <c r="EDL34" s="678"/>
      <c r="EDM34" s="678"/>
      <c r="EDN34" s="678"/>
      <c r="EDO34" s="678"/>
      <c r="EDP34" s="678"/>
      <c r="EDQ34" s="678"/>
      <c r="EDR34" s="678"/>
      <c r="EDS34" s="678"/>
      <c r="EDT34" s="678"/>
      <c r="EDU34" s="678"/>
      <c r="EDV34" s="678"/>
      <c r="EDW34" s="678"/>
      <c r="EDX34" s="678"/>
      <c r="EDY34" s="678"/>
      <c r="EDZ34" s="678"/>
      <c r="EEA34" s="678"/>
      <c r="EEB34" s="678"/>
      <c r="EEC34" s="678"/>
      <c r="EED34" s="678"/>
      <c r="EEE34" s="678"/>
      <c r="EEF34" s="678"/>
      <c r="EEG34" s="678"/>
      <c r="EEH34" s="678"/>
      <c r="EEI34" s="678"/>
      <c r="EEJ34" s="678"/>
      <c r="EEK34" s="678"/>
      <c r="EEL34" s="678"/>
      <c r="EEM34" s="678"/>
      <c r="EEN34" s="678"/>
      <c r="EEO34" s="678"/>
      <c r="EEP34" s="678"/>
      <c r="EEQ34" s="678"/>
      <c r="EER34" s="678"/>
      <c r="EES34" s="678"/>
      <c r="EET34" s="678"/>
      <c r="EEU34" s="678"/>
      <c r="EEV34" s="678"/>
      <c r="EEW34" s="678"/>
      <c r="EEX34" s="678"/>
      <c r="EEY34" s="678"/>
      <c r="EEZ34" s="678"/>
      <c r="EFA34" s="678"/>
      <c r="EFB34" s="678"/>
      <c r="EFC34" s="678"/>
      <c r="EFD34" s="678"/>
      <c r="EFE34" s="678"/>
      <c r="EFF34" s="678"/>
      <c r="EFG34" s="678"/>
      <c r="EFH34" s="678"/>
      <c r="EFI34" s="678"/>
      <c r="EFJ34" s="678"/>
      <c r="EFK34" s="678"/>
      <c r="EFL34" s="678"/>
      <c r="EFM34" s="678"/>
      <c r="EFN34" s="678"/>
      <c r="EFO34" s="678"/>
      <c r="EFP34" s="678"/>
      <c r="EFQ34" s="678"/>
      <c r="EFR34" s="678"/>
      <c r="EFS34" s="678"/>
      <c r="EFT34" s="678"/>
      <c r="EFU34" s="678"/>
      <c r="EFV34" s="678"/>
      <c r="EFW34" s="678"/>
      <c r="EFX34" s="678"/>
      <c r="EFY34" s="678"/>
      <c r="EFZ34" s="678"/>
      <c r="EGA34" s="678"/>
      <c r="EGB34" s="678"/>
      <c r="EGC34" s="678"/>
      <c r="EGD34" s="678"/>
      <c r="EGE34" s="678"/>
      <c r="EGF34" s="678"/>
      <c r="EGG34" s="678"/>
      <c r="EGH34" s="678"/>
      <c r="EGI34" s="678"/>
      <c r="EGJ34" s="678"/>
      <c r="EGK34" s="678"/>
      <c r="EGL34" s="678"/>
      <c r="EGM34" s="678"/>
      <c r="EGN34" s="678"/>
      <c r="EGO34" s="678"/>
      <c r="EGP34" s="678"/>
      <c r="EGQ34" s="678"/>
      <c r="EGR34" s="678"/>
      <c r="EGS34" s="678"/>
      <c r="EGT34" s="678"/>
      <c r="EGU34" s="678"/>
      <c r="EGV34" s="678"/>
      <c r="EGW34" s="678"/>
      <c r="EGX34" s="678"/>
      <c r="EGY34" s="678"/>
      <c r="EGZ34" s="678"/>
      <c r="EHA34" s="678"/>
      <c r="EHB34" s="678"/>
      <c r="EHC34" s="678"/>
      <c r="EHD34" s="678"/>
      <c r="EHE34" s="678"/>
      <c r="EHF34" s="678"/>
      <c r="EHG34" s="678"/>
      <c r="EHH34" s="678"/>
      <c r="EHI34" s="678"/>
      <c r="EHJ34" s="678"/>
      <c r="EHK34" s="678"/>
      <c r="EHL34" s="678"/>
      <c r="EHM34" s="678"/>
      <c r="EHN34" s="678"/>
      <c r="EHO34" s="678"/>
      <c r="EHP34" s="678"/>
      <c r="EHQ34" s="678"/>
      <c r="EHR34" s="678"/>
      <c r="EHS34" s="678"/>
      <c r="EHT34" s="678"/>
      <c r="EHU34" s="678"/>
      <c r="EHV34" s="678"/>
      <c r="EHW34" s="678"/>
      <c r="EHX34" s="678"/>
      <c r="EHY34" s="678"/>
      <c r="EHZ34" s="678"/>
      <c r="EIA34" s="678"/>
      <c r="EIB34" s="678"/>
      <c r="EIC34" s="678"/>
      <c r="EID34" s="678"/>
      <c r="EIE34" s="678"/>
      <c r="EIF34" s="678"/>
      <c r="EIG34" s="678"/>
      <c r="EIH34" s="678"/>
      <c r="EII34" s="678"/>
      <c r="EIJ34" s="678"/>
      <c r="EIK34" s="678"/>
      <c r="EIL34" s="678"/>
      <c r="EIM34" s="678"/>
      <c r="EIN34" s="678"/>
      <c r="EIO34" s="678"/>
      <c r="EIP34" s="678"/>
      <c r="EIQ34" s="678"/>
      <c r="EIR34" s="678"/>
      <c r="EIS34" s="678"/>
      <c r="EIT34" s="678"/>
      <c r="EIU34" s="678"/>
      <c r="EIV34" s="678"/>
      <c r="EIW34" s="678"/>
      <c r="EIX34" s="678"/>
      <c r="EIY34" s="678"/>
      <c r="EIZ34" s="678"/>
      <c r="EJA34" s="678"/>
      <c r="EJB34" s="678"/>
      <c r="EJC34" s="678"/>
      <c r="EJD34" s="678"/>
      <c r="EJE34" s="678"/>
      <c r="EJF34" s="678"/>
      <c r="EJG34" s="678"/>
      <c r="EJH34" s="678"/>
      <c r="EJI34" s="678"/>
      <c r="EJJ34" s="678"/>
      <c r="EJK34" s="678"/>
      <c r="EJL34" s="678"/>
      <c r="EJM34" s="678"/>
      <c r="EJN34" s="678"/>
      <c r="EJO34" s="678"/>
      <c r="EJP34" s="678"/>
      <c r="EJQ34" s="678"/>
      <c r="EJR34" s="678"/>
      <c r="EJS34" s="678"/>
      <c r="EJT34" s="678"/>
      <c r="EJU34" s="678"/>
      <c r="EJV34" s="678"/>
      <c r="EJW34" s="678"/>
      <c r="EJX34" s="678"/>
      <c r="EJY34" s="678"/>
      <c r="EJZ34" s="678"/>
      <c r="EKA34" s="678"/>
      <c r="EKB34" s="678"/>
      <c r="EKC34" s="678"/>
      <c r="EKD34" s="678"/>
      <c r="EKE34" s="678"/>
      <c r="EKF34" s="678"/>
      <c r="EKG34" s="678"/>
      <c r="EKH34" s="678"/>
      <c r="EKI34" s="678"/>
      <c r="EKJ34" s="678"/>
      <c r="EKK34" s="678"/>
      <c r="EKL34" s="678"/>
      <c r="EKM34" s="678"/>
      <c r="EKN34" s="678"/>
      <c r="EKO34" s="678"/>
      <c r="EKP34" s="678"/>
      <c r="EKQ34" s="678"/>
      <c r="EKR34" s="678"/>
      <c r="EKS34" s="678"/>
      <c r="EKT34" s="678"/>
      <c r="EKU34" s="678"/>
      <c r="EKV34" s="678"/>
      <c r="EKW34" s="678"/>
      <c r="EKX34" s="678"/>
      <c r="EKY34" s="678"/>
      <c r="EKZ34" s="678"/>
      <c r="ELA34" s="678"/>
      <c r="ELB34" s="678"/>
      <c r="ELC34" s="678"/>
      <c r="ELD34" s="678"/>
      <c r="ELE34" s="678"/>
      <c r="ELF34" s="678"/>
      <c r="ELG34" s="678"/>
      <c r="ELH34" s="678"/>
      <c r="ELI34" s="678"/>
      <c r="ELJ34" s="678"/>
      <c r="ELK34" s="678"/>
      <c r="ELL34" s="678"/>
      <c r="ELM34" s="678"/>
      <c r="ELN34" s="678"/>
      <c r="ELO34" s="678"/>
      <c r="ELP34" s="678"/>
      <c r="ELQ34" s="678"/>
      <c r="ELR34" s="678"/>
      <c r="ELS34" s="678"/>
      <c r="ELT34" s="678"/>
      <c r="ELU34" s="678"/>
      <c r="ELV34" s="678"/>
      <c r="ELW34" s="678"/>
      <c r="ELX34" s="678"/>
      <c r="ELY34" s="678"/>
      <c r="ELZ34" s="678"/>
      <c r="EMA34" s="678"/>
      <c r="EMB34" s="678"/>
      <c r="EMC34" s="678"/>
      <c r="EMD34" s="678"/>
      <c r="EME34" s="678"/>
      <c r="EMF34" s="678"/>
      <c r="EMG34" s="678"/>
      <c r="EMH34" s="678"/>
      <c r="EMI34" s="678"/>
      <c r="EMJ34" s="678"/>
      <c r="EMK34" s="678"/>
      <c r="EML34" s="678"/>
      <c r="EMM34" s="678"/>
      <c r="EMN34" s="678"/>
      <c r="EMO34" s="678"/>
      <c r="EMP34" s="678"/>
      <c r="EMQ34" s="678"/>
      <c r="EMR34" s="678"/>
      <c r="EMS34" s="678"/>
      <c r="EMT34" s="678"/>
      <c r="EMU34" s="678"/>
      <c r="EMV34" s="678"/>
      <c r="EMW34" s="678"/>
      <c r="EMX34" s="678"/>
      <c r="EMY34" s="678"/>
      <c r="EMZ34" s="678"/>
      <c r="ENA34" s="678"/>
      <c r="ENB34" s="678"/>
      <c r="ENC34" s="678"/>
      <c r="END34" s="678"/>
      <c r="ENE34" s="678"/>
      <c r="ENF34" s="678"/>
      <c r="ENG34" s="678"/>
      <c r="ENH34" s="678"/>
      <c r="ENI34" s="678"/>
      <c r="ENJ34" s="678"/>
      <c r="ENK34" s="678"/>
      <c r="ENL34" s="678"/>
      <c r="ENM34" s="678"/>
      <c r="ENN34" s="678"/>
      <c r="ENO34" s="678"/>
      <c r="ENP34" s="678"/>
      <c r="ENQ34" s="678"/>
      <c r="ENR34" s="678"/>
      <c r="ENS34" s="678"/>
      <c r="ENT34" s="678"/>
      <c r="ENU34" s="678"/>
      <c r="ENV34" s="678"/>
      <c r="ENW34" s="678"/>
      <c r="ENX34" s="678"/>
      <c r="ENY34" s="678"/>
      <c r="ENZ34" s="678"/>
      <c r="EOA34" s="678"/>
      <c r="EOB34" s="678"/>
      <c r="EOC34" s="678"/>
      <c r="EOD34" s="678"/>
      <c r="EOE34" s="678"/>
      <c r="EOF34" s="678"/>
      <c r="EOG34" s="678"/>
      <c r="EOH34" s="678"/>
      <c r="EOI34" s="678"/>
      <c r="EOJ34" s="678"/>
      <c r="EOK34" s="678"/>
      <c r="EOL34" s="678"/>
      <c r="EOM34" s="678"/>
      <c r="EON34" s="678"/>
      <c r="EOO34" s="678"/>
      <c r="EOP34" s="678"/>
      <c r="EOQ34" s="678"/>
      <c r="EOR34" s="678"/>
      <c r="EOS34" s="678"/>
      <c r="EOT34" s="678"/>
      <c r="EOU34" s="678"/>
      <c r="EOV34" s="678"/>
      <c r="EOW34" s="678"/>
      <c r="EOX34" s="678"/>
      <c r="EOY34" s="678"/>
      <c r="EOZ34" s="678"/>
      <c r="EPA34" s="678"/>
      <c r="EPB34" s="678"/>
      <c r="EPC34" s="678"/>
      <c r="EPD34" s="678"/>
      <c r="EPE34" s="678"/>
      <c r="EPF34" s="678"/>
      <c r="EPG34" s="678"/>
      <c r="EPH34" s="678"/>
      <c r="EPI34" s="678"/>
      <c r="EPJ34" s="678"/>
      <c r="EPK34" s="678"/>
      <c r="EPL34" s="678"/>
      <c r="EPM34" s="678"/>
      <c r="EPN34" s="678"/>
      <c r="EPO34" s="678"/>
      <c r="EPP34" s="678"/>
      <c r="EPQ34" s="678"/>
      <c r="EPR34" s="678"/>
      <c r="EPS34" s="678"/>
      <c r="EPT34" s="678"/>
      <c r="EPU34" s="678"/>
      <c r="EPV34" s="678"/>
      <c r="EPW34" s="678"/>
      <c r="EPX34" s="678"/>
      <c r="EPY34" s="678"/>
      <c r="EPZ34" s="678"/>
      <c r="EQA34" s="678"/>
      <c r="EQB34" s="678"/>
      <c r="EQC34" s="678"/>
      <c r="EQD34" s="678"/>
      <c r="EQE34" s="678"/>
      <c r="EQF34" s="678"/>
      <c r="EQG34" s="678"/>
      <c r="EQH34" s="678"/>
      <c r="EQI34" s="678"/>
      <c r="EQJ34" s="678"/>
      <c r="EQK34" s="678"/>
      <c r="EQL34" s="678"/>
      <c r="EQM34" s="678"/>
      <c r="EQN34" s="678"/>
      <c r="EQO34" s="678"/>
      <c r="EQP34" s="678"/>
      <c r="EQQ34" s="678"/>
      <c r="EQR34" s="678"/>
      <c r="EQS34" s="678"/>
      <c r="EQT34" s="678"/>
      <c r="EQU34" s="678"/>
      <c r="EQV34" s="678"/>
      <c r="EQW34" s="678"/>
      <c r="EQX34" s="678"/>
      <c r="EQY34" s="678"/>
      <c r="EQZ34" s="678"/>
      <c r="ERA34" s="678"/>
      <c r="ERB34" s="678"/>
      <c r="ERC34" s="678"/>
      <c r="ERD34" s="678"/>
      <c r="ERE34" s="678"/>
      <c r="ERF34" s="678"/>
      <c r="ERG34" s="678"/>
      <c r="ERH34" s="678"/>
      <c r="ERI34" s="678"/>
      <c r="ERJ34" s="678"/>
      <c r="ERK34" s="678"/>
      <c r="ERL34" s="678"/>
      <c r="ERM34" s="678"/>
      <c r="ERN34" s="678"/>
      <c r="ERO34" s="678"/>
      <c r="ERP34" s="678"/>
      <c r="ERQ34" s="678"/>
      <c r="ERR34" s="678"/>
      <c r="ERS34" s="678"/>
      <c r="ERT34" s="678"/>
      <c r="ERU34" s="678"/>
      <c r="ERV34" s="678"/>
      <c r="ERW34" s="678"/>
      <c r="ERX34" s="678"/>
      <c r="ERY34" s="678"/>
      <c r="ERZ34" s="678"/>
      <c r="ESA34" s="678"/>
      <c r="ESB34" s="678"/>
      <c r="ESC34" s="678"/>
      <c r="ESD34" s="678"/>
      <c r="ESE34" s="678"/>
      <c r="ESF34" s="678"/>
      <c r="ESG34" s="678"/>
      <c r="ESH34" s="678"/>
      <c r="ESI34" s="678"/>
      <c r="ESJ34" s="678"/>
      <c r="ESK34" s="678"/>
      <c r="ESL34" s="678"/>
      <c r="ESM34" s="678"/>
      <c r="ESN34" s="678"/>
      <c r="ESO34" s="678"/>
      <c r="ESP34" s="678"/>
      <c r="ESQ34" s="678"/>
      <c r="ESR34" s="678"/>
      <c r="ESS34" s="678"/>
      <c r="EST34" s="678"/>
      <c r="ESU34" s="678"/>
      <c r="ESV34" s="678"/>
      <c r="ESW34" s="678"/>
      <c r="ESX34" s="678"/>
      <c r="ESY34" s="678"/>
      <c r="ESZ34" s="678"/>
      <c r="ETA34" s="678"/>
      <c r="ETB34" s="678"/>
      <c r="ETC34" s="678"/>
      <c r="ETD34" s="678"/>
      <c r="ETE34" s="678"/>
      <c r="ETF34" s="678"/>
      <c r="ETG34" s="678"/>
      <c r="ETH34" s="678"/>
      <c r="ETI34" s="678"/>
      <c r="ETJ34" s="678"/>
      <c r="ETK34" s="678"/>
      <c r="ETL34" s="678"/>
      <c r="ETM34" s="678"/>
      <c r="ETN34" s="678"/>
      <c r="ETO34" s="678"/>
      <c r="ETP34" s="678"/>
      <c r="ETQ34" s="678"/>
      <c r="ETR34" s="678"/>
      <c r="ETS34" s="678"/>
      <c r="ETT34" s="678"/>
      <c r="ETU34" s="678"/>
      <c r="ETV34" s="678"/>
      <c r="ETW34" s="678"/>
      <c r="ETX34" s="678"/>
      <c r="ETY34" s="678"/>
      <c r="ETZ34" s="678"/>
      <c r="EUA34" s="678"/>
      <c r="EUB34" s="678"/>
      <c r="EUC34" s="678"/>
      <c r="EUD34" s="678"/>
      <c r="EUE34" s="678"/>
      <c r="EUF34" s="678"/>
      <c r="EUG34" s="678"/>
      <c r="EUH34" s="678"/>
      <c r="EUI34" s="678"/>
      <c r="EUJ34" s="678"/>
      <c r="EUK34" s="678"/>
      <c r="EUL34" s="678"/>
      <c r="EUM34" s="678"/>
      <c r="EUN34" s="678"/>
      <c r="EUO34" s="678"/>
      <c r="EUP34" s="678"/>
      <c r="EUQ34" s="678"/>
      <c r="EUR34" s="678"/>
      <c r="EUS34" s="678"/>
      <c r="EUT34" s="678"/>
      <c r="EUU34" s="678"/>
      <c r="EUV34" s="678"/>
      <c r="EUW34" s="678"/>
      <c r="EUX34" s="678"/>
      <c r="EUY34" s="678"/>
      <c r="EUZ34" s="678"/>
      <c r="EVA34" s="678"/>
      <c r="EVB34" s="678"/>
      <c r="EVC34" s="678"/>
      <c r="EVD34" s="678"/>
      <c r="EVE34" s="678"/>
      <c r="EVF34" s="678"/>
      <c r="EVG34" s="678"/>
      <c r="EVH34" s="678"/>
      <c r="EVI34" s="678"/>
      <c r="EVJ34" s="678"/>
      <c r="EVK34" s="678"/>
      <c r="EVL34" s="678"/>
      <c r="EVM34" s="678"/>
      <c r="EVN34" s="678"/>
      <c r="EVO34" s="678"/>
      <c r="EVP34" s="678"/>
      <c r="EVQ34" s="678"/>
      <c r="EVR34" s="678"/>
      <c r="EVS34" s="678"/>
      <c r="EVT34" s="678"/>
      <c r="EVU34" s="678"/>
      <c r="EVV34" s="678"/>
      <c r="EVW34" s="678"/>
      <c r="EVX34" s="678"/>
      <c r="EVY34" s="678"/>
      <c r="EVZ34" s="678"/>
      <c r="EWA34" s="678"/>
      <c r="EWB34" s="678"/>
      <c r="EWC34" s="678"/>
      <c r="EWD34" s="678"/>
      <c r="EWE34" s="678"/>
      <c r="EWF34" s="678"/>
      <c r="EWG34" s="678"/>
      <c r="EWH34" s="678"/>
      <c r="EWI34" s="678"/>
      <c r="EWJ34" s="678"/>
      <c r="EWK34" s="678"/>
      <c r="EWL34" s="678"/>
      <c r="EWM34" s="678"/>
      <c r="EWN34" s="678"/>
      <c r="EWO34" s="678"/>
      <c r="EWP34" s="678"/>
      <c r="EWQ34" s="678"/>
      <c r="EWR34" s="678"/>
      <c r="EWS34" s="678"/>
      <c r="EWT34" s="678"/>
      <c r="EWU34" s="678"/>
      <c r="EWV34" s="678"/>
      <c r="EWW34" s="678"/>
      <c r="EWX34" s="678"/>
      <c r="EWY34" s="678"/>
      <c r="EWZ34" s="678"/>
      <c r="EXA34" s="678"/>
      <c r="EXB34" s="678"/>
      <c r="EXC34" s="678"/>
      <c r="EXD34" s="678"/>
      <c r="EXE34" s="678"/>
      <c r="EXF34" s="678"/>
      <c r="EXG34" s="678"/>
      <c r="EXH34" s="678"/>
      <c r="EXI34" s="678"/>
      <c r="EXJ34" s="678"/>
      <c r="EXK34" s="678"/>
      <c r="EXL34" s="678"/>
      <c r="EXM34" s="678"/>
      <c r="EXN34" s="678"/>
      <c r="EXO34" s="678"/>
      <c r="EXP34" s="678"/>
      <c r="EXQ34" s="678"/>
      <c r="EXR34" s="678"/>
      <c r="EXS34" s="678"/>
      <c r="EXT34" s="678"/>
      <c r="EXU34" s="678"/>
      <c r="EXV34" s="678"/>
      <c r="EXW34" s="678"/>
      <c r="EXX34" s="678"/>
      <c r="EXY34" s="678"/>
      <c r="EXZ34" s="678"/>
      <c r="EYA34" s="678"/>
      <c r="EYB34" s="678"/>
      <c r="EYC34" s="678"/>
      <c r="EYD34" s="678"/>
      <c r="EYE34" s="678"/>
      <c r="EYF34" s="678"/>
      <c r="EYG34" s="678"/>
      <c r="EYH34" s="678"/>
      <c r="EYI34" s="678"/>
      <c r="EYJ34" s="678"/>
      <c r="EYK34" s="678"/>
      <c r="EYL34" s="678"/>
      <c r="EYM34" s="678"/>
      <c r="EYN34" s="678"/>
      <c r="EYO34" s="678"/>
      <c r="EYP34" s="678"/>
      <c r="EYQ34" s="678"/>
      <c r="EYR34" s="678"/>
      <c r="EYS34" s="678"/>
      <c r="EYT34" s="678"/>
      <c r="EYU34" s="678"/>
      <c r="EYV34" s="678"/>
      <c r="EYW34" s="678"/>
      <c r="EYX34" s="678"/>
      <c r="EYY34" s="678"/>
      <c r="EYZ34" s="678"/>
      <c r="EZA34" s="678"/>
      <c r="EZB34" s="678"/>
      <c r="EZC34" s="678"/>
      <c r="EZD34" s="678"/>
      <c r="EZE34" s="678"/>
      <c r="EZF34" s="678"/>
      <c r="EZG34" s="678"/>
      <c r="EZH34" s="678"/>
      <c r="EZI34" s="678"/>
      <c r="EZJ34" s="678"/>
      <c r="EZK34" s="678"/>
      <c r="EZL34" s="678"/>
      <c r="EZM34" s="678"/>
      <c r="EZN34" s="678"/>
      <c r="EZO34" s="678"/>
      <c r="EZP34" s="678"/>
      <c r="EZQ34" s="678"/>
      <c r="EZR34" s="678"/>
      <c r="EZS34" s="678"/>
      <c r="EZT34" s="678"/>
      <c r="EZU34" s="678"/>
      <c r="EZV34" s="678"/>
      <c r="EZW34" s="678"/>
      <c r="EZX34" s="678"/>
      <c r="EZY34" s="678"/>
      <c r="EZZ34" s="678"/>
      <c r="FAA34" s="678"/>
      <c r="FAB34" s="678"/>
      <c r="FAC34" s="678"/>
      <c r="FAD34" s="678"/>
      <c r="FAE34" s="678"/>
      <c r="FAF34" s="678"/>
      <c r="FAG34" s="678"/>
      <c r="FAH34" s="678"/>
      <c r="FAI34" s="678"/>
      <c r="FAJ34" s="678"/>
      <c r="FAK34" s="678"/>
      <c r="FAL34" s="678"/>
      <c r="FAM34" s="678"/>
      <c r="FAN34" s="678"/>
      <c r="FAO34" s="678"/>
      <c r="FAP34" s="678"/>
      <c r="FAQ34" s="678"/>
      <c r="FAR34" s="678"/>
      <c r="FAS34" s="678"/>
      <c r="FAT34" s="678"/>
      <c r="FAU34" s="678"/>
      <c r="FAV34" s="678"/>
      <c r="FAW34" s="678"/>
      <c r="FAX34" s="678"/>
      <c r="FAY34" s="678"/>
      <c r="FAZ34" s="678"/>
      <c r="FBA34" s="678"/>
      <c r="FBB34" s="678"/>
      <c r="FBC34" s="678"/>
      <c r="FBD34" s="678"/>
      <c r="FBE34" s="678"/>
      <c r="FBF34" s="678"/>
      <c r="FBG34" s="678"/>
      <c r="FBH34" s="678"/>
      <c r="FBI34" s="678"/>
      <c r="FBJ34" s="678"/>
      <c r="FBK34" s="678"/>
      <c r="FBL34" s="678"/>
      <c r="FBM34" s="678"/>
      <c r="FBN34" s="678"/>
      <c r="FBO34" s="678"/>
      <c r="FBP34" s="678"/>
      <c r="FBQ34" s="678"/>
      <c r="FBR34" s="678"/>
      <c r="FBS34" s="678"/>
      <c r="FBT34" s="678"/>
      <c r="FBU34" s="678"/>
      <c r="FBV34" s="678"/>
      <c r="FBW34" s="678"/>
      <c r="FBX34" s="678"/>
      <c r="FBY34" s="678"/>
      <c r="FBZ34" s="678"/>
      <c r="FCA34" s="678"/>
      <c r="FCB34" s="678"/>
      <c r="FCC34" s="678"/>
      <c r="FCD34" s="678"/>
      <c r="FCE34" s="678"/>
      <c r="FCF34" s="678"/>
      <c r="FCG34" s="678"/>
      <c r="FCH34" s="678"/>
      <c r="FCI34" s="678"/>
      <c r="FCJ34" s="678"/>
      <c r="FCK34" s="678"/>
      <c r="FCL34" s="678"/>
      <c r="FCM34" s="678"/>
      <c r="FCN34" s="678"/>
      <c r="FCO34" s="678"/>
      <c r="FCP34" s="678"/>
      <c r="FCQ34" s="678"/>
      <c r="FCR34" s="678"/>
      <c r="FCS34" s="678"/>
      <c r="FCT34" s="678"/>
      <c r="FCU34" s="678"/>
      <c r="FCV34" s="678"/>
      <c r="FCW34" s="678"/>
      <c r="FCX34" s="678"/>
      <c r="FCY34" s="678"/>
      <c r="FCZ34" s="678"/>
      <c r="FDA34" s="678"/>
      <c r="FDB34" s="678"/>
      <c r="FDC34" s="678"/>
      <c r="FDD34" s="678"/>
      <c r="FDE34" s="678"/>
      <c r="FDF34" s="678"/>
      <c r="FDG34" s="678"/>
      <c r="FDH34" s="678"/>
      <c r="FDI34" s="678"/>
      <c r="FDJ34" s="678"/>
      <c r="FDK34" s="678"/>
      <c r="FDL34" s="678"/>
      <c r="FDM34" s="678"/>
      <c r="FDN34" s="678"/>
      <c r="FDO34" s="678"/>
      <c r="FDP34" s="678"/>
      <c r="FDQ34" s="678"/>
      <c r="FDR34" s="678"/>
      <c r="FDS34" s="678"/>
      <c r="FDT34" s="678"/>
      <c r="FDU34" s="678"/>
      <c r="FDV34" s="678"/>
      <c r="FDW34" s="678"/>
      <c r="FDX34" s="678"/>
      <c r="FDY34" s="678"/>
      <c r="FDZ34" s="678"/>
      <c r="FEA34" s="678"/>
      <c r="FEB34" s="678"/>
      <c r="FEC34" s="678"/>
      <c r="FED34" s="678"/>
      <c r="FEE34" s="678"/>
      <c r="FEF34" s="678"/>
      <c r="FEG34" s="678"/>
      <c r="FEH34" s="678"/>
      <c r="FEI34" s="678"/>
      <c r="FEJ34" s="678"/>
      <c r="FEK34" s="678"/>
      <c r="FEL34" s="678"/>
      <c r="FEM34" s="678"/>
      <c r="FEN34" s="678"/>
      <c r="FEO34" s="678"/>
      <c r="FEP34" s="678"/>
      <c r="FEQ34" s="678"/>
      <c r="FER34" s="678"/>
      <c r="FES34" s="678"/>
      <c r="FET34" s="678"/>
      <c r="FEU34" s="678"/>
      <c r="FEV34" s="678"/>
      <c r="FEW34" s="678"/>
      <c r="FEX34" s="678"/>
      <c r="FEY34" s="678"/>
      <c r="FEZ34" s="678"/>
      <c r="FFA34" s="678"/>
      <c r="FFB34" s="678"/>
      <c r="FFC34" s="678"/>
      <c r="FFD34" s="678"/>
      <c r="FFE34" s="678"/>
      <c r="FFF34" s="678"/>
      <c r="FFG34" s="678"/>
      <c r="FFH34" s="678"/>
      <c r="FFI34" s="678"/>
      <c r="FFJ34" s="678"/>
      <c r="FFK34" s="678"/>
      <c r="FFL34" s="678"/>
      <c r="FFM34" s="678"/>
      <c r="FFN34" s="678"/>
      <c r="FFO34" s="678"/>
      <c r="FFP34" s="678"/>
      <c r="FFQ34" s="678"/>
      <c r="FFR34" s="678"/>
      <c r="FFS34" s="678"/>
      <c r="FFT34" s="678"/>
      <c r="FFU34" s="678"/>
      <c r="FFV34" s="678"/>
      <c r="FFW34" s="678"/>
      <c r="FFX34" s="678"/>
      <c r="FFY34" s="678"/>
      <c r="FFZ34" s="678"/>
      <c r="FGA34" s="678"/>
      <c r="FGB34" s="678"/>
      <c r="FGC34" s="678"/>
      <c r="FGD34" s="678"/>
      <c r="FGE34" s="678"/>
      <c r="FGF34" s="678"/>
      <c r="FGG34" s="678"/>
      <c r="FGH34" s="678"/>
      <c r="FGI34" s="678"/>
      <c r="FGJ34" s="678"/>
      <c r="FGK34" s="678"/>
      <c r="FGL34" s="678"/>
      <c r="FGM34" s="678"/>
      <c r="FGN34" s="678"/>
      <c r="FGO34" s="678"/>
      <c r="FGP34" s="678"/>
      <c r="FGQ34" s="678"/>
      <c r="FGR34" s="678"/>
      <c r="FGS34" s="678"/>
      <c r="FGT34" s="678"/>
      <c r="FGU34" s="678"/>
      <c r="FGV34" s="678"/>
      <c r="FGW34" s="678"/>
      <c r="FGX34" s="678"/>
      <c r="FGY34" s="678"/>
      <c r="FGZ34" s="678"/>
      <c r="FHA34" s="678"/>
      <c r="FHB34" s="678"/>
      <c r="FHC34" s="678"/>
      <c r="FHD34" s="678"/>
      <c r="FHE34" s="678"/>
      <c r="FHF34" s="678"/>
      <c r="FHG34" s="678"/>
      <c r="FHH34" s="678"/>
      <c r="FHI34" s="678"/>
      <c r="FHJ34" s="678"/>
      <c r="FHK34" s="678"/>
      <c r="FHL34" s="678"/>
      <c r="FHM34" s="678"/>
      <c r="FHN34" s="678"/>
      <c r="FHO34" s="678"/>
      <c r="FHP34" s="678"/>
      <c r="FHQ34" s="678"/>
      <c r="FHR34" s="678"/>
      <c r="FHS34" s="678"/>
      <c r="FHT34" s="678"/>
      <c r="FHU34" s="678"/>
      <c r="FHV34" s="678"/>
      <c r="FHW34" s="678"/>
      <c r="FHX34" s="678"/>
      <c r="FHY34" s="678"/>
      <c r="FHZ34" s="678"/>
      <c r="FIA34" s="678"/>
      <c r="FIB34" s="678"/>
      <c r="FIC34" s="678"/>
      <c r="FID34" s="678"/>
      <c r="FIE34" s="678"/>
      <c r="FIF34" s="678"/>
      <c r="FIG34" s="678"/>
      <c r="FIH34" s="678"/>
      <c r="FII34" s="678"/>
      <c r="FIJ34" s="678"/>
      <c r="FIK34" s="678"/>
      <c r="FIL34" s="678"/>
      <c r="FIM34" s="678"/>
      <c r="FIN34" s="678"/>
      <c r="FIO34" s="678"/>
      <c r="FIP34" s="678"/>
      <c r="FIQ34" s="678"/>
      <c r="FIR34" s="678"/>
      <c r="FIS34" s="678"/>
      <c r="FIT34" s="678"/>
      <c r="FIU34" s="678"/>
      <c r="FIV34" s="678"/>
      <c r="FIW34" s="678"/>
      <c r="FIX34" s="678"/>
      <c r="FIY34" s="678"/>
      <c r="FIZ34" s="678"/>
      <c r="FJA34" s="678"/>
      <c r="FJB34" s="678"/>
      <c r="FJC34" s="678"/>
      <c r="FJD34" s="678"/>
      <c r="FJE34" s="678"/>
      <c r="FJF34" s="678"/>
      <c r="FJG34" s="678"/>
      <c r="FJH34" s="678"/>
      <c r="FJI34" s="678"/>
      <c r="FJJ34" s="678"/>
      <c r="FJK34" s="678"/>
      <c r="FJL34" s="678"/>
      <c r="FJM34" s="678"/>
      <c r="FJN34" s="678"/>
      <c r="FJO34" s="678"/>
      <c r="FJP34" s="678"/>
      <c r="FJQ34" s="678"/>
      <c r="FJR34" s="678"/>
      <c r="FJS34" s="678"/>
      <c r="FJT34" s="678"/>
      <c r="FJU34" s="678"/>
      <c r="FJV34" s="678"/>
      <c r="FJW34" s="678"/>
      <c r="FJX34" s="678"/>
      <c r="FJY34" s="678"/>
      <c r="FJZ34" s="678"/>
      <c r="FKA34" s="678"/>
      <c r="FKB34" s="678"/>
      <c r="FKC34" s="678"/>
      <c r="FKD34" s="678"/>
      <c r="FKE34" s="678"/>
      <c r="FKF34" s="678"/>
      <c r="FKG34" s="678"/>
      <c r="FKH34" s="678"/>
      <c r="FKI34" s="678"/>
      <c r="FKJ34" s="678"/>
      <c r="FKK34" s="678"/>
      <c r="FKL34" s="678"/>
      <c r="FKM34" s="678"/>
      <c r="FKN34" s="678"/>
      <c r="FKO34" s="678"/>
      <c r="FKP34" s="678"/>
      <c r="FKQ34" s="678"/>
      <c r="FKR34" s="678"/>
      <c r="FKS34" s="678"/>
      <c r="FKT34" s="678"/>
      <c r="FKU34" s="678"/>
      <c r="FKV34" s="678"/>
      <c r="FKW34" s="678"/>
      <c r="FKX34" s="678"/>
      <c r="FKY34" s="678"/>
      <c r="FKZ34" s="678"/>
      <c r="FLA34" s="678"/>
      <c r="FLB34" s="678"/>
      <c r="FLC34" s="678"/>
      <c r="FLD34" s="678"/>
      <c r="FLE34" s="678"/>
      <c r="FLF34" s="678"/>
      <c r="FLG34" s="678"/>
      <c r="FLH34" s="678"/>
      <c r="FLI34" s="678"/>
      <c r="FLJ34" s="678"/>
      <c r="FLK34" s="678"/>
      <c r="FLL34" s="678"/>
      <c r="FLM34" s="678"/>
      <c r="FLN34" s="678"/>
      <c r="FLO34" s="678"/>
      <c r="FLP34" s="678"/>
      <c r="FLQ34" s="678"/>
      <c r="FLR34" s="678"/>
      <c r="FLS34" s="678"/>
      <c r="FLT34" s="678"/>
      <c r="FLU34" s="678"/>
      <c r="FLV34" s="678"/>
      <c r="FLW34" s="678"/>
      <c r="FLX34" s="678"/>
      <c r="FLY34" s="678"/>
      <c r="FLZ34" s="678"/>
      <c r="FMA34" s="678"/>
      <c r="FMB34" s="678"/>
      <c r="FMC34" s="678"/>
      <c r="FMD34" s="678"/>
      <c r="FME34" s="678"/>
      <c r="FMF34" s="678"/>
      <c r="FMG34" s="678"/>
      <c r="FMH34" s="678"/>
      <c r="FMI34" s="678"/>
      <c r="FMJ34" s="678"/>
      <c r="FMK34" s="678"/>
      <c r="FML34" s="678"/>
      <c r="FMM34" s="678"/>
      <c r="FMN34" s="678"/>
      <c r="FMO34" s="678"/>
      <c r="FMP34" s="678"/>
      <c r="FMQ34" s="678"/>
      <c r="FMR34" s="678"/>
      <c r="FMS34" s="678"/>
      <c r="FMT34" s="678"/>
      <c r="FMU34" s="678"/>
      <c r="FMV34" s="678"/>
      <c r="FMW34" s="678"/>
      <c r="FMX34" s="678"/>
      <c r="FMY34" s="678"/>
      <c r="FMZ34" s="678"/>
      <c r="FNA34" s="678"/>
      <c r="FNB34" s="678"/>
      <c r="FNC34" s="678"/>
      <c r="FND34" s="678"/>
      <c r="FNE34" s="678"/>
      <c r="FNF34" s="678"/>
      <c r="FNG34" s="678"/>
      <c r="FNH34" s="678"/>
      <c r="FNI34" s="678"/>
      <c r="FNJ34" s="678"/>
      <c r="FNK34" s="678"/>
      <c r="FNL34" s="678"/>
      <c r="FNM34" s="678"/>
      <c r="FNN34" s="678"/>
      <c r="FNO34" s="678"/>
      <c r="FNP34" s="678"/>
      <c r="FNQ34" s="678"/>
      <c r="FNR34" s="678"/>
      <c r="FNS34" s="678"/>
      <c r="FNT34" s="678"/>
      <c r="FNU34" s="678"/>
      <c r="FNV34" s="678"/>
      <c r="FNW34" s="678"/>
      <c r="FNX34" s="678"/>
      <c r="FNY34" s="678"/>
      <c r="FNZ34" s="678"/>
      <c r="FOA34" s="678"/>
      <c r="FOB34" s="678"/>
      <c r="FOC34" s="678"/>
      <c r="FOD34" s="678"/>
      <c r="FOE34" s="678"/>
      <c r="FOF34" s="678"/>
      <c r="FOG34" s="678"/>
      <c r="FOH34" s="678"/>
      <c r="FOI34" s="678"/>
      <c r="FOJ34" s="678"/>
      <c r="FOK34" s="678"/>
      <c r="FOL34" s="678"/>
      <c r="FOM34" s="678"/>
      <c r="FON34" s="678"/>
      <c r="FOO34" s="678"/>
      <c r="FOP34" s="678"/>
      <c r="FOQ34" s="678"/>
      <c r="FOR34" s="678"/>
      <c r="FOS34" s="678"/>
      <c r="FOT34" s="678"/>
      <c r="FOU34" s="678"/>
      <c r="FOV34" s="678"/>
      <c r="FOW34" s="678"/>
      <c r="FOX34" s="678"/>
      <c r="FOY34" s="678"/>
      <c r="FOZ34" s="678"/>
      <c r="FPA34" s="678"/>
      <c r="FPB34" s="678"/>
      <c r="FPC34" s="678"/>
      <c r="FPD34" s="678"/>
      <c r="FPE34" s="678"/>
      <c r="FPF34" s="678"/>
      <c r="FPG34" s="678"/>
      <c r="FPH34" s="678"/>
      <c r="FPI34" s="678"/>
      <c r="FPJ34" s="678"/>
      <c r="FPK34" s="678"/>
      <c r="FPL34" s="678"/>
      <c r="FPM34" s="678"/>
      <c r="FPN34" s="678"/>
      <c r="FPO34" s="678"/>
      <c r="FPP34" s="678"/>
      <c r="FPQ34" s="678"/>
      <c r="FPR34" s="678"/>
      <c r="FPS34" s="678"/>
      <c r="FPT34" s="678"/>
      <c r="FPU34" s="678"/>
      <c r="FPV34" s="678"/>
      <c r="FPW34" s="678"/>
      <c r="FPX34" s="678"/>
      <c r="FPY34" s="678"/>
      <c r="FPZ34" s="678"/>
      <c r="FQA34" s="678"/>
      <c r="FQB34" s="678"/>
      <c r="FQC34" s="678"/>
      <c r="FQD34" s="678"/>
      <c r="FQE34" s="678"/>
      <c r="FQF34" s="678"/>
      <c r="FQG34" s="678"/>
      <c r="FQH34" s="678"/>
      <c r="FQI34" s="678"/>
      <c r="FQJ34" s="678"/>
      <c r="FQK34" s="678"/>
      <c r="FQL34" s="678"/>
      <c r="FQM34" s="678"/>
      <c r="FQN34" s="678"/>
      <c r="FQO34" s="678"/>
      <c r="FQP34" s="678"/>
      <c r="FQQ34" s="678"/>
      <c r="FQR34" s="678"/>
      <c r="FQS34" s="678"/>
      <c r="FQT34" s="678"/>
      <c r="FQU34" s="678"/>
      <c r="FQV34" s="678"/>
      <c r="FQW34" s="678"/>
      <c r="FQX34" s="678"/>
      <c r="FQY34" s="678"/>
      <c r="FQZ34" s="678"/>
      <c r="FRA34" s="678"/>
      <c r="FRB34" s="678"/>
      <c r="FRC34" s="678"/>
      <c r="FRD34" s="678"/>
      <c r="FRE34" s="678"/>
      <c r="FRF34" s="678"/>
      <c r="FRG34" s="678"/>
      <c r="FRH34" s="678"/>
      <c r="FRI34" s="678"/>
      <c r="FRJ34" s="678"/>
      <c r="FRK34" s="678"/>
      <c r="FRL34" s="678"/>
      <c r="FRM34" s="678"/>
      <c r="FRN34" s="678"/>
      <c r="FRO34" s="678"/>
      <c r="FRP34" s="678"/>
      <c r="FRQ34" s="678"/>
      <c r="FRR34" s="678"/>
      <c r="FRS34" s="678"/>
      <c r="FRT34" s="678"/>
      <c r="FRU34" s="678"/>
      <c r="FRV34" s="678"/>
      <c r="FRW34" s="678"/>
      <c r="FRX34" s="678"/>
      <c r="FRY34" s="678"/>
      <c r="FRZ34" s="678"/>
      <c r="FSA34" s="678"/>
      <c r="FSB34" s="678"/>
      <c r="FSC34" s="678"/>
      <c r="FSD34" s="678"/>
      <c r="FSE34" s="678"/>
      <c r="FSF34" s="678"/>
      <c r="FSG34" s="678"/>
      <c r="FSH34" s="678"/>
      <c r="FSI34" s="678"/>
      <c r="FSJ34" s="678"/>
      <c r="FSK34" s="678"/>
      <c r="FSL34" s="678"/>
      <c r="FSM34" s="678"/>
      <c r="FSN34" s="678"/>
      <c r="FSO34" s="678"/>
      <c r="FSP34" s="678"/>
      <c r="FSQ34" s="678"/>
      <c r="FSR34" s="678"/>
      <c r="FSS34" s="678"/>
      <c r="FST34" s="678"/>
      <c r="FSU34" s="678"/>
      <c r="FSV34" s="678"/>
      <c r="FSW34" s="678"/>
      <c r="FSX34" s="678"/>
      <c r="FSY34" s="678"/>
      <c r="FSZ34" s="678"/>
      <c r="FTA34" s="678"/>
      <c r="FTB34" s="678"/>
      <c r="FTC34" s="678"/>
      <c r="FTD34" s="678"/>
      <c r="FTE34" s="678"/>
      <c r="FTF34" s="678"/>
      <c r="FTG34" s="678"/>
      <c r="FTH34" s="678"/>
      <c r="FTI34" s="678"/>
      <c r="FTJ34" s="678"/>
      <c r="FTK34" s="678"/>
      <c r="FTL34" s="678"/>
      <c r="FTM34" s="678"/>
      <c r="FTN34" s="678"/>
      <c r="FTO34" s="678"/>
      <c r="FTP34" s="678"/>
      <c r="FTQ34" s="678"/>
      <c r="FTR34" s="678"/>
      <c r="FTS34" s="678"/>
      <c r="FTT34" s="678"/>
      <c r="FTU34" s="678"/>
      <c r="FTV34" s="678"/>
      <c r="FTW34" s="678"/>
      <c r="FTX34" s="678"/>
      <c r="FTY34" s="678"/>
      <c r="FTZ34" s="678"/>
      <c r="FUA34" s="678"/>
      <c r="FUB34" s="678"/>
      <c r="FUC34" s="678"/>
      <c r="FUD34" s="678"/>
      <c r="FUE34" s="678"/>
      <c r="FUF34" s="678"/>
      <c r="FUG34" s="678"/>
      <c r="FUH34" s="678"/>
      <c r="FUI34" s="678"/>
      <c r="FUJ34" s="678"/>
      <c r="FUK34" s="678"/>
      <c r="FUL34" s="678"/>
      <c r="FUM34" s="678"/>
      <c r="FUN34" s="678"/>
      <c r="FUO34" s="678"/>
      <c r="FUP34" s="678"/>
      <c r="FUQ34" s="678"/>
      <c r="FUR34" s="678"/>
      <c r="FUS34" s="678"/>
      <c r="FUT34" s="678"/>
      <c r="FUU34" s="678"/>
      <c r="FUV34" s="678"/>
      <c r="FUW34" s="678"/>
      <c r="FUX34" s="678"/>
      <c r="FUY34" s="678"/>
      <c r="FUZ34" s="678"/>
      <c r="FVA34" s="678"/>
      <c r="FVB34" s="678"/>
      <c r="FVC34" s="678"/>
      <c r="FVD34" s="678"/>
      <c r="FVE34" s="678"/>
      <c r="FVF34" s="678"/>
      <c r="FVG34" s="678"/>
      <c r="FVH34" s="678"/>
      <c r="FVI34" s="678"/>
      <c r="FVJ34" s="678"/>
      <c r="FVK34" s="678"/>
      <c r="FVL34" s="678"/>
      <c r="FVM34" s="678"/>
      <c r="FVN34" s="678"/>
      <c r="FVO34" s="678"/>
      <c r="FVP34" s="678"/>
      <c r="FVQ34" s="678"/>
      <c r="FVR34" s="678"/>
      <c r="FVS34" s="678"/>
      <c r="FVT34" s="678"/>
      <c r="FVU34" s="678"/>
      <c r="FVV34" s="678"/>
      <c r="FVW34" s="678"/>
      <c r="FVX34" s="678"/>
      <c r="FVY34" s="678"/>
      <c r="FVZ34" s="678"/>
      <c r="FWA34" s="678"/>
      <c r="FWB34" s="678"/>
      <c r="FWC34" s="678"/>
      <c r="FWD34" s="678"/>
      <c r="FWE34" s="678"/>
      <c r="FWF34" s="678"/>
      <c r="FWG34" s="678"/>
      <c r="FWH34" s="678"/>
      <c r="FWI34" s="678"/>
      <c r="FWJ34" s="678"/>
      <c r="FWK34" s="678"/>
      <c r="FWL34" s="678"/>
      <c r="FWM34" s="678"/>
      <c r="FWN34" s="678"/>
      <c r="FWO34" s="678"/>
      <c r="FWP34" s="678"/>
      <c r="FWQ34" s="678"/>
      <c r="FWR34" s="678"/>
      <c r="FWS34" s="678"/>
      <c r="FWT34" s="678"/>
      <c r="FWU34" s="678"/>
      <c r="FWV34" s="678"/>
      <c r="FWW34" s="678"/>
      <c r="FWX34" s="678"/>
      <c r="FWY34" s="678"/>
      <c r="FWZ34" s="678"/>
      <c r="FXA34" s="678"/>
      <c r="FXB34" s="678"/>
      <c r="FXC34" s="678"/>
      <c r="FXD34" s="678"/>
      <c r="FXE34" s="678"/>
      <c r="FXF34" s="678"/>
      <c r="FXG34" s="678"/>
      <c r="FXH34" s="678"/>
      <c r="FXI34" s="678"/>
      <c r="FXJ34" s="678"/>
      <c r="FXK34" s="678"/>
      <c r="FXL34" s="678"/>
      <c r="FXM34" s="678"/>
      <c r="FXN34" s="678"/>
      <c r="FXO34" s="678"/>
      <c r="FXP34" s="678"/>
      <c r="FXQ34" s="678"/>
      <c r="FXR34" s="678"/>
      <c r="FXS34" s="678"/>
      <c r="FXT34" s="678"/>
      <c r="FXU34" s="678"/>
      <c r="FXV34" s="678"/>
      <c r="FXW34" s="678"/>
      <c r="FXX34" s="678"/>
      <c r="FXY34" s="678"/>
      <c r="FXZ34" s="678"/>
      <c r="FYA34" s="678"/>
      <c r="FYB34" s="678"/>
      <c r="FYC34" s="678"/>
      <c r="FYD34" s="678"/>
      <c r="FYE34" s="678"/>
      <c r="FYF34" s="678"/>
      <c r="FYG34" s="678"/>
      <c r="FYH34" s="678"/>
      <c r="FYI34" s="678"/>
      <c r="FYJ34" s="678"/>
      <c r="FYK34" s="678"/>
      <c r="FYL34" s="678"/>
      <c r="FYM34" s="678"/>
      <c r="FYN34" s="678"/>
      <c r="FYO34" s="678"/>
      <c r="FYP34" s="678"/>
      <c r="FYQ34" s="678"/>
      <c r="FYR34" s="678"/>
      <c r="FYS34" s="678"/>
      <c r="FYT34" s="678"/>
      <c r="FYU34" s="678"/>
      <c r="FYV34" s="678"/>
      <c r="FYW34" s="678"/>
      <c r="FYX34" s="678"/>
      <c r="FYY34" s="678"/>
      <c r="FYZ34" s="678"/>
      <c r="FZA34" s="678"/>
      <c r="FZB34" s="678"/>
      <c r="FZC34" s="678"/>
      <c r="FZD34" s="678"/>
      <c r="FZE34" s="678"/>
      <c r="FZF34" s="678"/>
      <c r="FZG34" s="678"/>
      <c r="FZH34" s="678"/>
      <c r="FZI34" s="678"/>
      <c r="FZJ34" s="678"/>
      <c r="FZK34" s="678"/>
      <c r="FZL34" s="678"/>
      <c r="FZM34" s="678"/>
      <c r="FZN34" s="678"/>
      <c r="FZO34" s="678"/>
      <c r="FZP34" s="678"/>
      <c r="FZQ34" s="678"/>
      <c r="FZR34" s="678"/>
      <c r="FZS34" s="678"/>
      <c r="FZT34" s="678"/>
      <c r="FZU34" s="678"/>
      <c r="FZV34" s="678"/>
      <c r="FZW34" s="678"/>
      <c r="FZX34" s="678"/>
      <c r="FZY34" s="678"/>
      <c r="FZZ34" s="678"/>
      <c r="GAA34" s="678"/>
      <c r="GAB34" s="678"/>
      <c r="GAC34" s="678"/>
      <c r="GAD34" s="678"/>
      <c r="GAE34" s="678"/>
      <c r="GAF34" s="678"/>
      <c r="GAG34" s="678"/>
      <c r="GAH34" s="678"/>
      <c r="GAI34" s="678"/>
      <c r="GAJ34" s="678"/>
      <c r="GAK34" s="678"/>
      <c r="GAL34" s="678"/>
      <c r="GAM34" s="678"/>
      <c r="GAN34" s="678"/>
      <c r="GAO34" s="678"/>
      <c r="GAP34" s="678"/>
      <c r="GAQ34" s="678"/>
      <c r="GAR34" s="678"/>
      <c r="GAS34" s="678"/>
      <c r="GAT34" s="678"/>
      <c r="GAU34" s="678"/>
      <c r="GAV34" s="678"/>
      <c r="GAW34" s="678"/>
      <c r="GAX34" s="678"/>
      <c r="GAY34" s="678"/>
      <c r="GAZ34" s="678"/>
      <c r="GBA34" s="678"/>
      <c r="GBB34" s="678"/>
      <c r="GBC34" s="678"/>
      <c r="GBD34" s="678"/>
      <c r="GBE34" s="678"/>
      <c r="GBF34" s="678"/>
      <c r="GBG34" s="678"/>
      <c r="GBH34" s="678"/>
      <c r="GBI34" s="678"/>
      <c r="GBJ34" s="678"/>
      <c r="GBK34" s="678"/>
      <c r="GBL34" s="678"/>
      <c r="GBM34" s="678"/>
      <c r="GBN34" s="678"/>
      <c r="GBO34" s="678"/>
      <c r="GBP34" s="678"/>
      <c r="GBQ34" s="678"/>
      <c r="GBR34" s="678"/>
      <c r="GBS34" s="678"/>
      <c r="GBT34" s="678"/>
      <c r="GBU34" s="678"/>
      <c r="GBV34" s="678"/>
      <c r="GBW34" s="678"/>
      <c r="GBX34" s="678"/>
      <c r="GBY34" s="678"/>
      <c r="GBZ34" s="678"/>
      <c r="GCA34" s="678"/>
      <c r="GCB34" s="678"/>
      <c r="GCC34" s="678"/>
      <c r="GCD34" s="678"/>
      <c r="GCE34" s="678"/>
      <c r="GCF34" s="678"/>
      <c r="GCG34" s="678"/>
      <c r="GCH34" s="678"/>
      <c r="GCI34" s="678"/>
      <c r="GCJ34" s="678"/>
      <c r="GCK34" s="678"/>
      <c r="GCL34" s="678"/>
      <c r="GCM34" s="678"/>
      <c r="GCN34" s="678"/>
      <c r="GCO34" s="678"/>
      <c r="GCP34" s="678"/>
      <c r="GCQ34" s="678"/>
      <c r="GCR34" s="678"/>
      <c r="GCS34" s="678"/>
      <c r="GCT34" s="678"/>
      <c r="GCU34" s="678"/>
      <c r="GCV34" s="678"/>
      <c r="GCW34" s="678"/>
      <c r="GCX34" s="678"/>
      <c r="GCY34" s="678"/>
      <c r="GCZ34" s="678"/>
      <c r="GDA34" s="678"/>
      <c r="GDB34" s="678"/>
      <c r="GDC34" s="678"/>
      <c r="GDD34" s="678"/>
      <c r="GDE34" s="678"/>
      <c r="GDF34" s="678"/>
      <c r="GDG34" s="678"/>
      <c r="GDH34" s="678"/>
      <c r="GDI34" s="678"/>
      <c r="GDJ34" s="678"/>
      <c r="GDK34" s="678"/>
      <c r="GDL34" s="678"/>
      <c r="GDM34" s="678"/>
      <c r="GDN34" s="678"/>
      <c r="GDO34" s="678"/>
      <c r="GDP34" s="678"/>
      <c r="GDQ34" s="678"/>
      <c r="GDR34" s="678"/>
      <c r="GDS34" s="678"/>
      <c r="GDT34" s="678"/>
      <c r="GDU34" s="678"/>
      <c r="GDV34" s="678"/>
      <c r="GDW34" s="678"/>
      <c r="GDX34" s="678"/>
      <c r="GDY34" s="678"/>
      <c r="GDZ34" s="678"/>
      <c r="GEA34" s="678"/>
      <c r="GEB34" s="678"/>
      <c r="GEC34" s="678"/>
      <c r="GED34" s="678"/>
      <c r="GEE34" s="678"/>
      <c r="GEF34" s="678"/>
      <c r="GEG34" s="678"/>
      <c r="GEH34" s="678"/>
      <c r="GEI34" s="678"/>
      <c r="GEJ34" s="678"/>
      <c r="GEK34" s="678"/>
      <c r="GEL34" s="678"/>
      <c r="GEM34" s="678"/>
      <c r="GEN34" s="678"/>
      <c r="GEO34" s="678"/>
      <c r="GEP34" s="678"/>
      <c r="GEQ34" s="678"/>
      <c r="GER34" s="678"/>
      <c r="GES34" s="678"/>
      <c r="GET34" s="678"/>
      <c r="GEU34" s="678"/>
      <c r="GEV34" s="678"/>
      <c r="GEW34" s="678"/>
      <c r="GEX34" s="678"/>
      <c r="GEY34" s="678"/>
      <c r="GEZ34" s="678"/>
      <c r="GFA34" s="678"/>
      <c r="GFB34" s="678"/>
      <c r="GFC34" s="678"/>
      <c r="GFD34" s="678"/>
      <c r="GFE34" s="678"/>
      <c r="GFF34" s="678"/>
      <c r="GFG34" s="678"/>
      <c r="GFH34" s="678"/>
      <c r="GFI34" s="678"/>
      <c r="GFJ34" s="678"/>
      <c r="GFK34" s="678"/>
      <c r="GFL34" s="678"/>
      <c r="GFM34" s="678"/>
      <c r="GFN34" s="678"/>
      <c r="GFO34" s="678"/>
      <c r="GFP34" s="678"/>
      <c r="GFQ34" s="678"/>
      <c r="GFR34" s="678"/>
      <c r="GFS34" s="678"/>
      <c r="GFT34" s="678"/>
      <c r="GFU34" s="678"/>
      <c r="GFV34" s="678"/>
      <c r="GFW34" s="678"/>
      <c r="GFX34" s="678"/>
      <c r="GFY34" s="678"/>
      <c r="GFZ34" s="678"/>
      <c r="GGA34" s="678"/>
      <c r="GGB34" s="678"/>
      <c r="GGC34" s="678"/>
      <c r="GGD34" s="678"/>
      <c r="GGE34" s="678"/>
      <c r="GGF34" s="678"/>
      <c r="GGG34" s="678"/>
      <c r="GGH34" s="678"/>
      <c r="GGI34" s="678"/>
      <c r="GGJ34" s="678"/>
      <c r="GGK34" s="678"/>
      <c r="GGL34" s="678"/>
      <c r="GGM34" s="678"/>
      <c r="GGN34" s="678"/>
      <c r="GGO34" s="678"/>
      <c r="GGP34" s="678"/>
      <c r="GGQ34" s="678"/>
      <c r="GGR34" s="678"/>
      <c r="GGS34" s="678"/>
      <c r="GGT34" s="678"/>
      <c r="GGU34" s="678"/>
      <c r="GGV34" s="678"/>
      <c r="GGW34" s="678"/>
      <c r="GGX34" s="678"/>
      <c r="GGY34" s="678"/>
      <c r="GGZ34" s="678"/>
      <c r="GHA34" s="678"/>
      <c r="GHB34" s="678"/>
      <c r="GHC34" s="678"/>
      <c r="GHD34" s="678"/>
      <c r="GHE34" s="678"/>
      <c r="GHF34" s="678"/>
      <c r="GHG34" s="678"/>
      <c r="GHH34" s="678"/>
      <c r="GHI34" s="678"/>
      <c r="GHJ34" s="678"/>
      <c r="GHK34" s="678"/>
      <c r="GHL34" s="678"/>
      <c r="GHM34" s="678"/>
      <c r="GHN34" s="678"/>
      <c r="GHO34" s="678"/>
      <c r="GHP34" s="678"/>
      <c r="GHQ34" s="678"/>
      <c r="GHR34" s="678"/>
      <c r="GHS34" s="678"/>
      <c r="GHT34" s="678"/>
      <c r="GHU34" s="678"/>
      <c r="GHV34" s="678"/>
      <c r="GHW34" s="678"/>
      <c r="GHX34" s="678"/>
      <c r="GHY34" s="678"/>
      <c r="GHZ34" s="678"/>
      <c r="GIA34" s="678"/>
      <c r="GIB34" s="678"/>
      <c r="GIC34" s="678"/>
      <c r="GID34" s="678"/>
      <c r="GIE34" s="678"/>
      <c r="GIF34" s="678"/>
      <c r="GIG34" s="678"/>
      <c r="GIH34" s="678"/>
      <c r="GII34" s="678"/>
      <c r="GIJ34" s="678"/>
      <c r="GIK34" s="678"/>
      <c r="GIL34" s="678"/>
      <c r="GIM34" s="678"/>
      <c r="GIN34" s="678"/>
      <c r="GIO34" s="678"/>
      <c r="GIP34" s="678"/>
      <c r="GIQ34" s="678"/>
      <c r="GIR34" s="678"/>
      <c r="GIS34" s="678"/>
      <c r="GIT34" s="678"/>
      <c r="GIU34" s="678"/>
      <c r="GIV34" s="678"/>
      <c r="GIW34" s="678"/>
      <c r="GIX34" s="678"/>
      <c r="GIY34" s="678"/>
      <c r="GIZ34" s="678"/>
      <c r="GJA34" s="678"/>
      <c r="GJB34" s="678"/>
      <c r="GJC34" s="678"/>
      <c r="GJD34" s="678"/>
      <c r="GJE34" s="678"/>
      <c r="GJF34" s="678"/>
      <c r="GJG34" s="678"/>
      <c r="GJH34" s="678"/>
      <c r="GJI34" s="678"/>
      <c r="GJJ34" s="678"/>
      <c r="GJK34" s="678"/>
      <c r="GJL34" s="678"/>
      <c r="GJM34" s="678"/>
      <c r="GJN34" s="678"/>
      <c r="GJO34" s="678"/>
      <c r="GJP34" s="678"/>
      <c r="GJQ34" s="678"/>
      <c r="GJR34" s="678"/>
      <c r="GJS34" s="678"/>
      <c r="GJT34" s="678"/>
      <c r="GJU34" s="678"/>
      <c r="GJV34" s="678"/>
      <c r="GJW34" s="678"/>
      <c r="GJX34" s="678"/>
      <c r="GJY34" s="678"/>
      <c r="GJZ34" s="678"/>
      <c r="GKA34" s="678"/>
      <c r="GKB34" s="678"/>
      <c r="GKC34" s="678"/>
      <c r="GKD34" s="678"/>
      <c r="GKE34" s="678"/>
      <c r="GKF34" s="678"/>
      <c r="GKG34" s="678"/>
      <c r="GKH34" s="678"/>
      <c r="GKI34" s="678"/>
      <c r="GKJ34" s="678"/>
      <c r="GKK34" s="678"/>
      <c r="GKL34" s="678"/>
      <c r="GKM34" s="678"/>
      <c r="GKN34" s="678"/>
      <c r="GKO34" s="678"/>
      <c r="GKP34" s="678"/>
      <c r="GKQ34" s="678"/>
      <c r="GKR34" s="678"/>
      <c r="GKS34" s="678"/>
      <c r="GKT34" s="678"/>
      <c r="GKU34" s="678"/>
      <c r="GKV34" s="678"/>
      <c r="GKW34" s="678"/>
      <c r="GKX34" s="678"/>
      <c r="GKY34" s="678"/>
      <c r="GKZ34" s="678"/>
      <c r="GLA34" s="678"/>
      <c r="GLB34" s="678"/>
      <c r="GLC34" s="678"/>
      <c r="GLD34" s="678"/>
      <c r="GLE34" s="678"/>
      <c r="GLF34" s="678"/>
      <c r="GLG34" s="678"/>
      <c r="GLH34" s="678"/>
      <c r="GLI34" s="678"/>
      <c r="GLJ34" s="678"/>
      <c r="GLK34" s="678"/>
      <c r="GLL34" s="678"/>
      <c r="GLM34" s="678"/>
      <c r="GLN34" s="678"/>
      <c r="GLO34" s="678"/>
      <c r="GLP34" s="678"/>
      <c r="GLQ34" s="678"/>
      <c r="GLR34" s="678"/>
      <c r="GLS34" s="678"/>
      <c r="GLT34" s="678"/>
      <c r="GLU34" s="678"/>
      <c r="GLV34" s="678"/>
      <c r="GLW34" s="678"/>
      <c r="GLX34" s="678"/>
      <c r="GLY34" s="678"/>
      <c r="GLZ34" s="678"/>
      <c r="GMA34" s="678"/>
      <c r="GMB34" s="678"/>
      <c r="GMC34" s="678"/>
      <c r="GMD34" s="678"/>
      <c r="GME34" s="678"/>
      <c r="GMF34" s="678"/>
      <c r="GMG34" s="678"/>
      <c r="GMH34" s="678"/>
      <c r="GMI34" s="678"/>
      <c r="GMJ34" s="678"/>
      <c r="GMK34" s="678"/>
      <c r="GML34" s="678"/>
      <c r="GMM34" s="678"/>
      <c r="GMN34" s="678"/>
      <c r="GMO34" s="678"/>
      <c r="GMP34" s="678"/>
      <c r="GMQ34" s="678"/>
      <c r="GMR34" s="678"/>
      <c r="GMS34" s="678"/>
      <c r="GMT34" s="678"/>
      <c r="GMU34" s="678"/>
      <c r="GMV34" s="678"/>
      <c r="GMW34" s="678"/>
      <c r="GMX34" s="678"/>
      <c r="GMY34" s="678"/>
      <c r="GMZ34" s="678"/>
      <c r="GNA34" s="678"/>
      <c r="GNB34" s="678"/>
      <c r="GNC34" s="678"/>
      <c r="GND34" s="678"/>
      <c r="GNE34" s="678"/>
      <c r="GNF34" s="678"/>
      <c r="GNG34" s="678"/>
      <c r="GNH34" s="678"/>
      <c r="GNI34" s="678"/>
      <c r="GNJ34" s="678"/>
      <c r="GNK34" s="678"/>
      <c r="GNL34" s="678"/>
      <c r="GNM34" s="678"/>
      <c r="GNN34" s="678"/>
      <c r="GNO34" s="678"/>
      <c r="GNP34" s="678"/>
      <c r="GNQ34" s="678"/>
      <c r="GNR34" s="678"/>
      <c r="GNS34" s="678"/>
      <c r="GNT34" s="678"/>
      <c r="GNU34" s="678"/>
      <c r="GNV34" s="678"/>
      <c r="GNW34" s="678"/>
      <c r="GNX34" s="678"/>
      <c r="GNY34" s="678"/>
      <c r="GNZ34" s="678"/>
      <c r="GOA34" s="678"/>
      <c r="GOB34" s="678"/>
      <c r="GOC34" s="678"/>
      <c r="GOD34" s="678"/>
      <c r="GOE34" s="678"/>
      <c r="GOF34" s="678"/>
      <c r="GOG34" s="678"/>
      <c r="GOH34" s="678"/>
      <c r="GOI34" s="678"/>
      <c r="GOJ34" s="678"/>
      <c r="GOK34" s="678"/>
      <c r="GOL34" s="678"/>
      <c r="GOM34" s="678"/>
      <c r="GON34" s="678"/>
      <c r="GOO34" s="678"/>
      <c r="GOP34" s="678"/>
      <c r="GOQ34" s="678"/>
      <c r="GOR34" s="678"/>
      <c r="GOS34" s="678"/>
      <c r="GOT34" s="678"/>
      <c r="GOU34" s="678"/>
      <c r="GOV34" s="678"/>
      <c r="GOW34" s="678"/>
      <c r="GOX34" s="678"/>
      <c r="GOY34" s="678"/>
      <c r="GOZ34" s="678"/>
      <c r="GPA34" s="678"/>
      <c r="GPB34" s="678"/>
      <c r="GPC34" s="678"/>
      <c r="GPD34" s="678"/>
      <c r="GPE34" s="678"/>
      <c r="GPF34" s="678"/>
      <c r="GPG34" s="678"/>
      <c r="GPH34" s="678"/>
      <c r="GPI34" s="678"/>
      <c r="GPJ34" s="678"/>
      <c r="GPK34" s="678"/>
      <c r="GPL34" s="678"/>
      <c r="GPM34" s="678"/>
      <c r="GPN34" s="678"/>
      <c r="GPO34" s="678"/>
      <c r="GPP34" s="678"/>
      <c r="GPQ34" s="678"/>
      <c r="GPR34" s="678"/>
      <c r="GPS34" s="678"/>
      <c r="GPT34" s="678"/>
      <c r="GPU34" s="678"/>
      <c r="GPV34" s="678"/>
      <c r="GPW34" s="678"/>
      <c r="GPX34" s="678"/>
      <c r="GPY34" s="678"/>
      <c r="GPZ34" s="678"/>
      <c r="GQA34" s="678"/>
      <c r="GQB34" s="678"/>
      <c r="GQC34" s="678"/>
      <c r="GQD34" s="678"/>
      <c r="GQE34" s="678"/>
      <c r="GQF34" s="678"/>
      <c r="GQG34" s="678"/>
      <c r="GQH34" s="678"/>
      <c r="GQI34" s="678"/>
      <c r="GQJ34" s="678"/>
      <c r="GQK34" s="678"/>
      <c r="GQL34" s="678"/>
      <c r="GQM34" s="678"/>
      <c r="GQN34" s="678"/>
      <c r="GQO34" s="678"/>
      <c r="GQP34" s="678"/>
      <c r="GQQ34" s="678"/>
      <c r="GQR34" s="678"/>
      <c r="GQS34" s="678"/>
      <c r="GQT34" s="678"/>
      <c r="GQU34" s="678"/>
      <c r="GQV34" s="678"/>
      <c r="GQW34" s="678"/>
      <c r="GQX34" s="678"/>
      <c r="GQY34" s="678"/>
      <c r="GQZ34" s="678"/>
      <c r="GRA34" s="678"/>
      <c r="GRB34" s="678"/>
      <c r="GRC34" s="678"/>
      <c r="GRD34" s="678"/>
      <c r="GRE34" s="678"/>
      <c r="GRF34" s="678"/>
      <c r="GRG34" s="678"/>
      <c r="GRH34" s="678"/>
      <c r="GRI34" s="678"/>
      <c r="GRJ34" s="678"/>
      <c r="GRK34" s="678"/>
      <c r="GRL34" s="678"/>
      <c r="GRM34" s="678"/>
      <c r="GRN34" s="678"/>
      <c r="GRO34" s="678"/>
      <c r="GRP34" s="678"/>
      <c r="GRQ34" s="678"/>
      <c r="GRR34" s="678"/>
      <c r="GRS34" s="678"/>
      <c r="GRT34" s="678"/>
      <c r="GRU34" s="678"/>
      <c r="GRV34" s="678"/>
      <c r="GRW34" s="678"/>
      <c r="GRX34" s="678"/>
      <c r="GRY34" s="678"/>
      <c r="GRZ34" s="678"/>
      <c r="GSA34" s="678"/>
      <c r="GSB34" s="678"/>
      <c r="GSC34" s="678"/>
      <c r="GSD34" s="678"/>
      <c r="GSE34" s="678"/>
      <c r="GSF34" s="678"/>
      <c r="GSG34" s="678"/>
      <c r="GSH34" s="678"/>
      <c r="GSI34" s="678"/>
      <c r="GSJ34" s="678"/>
      <c r="GSK34" s="678"/>
      <c r="GSL34" s="678"/>
      <c r="GSM34" s="678"/>
      <c r="GSN34" s="678"/>
      <c r="GSO34" s="678"/>
      <c r="GSP34" s="678"/>
      <c r="GSQ34" s="678"/>
      <c r="GSR34" s="678"/>
      <c r="GSS34" s="678"/>
      <c r="GST34" s="678"/>
      <c r="GSU34" s="678"/>
      <c r="GSV34" s="678"/>
      <c r="GSW34" s="678"/>
      <c r="GSX34" s="678"/>
      <c r="GSY34" s="678"/>
      <c r="GSZ34" s="678"/>
      <c r="GTA34" s="678"/>
      <c r="GTB34" s="678"/>
      <c r="GTC34" s="678"/>
      <c r="GTD34" s="678"/>
      <c r="GTE34" s="678"/>
      <c r="GTF34" s="678"/>
      <c r="GTG34" s="678"/>
      <c r="GTH34" s="678"/>
      <c r="GTI34" s="678"/>
      <c r="GTJ34" s="678"/>
      <c r="GTK34" s="678"/>
      <c r="GTL34" s="678"/>
      <c r="GTM34" s="678"/>
      <c r="GTN34" s="678"/>
      <c r="GTO34" s="678"/>
      <c r="GTP34" s="678"/>
      <c r="GTQ34" s="678"/>
      <c r="GTR34" s="678"/>
      <c r="GTS34" s="678"/>
      <c r="GTT34" s="678"/>
      <c r="GTU34" s="678"/>
      <c r="GTV34" s="678"/>
      <c r="GTW34" s="678"/>
      <c r="GTX34" s="678"/>
      <c r="GTY34" s="678"/>
      <c r="GTZ34" s="678"/>
      <c r="GUA34" s="678"/>
      <c r="GUB34" s="678"/>
      <c r="GUC34" s="678"/>
      <c r="GUD34" s="678"/>
      <c r="GUE34" s="678"/>
      <c r="GUF34" s="678"/>
      <c r="GUG34" s="678"/>
      <c r="GUH34" s="678"/>
      <c r="GUI34" s="678"/>
      <c r="GUJ34" s="678"/>
      <c r="GUK34" s="678"/>
      <c r="GUL34" s="678"/>
      <c r="GUM34" s="678"/>
      <c r="GUN34" s="678"/>
      <c r="GUO34" s="678"/>
      <c r="GUP34" s="678"/>
      <c r="GUQ34" s="678"/>
      <c r="GUR34" s="678"/>
      <c r="GUS34" s="678"/>
      <c r="GUT34" s="678"/>
      <c r="GUU34" s="678"/>
      <c r="GUV34" s="678"/>
      <c r="GUW34" s="678"/>
      <c r="GUX34" s="678"/>
      <c r="GUY34" s="678"/>
      <c r="GUZ34" s="678"/>
      <c r="GVA34" s="678"/>
      <c r="GVB34" s="678"/>
      <c r="GVC34" s="678"/>
      <c r="GVD34" s="678"/>
      <c r="GVE34" s="678"/>
      <c r="GVF34" s="678"/>
      <c r="GVG34" s="678"/>
      <c r="GVH34" s="678"/>
      <c r="GVI34" s="678"/>
      <c r="GVJ34" s="678"/>
      <c r="GVK34" s="678"/>
      <c r="GVL34" s="678"/>
      <c r="GVM34" s="678"/>
      <c r="GVN34" s="678"/>
      <c r="GVO34" s="678"/>
      <c r="GVP34" s="678"/>
      <c r="GVQ34" s="678"/>
      <c r="GVR34" s="678"/>
      <c r="GVS34" s="678"/>
      <c r="GVT34" s="678"/>
      <c r="GVU34" s="678"/>
      <c r="GVV34" s="678"/>
      <c r="GVW34" s="678"/>
      <c r="GVX34" s="678"/>
      <c r="GVY34" s="678"/>
      <c r="GVZ34" s="678"/>
      <c r="GWA34" s="678"/>
      <c r="GWB34" s="678"/>
      <c r="GWC34" s="678"/>
      <c r="GWD34" s="678"/>
      <c r="GWE34" s="678"/>
      <c r="GWF34" s="678"/>
      <c r="GWG34" s="678"/>
      <c r="GWH34" s="678"/>
      <c r="GWI34" s="678"/>
      <c r="GWJ34" s="678"/>
      <c r="GWK34" s="678"/>
      <c r="GWL34" s="678"/>
      <c r="GWM34" s="678"/>
      <c r="GWN34" s="678"/>
      <c r="GWO34" s="678"/>
      <c r="GWP34" s="678"/>
      <c r="GWQ34" s="678"/>
      <c r="GWR34" s="678"/>
      <c r="GWS34" s="678"/>
      <c r="GWT34" s="678"/>
      <c r="GWU34" s="678"/>
      <c r="GWV34" s="678"/>
      <c r="GWW34" s="678"/>
      <c r="GWX34" s="678"/>
      <c r="GWY34" s="678"/>
      <c r="GWZ34" s="678"/>
      <c r="GXA34" s="678"/>
      <c r="GXB34" s="678"/>
      <c r="GXC34" s="678"/>
      <c r="GXD34" s="678"/>
      <c r="GXE34" s="678"/>
      <c r="GXF34" s="678"/>
      <c r="GXG34" s="678"/>
      <c r="GXH34" s="678"/>
      <c r="GXI34" s="678"/>
      <c r="GXJ34" s="678"/>
      <c r="GXK34" s="678"/>
      <c r="GXL34" s="678"/>
      <c r="GXM34" s="678"/>
      <c r="GXN34" s="678"/>
      <c r="GXO34" s="678"/>
      <c r="GXP34" s="678"/>
      <c r="GXQ34" s="678"/>
      <c r="GXR34" s="678"/>
      <c r="GXS34" s="678"/>
      <c r="GXT34" s="678"/>
      <c r="GXU34" s="678"/>
      <c r="GXV34" s="678"/>
      <c r="GXW34" s="678"/>
      <c r="GXX34" s="678"/>
      <c r="GXY34" s="678"/>
      <c r="GXZ34" s="678"/>
      <c r="GYA34" s="678"/>
      <c r="GYB34" s="678"/>
      <c r="GYC34" s="678"/>
      <c r="GYD34" s="678"/>
      <c r="GYE34" s="678"/>
      <c r="GYF34" s="678"/>
      <c r="GYG34" s="678"/>
      <c r="GYH34" s="678"/>
      <c r="GYI34" s="678"/>
      <c r="GYJ34" s="678"/>
      <c r="GYK34" s="678"/>
      <c r="GYL34" s="678"/>
      <c r="GYM34" s="678"/>
      <c r="GYN34" s="678"/>
      <c r="GYO34" s="678"/>
      <c r="GYP34" s="678"/>
      <c r="GYQ34" s="678"/>
      <c r="GYR34" s="678"/>
      <c r="GYS34" s="678"/>
      <c r="GYT34" s="678"/>
      <c r="GYU34" s="678"/>
      <c r="GYV34" s="678"/>
      <c r="GYW34" s="678"/>
      <c r="GYX34" s="678"/>
      <c r="GYY34" s="678"/>
      <c r="GYZ34" s="678"/>
      <c r="GZA34" s="678"/>
      <c r="GZB34" s="678"/>
      <c r="GZC34" s="678"/>
      <c r="GZD34" s="678"/>
      <c r="GZE34" s="678"/>
      <c r="GZF34" s="678"/>
      <c r="GZG34" s="678"/>
      <c r="GZH34" s="678"/>
      <c r="GZI34" s="678"/>
      <c r="GZJ34" s="678"/>
      <c r="GZK34" s="678"/>
      <c r="GZL34" s="678"/>
      <c r="GZM34" s="678"/>
      <c r="GZN34" s="678"/>
      <c r="GZO34" s="678"/>
      <c r="GZP34" s="678"/>
      <c r="GZQ34" s="678"/>
      <c r="GZR34" s="678"/>
      <c r="GZS34" s="678"/>
      <c r="GZT34" s="678"/>
      <c r="GZU34" s="678"/>
      <c r="GZV34" s="678"/>
      <c r="GZW34" s="678"/>
      <c r="GZX34" s="678"/>
      <c r="GZY34" s="678"/>
      <c r="GZZ34" s="678"/>
      <c r="HAA34" s="678"/>
      <c r="HAB34" s="678"/>
      <c r="HAC34" s="678"/>
      <c r="HAD34" s="678"/>
      <c r="HAE34" s="678"/>
      <c r="HAF34" s="678"/>
      <c r="HAG34" s="678"/>
      <c r="HAH34" s="678"/>
      <c r="HAI34" s="678"/>
      <c r="HAJ34" s="678"/>
      <c r="HAK34" s="678"/>
      <c r="HAL34" s="678"/>
      <c r="HAM34" s="678"/>
      <c r="HAN34" s="678"/>
      <c r="HAO34" s="678"/>
      <c r="HAP34" s="678"/>
      <c r="HAQ34" s="678"/>
      <c r="HAR34" s="678"/>
      <c r="HAS34" s="678"/>
      <c r="HAT34" s="678"/>
      <c r="HAU34" s="678"/>
      <c r="HAV34" s="678"/>
      <c r="HAW34" s="678"/>
      <c r="HAX34" s="678"/>
      <c r="HAY34" s="678"/>
      <c r="HAZ34" s="678"/>
      <c r="HBA34" s="678"/>
      <c r="HBB34" s="678"/>
      <c r="HBC34" s="678"/>
      <c r="HBD34" s="678"/>
      <c r="HBE34" s="678"/>
      <c r="HBF34" s="678"/>
      <c r="HBG34" s="678"/>
      <c r="HBH34" s="678"/>
      <c r="HBI34" s="678"/>
      <c r="HBJ34" s="678"/>
      <c r="HBK34" s="678"/>
      <c r="HBL34" s="678"/>
      <c r="HBM34" s="678"/>
      <c r="HBN34" s="678"/>
      <c r="HBO34" s="678"/>
      <c r="HBP34" s="678"/>
      <c r="HBQ34" s="678"/>
      <c r="HBR34" s="678"/>
      <c r="HBS34" s="678"/>
      <c r="HBT34" s="678"/>
      <c r="HBU34" s="678"/>
      <c r="HBV34" s="678"/>
      <c r="HBW34" s="678"/>
      <c r="HBX34" s="678"/>
      <c r="HBY34" s="678"/>
      <c r="HBZ34" s="678"/>
      <c r="HCA34" s="678"/>
      <c r="HCB34" s="678"/>
      <c r="HCC34" s="678"/>
      <c r="HCD34" s="678"/>
      <c r="HCE34" s="678"/>
      <c r="HCF34" s="678"/>
      <c r="HCG34" s="678"/>
      <c r="HCH34" s="678"/>
      <c r="HCI34" s="678"/>
      <c r="HCJ34" s="678"/>
      <c r="HCK34" s="678"/>
      <c r="HCL34" s="678"/>
      <c r="HCM34" s="678"/>
      <c r="HCN34" s="678"/>
      <c r="HCO34" s="678"/>
      <c r="HCP34" s="678"/>
      <c r="HCQ34" s="678"/>
      <c r="HCR34" s="678"/>
      <c r="HCS34" s="678"/>
      <c r="HCT34" s="678"/>
      <c r="HCU34" s="678"/>
      <c r="HCV34" s="678"/>
      <c r="HCW34" s="678"/>
      <c r="HCX34" s="678"/>
      <c r="HCY34" s="678"/>
      <c r="HCZ34" s="678"/>
      <c r="HDA34" s="678"/>
      <c r="HDB34" s="678"/>
      <c r="HDC34" s="678"/>
      <c r="HDD34" s="678"/>
      <c r="HDE34" s="678"/>
      <c r="HDF34" s="678"/>
      <c r="HDG34" s="678"/>
      <c r="HDH34" s="678"/>
      <c r="HDI34" s="678"/>
      <c r="HDJ34" s="678"/>
      <c r="HDK34" s="678"/>
      <c r="HDL34" s="678"/>
      <c r="HDM34" s="678"/>
      <c r="HDN34" s="678"/>
      <c r="HDO34" s="678"/>
      <c r="HDP34" s="678"/>
      <c r="HDQ34" s="678"/>
      <c r="HDR34" s="678"/>
      <c r="HDS34" s="678"/>
      <c r="HDT34" s="678"/>
      <c r="HDU34" s="678"/>
      <c r="HDV34" s="678"/>
      <c r="HDW34" s="678"/>
      <c r="HDX34" s="678"/>
      <c r="HDY34" s="678"/>
      <c r="HDZ34" s="678"/>
      <c r="HEA34" s="678"/>
      <c r="HEB34" s="678"/>
      <c r="HEC34" s="678"/>
      <c r="HED34" s="678"/>
      <c r="HEE34" s="678"/>
      <c r="HEF34" s="678"/>
      <c r="HEG34" s="678"/>
      <c r="HEH34" s="678"/>
      <c r="HEI34" s="678"/>
      <c r="HEJ34" s="678"/>
      <c r="HEK34" s="678"/>
      <c r="HEL34" s="678"/>
      <c r="HEM34" s="678"/>
      <c r="HEN34" s="678"/>
      <c r="HEO34" s="678"/>
      <c r="HEP34" s="678"/>
      <c r="HEQ34" s="678"/>
      <c r="HER34" s="678"/>
      <c r="HES34" s="678"/>
      <c r="HET34" s="678"/>
      <c r="HEU34" s="678"/>
      <c r="HEV34" s="678"/>
      <c r="HEW34" s="678"/>
      <c r="HEX34" s="678"/>
      <c r="HEY34" s="678"/>
      <c r="HEZ34" s="678"/>
      <c r="HFA34" s="678"/>
      <c r="HFB34" s="678"/>
      <c r="HFC34" s="678"/>
      <c r="HFD34" s="678"/>
      <c r="HFE34" s="678"/>
      <c r="HFF34" s="678"/>
      <c r="HFG34" s="678"/>
      <c r="HFH34" s="678"/>
      <c r="HFI34" s="678"/>
      <c r="HFJ34" s="678"/>
      <c r="HFK34" s="678"/>
      <c r="HFL34" s="678"/>
      <c r="HFM34" s="678"/>
      <c r="HFN34" s="678"/>
      <c r="HFO34" s="678"/>
      <c r="HFP34" s="678"/>
      <c r="HFQ34" s="678"/>
      <c r="HFR34" s="678"/>
      <c r="HFS34" s="678"/>
      <c r="HFT34" s="678"/>
      <c r="HFU34" s="678"/>
      <c r="HFV34" s="678"/>
      <c r="HFW34" s="678"/>
      <c r="HFX34" s="678"/>
      <c r="HFY34" s="678"/>
      <c r="HFZ34" s="678"/>
      <c r="HGA34" s="678"/>
      <c r="HGB34" s="678"/>
      <c r="HGC34" s="678"/>
      <c r="HGD34" s="678"/>
      <c r="HGE34" s="678"/>
      <c r="HGF34" s="678"/>
      <c r="HGG34" s="678"/>
      <c r="HGH34" s="678"/>
      <c r="HGI34" s="678"/>
      <c r="HGJ34" s="678"/>
      <c r="HGK34" s="678"/>
      <c r="HGL34" s="678"/>
      <c r="HGM34" s="678"/>
      <c r="HGN34" s="678"/>
      <c r="HGO34" s="678"/>
      <c r="HGP34" s="678"/>
      <c r="HGQ34" s="678"/>
      <c r="HGR34" s="678"/>
      <c r="HGS34" s="678"/>
      <c r="HGT34" s="678"/>
      <c r="HGU34" s="678"/>
      <c r="HGV34" s="678"/>
      <c r="HGW34" s="678"/>
      <c r="HGX34" s="678"/>
      <c r="HGY34" s="678"/>
      <c r="HGZ34" s="678"/>
      <c r="HHA34" s="678"/>
      <c r="HHB34" s="678"/>
      <c r="HHC34" s="678"/>
      <c r="HHD34" s="678"/>
      <c r="HHE34" s="678"/>
      <c r="HHF34" s="678"/>
      <c r="HHG34" s="678"/>
      <c r="HHH34" s="678"/>
      <c r="HHI34" s="678"/>
      <c r="HHJ34" s="678"/>
      <c r="HHK34" s="678"/>
      <c r="HHL34" s="678"/>
      <c r="HHM34" s="678"/>
      <c r="HHN34" s="678"/>
      <c r="HHO34" s="678"/>
      <c r="HHP34" s="678"/>
      <c r="HHQ34" s="678"/>
      <c r="HHR34" s="678"/>
      <c r="HHS34" s="678"/>
      <c r="HHT34" s="678"/>
      <c r="HHU34" s="678"/>
      <c r="HHV34" s="678"/>
      <c r="HHW34" s="678"/>
      <c r="HHX34" s="678"/>
      <c r="HHY34" s="678"/>
      <c r="HHZ34" s="678"/>
      <c r="HIA34" s="678"/>
      <c r="HIB34" s="678"/>
      <c r="HIC34" s="678"/>
      <c r="HID34" s="678"/>
      <c r="HIE34" s="678"/>
      <c r="HIF34" s="678"/>
      <c r="HIG34" s="678"/>
      <c r="HIH34" s="678"/>
      <c r="HII34" s="678"/>
      <c r="HIJ34" s="678"/>
      <c r="HIK34" s="678"/>
      <c r="HIL34" s="678"/>
      <c r="HIM34" s="678"/>
      <c r="HIN34" s="678"/>
      <c r="HIO34" s="678"/>
      <c r="HIP34" s="678"/>
      <c r="HIQ34" s="678"/>
      <c r="HIR34" s="678"/>
      <c r="HIS34" s="678"/>
      <c r="HIT34" s="678"/>
      <c r="HIU34" s="678"/>
      <c r="HIV34" s="678"/>
      <c r="HIW34" s="678"/>
      <c r="HIX34" s="678"/>
      <c r="HIY34" s="678"/>
      <c r="HIZ34" s="678"/>
      <c r="HJA34" s="678"/>
      <c r="HJB34" s="678"/>
      <c r="HJC34" s="678"/>
      <c r="HJD34" s="678"/>
      <c r="HJE34" s="678"/>
      <c r="HJF34" s="678"/>
      <c r="HJG34" s="678"/>
      <c r="HJH34" s="678"/>
      <c r="HJI34" s="678"/>
      <c r="HJJ34" s="678"/>
      <c r="HJK34" s="678"/>
      <c r="HJL34" s="678"/>
      <c r="HJM34" s="678"/>
      <c r="HJN34" s="678"/>
      <c r="HJO34" s="678"/>
      <c r="HJP34" s="678"/>
      <c r="HJQ34" s="678"/>
      <c r="HJR34" s="678"/>
      <c r="HJS34" s="678"/>
      <c r="HJT34" s="678"/>
      <c r="HJU34" s="678"/>
      <c r="HJV34" s="678"/>
      <c r="HJW34" s="678"/>
      <c r="HJX34" s="678"/>
      <c r="HJY34" s="678"/>
      <c r="HJZ34" s="678"/>
      <c r="HKA34" s="678"/>
      <c r="HKB34" s="678"/>
      <c r="HKC34" s="678"/>
      <c r="HKD34" s="678"/>
      <c r="HKE34" s="678"/>
      <c r="HKF34" s="678"/>
      <c r="HKG34" s="678"/>
      <c r="HKH34" s="678"/>
      <c r="HKI34" s="678"/>
      <c r="HKJ34" s="678"/>
      <c r="HKK34" s="678"/>
      <c r="HKL34" s="678"/>
      <c r="HKM34" s="678"/>
      <c r="HKN34" s="678"/>
      <c r="HKO34" s="678"/>
      <c r="HKP34" s="678"/>
      <c r="HKQ34" s="678"/>
      <c r="HKR34" s="678"/>
      <c r="HKS34" s="678"/>
      <c r="HKT34" s="678"/>
      <c r="HKU34" s="678"/>
      <c r="HKV34" s="678"/>
      <c r="HKW34" s="678"/>
      <c r="HKX34" s="678"/>
      <c r="HKY34" s="678"/>
      <c r="HKZ34" s="678"/>
      <c r="HLA34" s="678"/>
      <c r="HLB34" s="678"/>
      <c r="HLC34" s="678"/>
      <c r="HLD34" s="678"/>
      <c r="HLE34" s="678"/>
      <c r="HLF34" s="678"/>
      <c r="HLG34" s="678"/>
      <c r="HLH34" s="678"/>
      <c r="HLI34" s="678"/>
      <c r="HLJ34" s="678"/>
      <c r="HLK34" s="678"/>
      <c r="HLL34" s="678"/>
      <c r="HLM34" s="678"/>
      <c r="HLN34" s="678"/>
      <c r="HLO34" s="678"/>
      <c r="HLP34" s="678"/>
      <c r="HLQ34" s="678"/>
      <c r="HLR34" s="678"/>
      <c r="HLS34" s="678"/>
      <c r="HLT34" s="678"/>
      <c r="HLU34" s="678"/>
      <c r="HLV34" s="678"/>
      <c r="HLW34" s="678"/>
      <c r="HLX34" s="678"/>
      <c r="HLY34" s="678"/>
      <c r="HLZ34" s="678"/>
      <c r="HMA34" s="678"/>
      <c r="HMB34" s="678"/>
      <c r="HMC34" s="678"/>
      <c r="HMD34" s="678"/>
      <c r="HME34" s="678"/>
      <c r="HMF34" s="678"/>
      <c r="HMG34" s="678"/>
      <c r="HMH34" s="678"/>
      <c r="HMI34" s="678"/>
      <c r="HMJ34" s="678"/>
      <c r="HMK34" s="678"/>
      <c r="HML34" s="678"/>
      <c r="HMM34" s="678"/>
      <c r="HMN34" s="678"/>
      <c r="HMO34" s="678"/>
      <c r="HMP34" s="678"/>
      <c r="HMQ34" s="678"/>
      <c r="HMR34" s="678"/>
      <c r="HMS34" s="678"/>
      <c r="HMT34" s="678"/>
      <c r="HMU34" s="678"/>
      <c r="HMV34" s="678"/>
      <c r="HMW34" s="678"/>
      <c r="HMX34" s="678"/>
      <c r="HMY34" s="678"/>
      <c r="HMZ34" s="678"/>
      <c r="HNA34" s="678"/>
      <c r="HNB34" s="678"/>
      <c r="HNC34" s="678"/>
      <c r="HND34" s="678"/>
      <c r="HNE34" s="678"/>
      <c r="HNF34" s="678"/>
      <c r="HNG34" s="678"/>
      <c r="HNH34" s="678"/>
      <c r="HNI34" s="678"/>
      <c r="HNJ34" s="678"/>
      <c r="HNK34" s="678"/>
      <c r="HNL34" s="678"/>
      <c r="HNM34" s="678"/>
      <c r="HNN34" s="678"/>
      <c r="HNO34" s="678"/>
      <c r="HNP34" s="678"/>
      <c r="HNQ34" s="678"/>
      <c r="HNR34" s="678"/>
      <c r="HNS34" s="678"/>
      <c r="HNT34" s="678"/>
      <c r="HNU34" s="678"/>
      <c r="HNV34" s="678"/>
      <c r="HNW34" s="678"/>
      <c r="HNX34" s="678"/>
      <c r="HNY34" s="678"/>
      <c r="HNZ34" s="678"/>
      <c r="HOA34" s="678"/>
      <c r="HOB34" s="678"/>
      <c r="HOC34" s="678"/>
      <c r="HOD34" s="678"/>
      <c r="HOE34" s="678"/>
      <c r="HOF34" s="678"/>
      <c r="HOG34" s="678"/>
      <c r="HOH34" s="678"/>
      <c r="HOI34" s="678"/>
      <c r="HOJ34" s="678"/>
      <c r="HOK34" s="678"/>
      <c r="HOL34" s="678"/>
      <c r="HOM34" s="678"/>
      <c r="HON34" s="678"/>
      <c r="HOO34" s="678"/>
      <c r="HOP34" s="678"/>
      <c r="HOQ34" s="678"/>
      <c r="HOR34" s="678"/>
      <c r="HOS34" s="678"/>
      <c r="HOT34" s="678"/>
      <c r="HOU34" s="678"/>
      <c r="HOV34" s="678"/>
      <c r="HOW34" s="678"/>
      <c r="HOX34" s="678"/>
      <c r="HOY34" s="678"/>
      <c r="HOZ34" s="678"/>
      <c r="HPA34" s="678"/>
      <c r="HPB34" s="678"/>
      <c r="HPC34" s="678"/>
      <c r="HPD34" s="678"/>
      <c r="HPE34" s="678"/>
      <c r="HPF34" s="678"/>
      <c r="HPG34" s="678"/>
      <c r="HPH34" s="678"/>
      <c r="HPI34" s="678"/>
      <c r="HPJ34" s="678"/>
      <c r="HPK34" s="678"/>
      <c r="HPL34" s="678"/>
      <c r="HPM34" s="678"/>
      <c r="HPN34" s="678"/>
      <c r="HPO34" s="678"/>
      <c r="HPP34" s="678"/>
      <c r="HPQ34" s="678"/>
      <c r="HPR34" s="678"/>
      <c r="HPS34" s="678"/>
      <c r="HPT34" s="678"/>
      <c r="HPU34" s="678"/>
      <c r="HPV34" s="678"/>
      <c r="HPW34" s="678"/>
      <c r="HPX34" s="678"/>
      <c r="HPY34" s="678"/>
      <c r="HPZ34" s="678"/>
      <c r="HQA34" s="678"/>
      <c r="HQB34" s="678"/>
      <c r="HQC34" s="678"/>
      <c r="HQD34" s="678"/>
      <c r="HQE34" s="678"/>
      <c r="HQF34" s="678"/>
      <c r="HQG34" s="678"/>
      <c r="HQH34" s="678"/>
      <c r="HQI34" s="678"/>
      <c r="HQJ34" s="678"/>
      <c r="HQK34" s="678"/>
      <c r="HQL34" s="678"/>
      <c r="HQM34" s="678"/>
      <c r="HQN34" s="678"/>
      <c r="HQO34" s="678"/>
      <c r="HQP34" s="678"/>
      <c r="HQQ34" s="678"/>
      <c r="HQR34" s="678"/>
      <c r="HQS34" s="678"/>
      <c r="HQT34" s="678"/>
      <c r="HQU34" s="678"/>
      <c r="HQV34" s="678"/>
      <c r="HQW34" s="678"/>
      <c r="HQX34" s="678"/>
      <c r="HQY34" s="678"/>
      <c r="HQZ34" s="678"/>
      <c r="HRA34" s="678"/>
      <c r="HRB34" s="678"/>
      <c r="HRC34" s="678"/>
      <c r="HRD34" s="678"/>
      <c r="HRE34" s="678"/>
      <c r="HRF34" s="678"/>
      <c r="HRG34" s="678"/>
      <c r="HRH34" s="678"/>
      <c r="HRI34" s="678"/>
      <c r="HRJ34" s="678"/>
      <c r="HRK34" s="678"/>
      <c r="HRL34" s="678"/>
      <c r="HRM34" s="678"/>
      <c r="HRN34" s="678"/>
      <c r="HRO34" s="678"/>
      <c r="HRP34" s="678"/>
      <c r="HRQ34" s="678"/>
      <c r="HRR34" s="678"/>
      <c r="HRS34" s="678"/>
      <c r="HRT34" s="678"/>
      <c r="HRU34" s="678"/>
      <c r="HRV34" s="678"/>
      <c r="HRW34" s="678"/>
      <c r="HRX34" s="678"/>
      <c r="HRY34" s="678"/>
      <c r="HRZ34" s="678"/>
      <c r="HSA34" s="678"/>
      <c r="HSB34" s="678"/>
      <c r="HSC34" s="678"/>
      <c r="HSD34" s="678"/>
      <c r="HSE34" s="678"/>
      <c r="HSF34" s="678"/>
      <c r="HSG34" s="678"/>
      <c r="HSH34" s="678"/>
      <c r="HSI34" s="678"/>
      <c r="HSJ34" s="678"/>
      <c r="HSK34" s="678"/>
      <c r="HSL34" s="678"/>
      <c r="HSM34" s="678"/>
      <c r="HSN34" s="678"/>
      <c r="HSO34" s="678"/>
      <c r="HSP34" s="678"/>
      <c r="HSQ34" s="678"/>
      <c r="HSR34" s="678"/>
      <c r="HSS34" s="678"/>
      <c r="HST34" s="678"/>
      <c r="HSU34" s="678"/>
      <c r="HSV34" s="678"/>
      <c r="HSW34" s="678"/>
      <c r="HSX34" s="678"/>
      <c r="HSY34" s="678"/>
      <c r="HSZ34" s="678"/>
      <c r="HTA34" s="678"/>
      <c r="HTB34" s="678"/>
      <c r="HTC34" s="678"/>
      <c r="HTD34" s="678"/>
      <c r="HTE34" s="678"/>
      <c r="HTF34" s="678"/>
      <c r="HTG34" s="678"/>
      <c r="HTH34" s="678"/>
      <c r="HTI34" s="678"/>
      <c r="HTJ34" s="678"/>
      <c r="HTK34" s="678"/>
      <c r="HTL34" s="678"/>
      <c r="HTM34" s="678"/>
      <c r="HTN34" s="678"/>
      <c r="HTO34" s="678"/>
      <c r="HTP34" s="678"/>
      <c r="HTQ34" s="678"/>
      <c r="HTR34" s="678"/>
      <c r="HTS34" s="678"/>
      <c r="HTT34" s="678"/>
      <c r="HTU34" s="678"/>
      <c r="HTV34" s="678"/>
      <c r="HTW34" s="678"/>
      <c r="HTX34" s="678"/>
      <c r="HTY34" s="678"/>
      <c r="HTZ34" s="678"/>
      <c r="HUA34" s="678"/>
      <c r="HUB34" s="678"/>
      <c r="HUC34" s="678"/>
      <c r="HUD34" s="678"/>
      <c r="HUE34" s="678"/>
      <c r="HUF34" s="678"/>
      <c r="HUG34" s="678"/>
      <c r="HUH34" s="678"/>
      <c r="HUI34" s="678"/>
      <c r="HUJ34" s="678"/>
      <c r="HUK34" s="678"/>
      <c r="HUL34" s="678"/>
      <c r="HUM34" s="678"/>
      <c r="HUN34" s="678"/>
      <c r="HUO34" s="678"/>
      <c r="HUP34" s="678"/>
      <c r="HUQ34" s="678"/>
      <c r="HUR34" s="678"/>
      <c r="HUS34" s="678"/>
      <c r="HUT34" s="678"/>
      <c r="HUU34" s="678"/>
      <c r="HUV34" s="678"/>
      <c r="HUW34" s="678"/>
      <c r="HUX34" s="678"/>
      <c r="HUY34" s="678"/>
      <c r="HUZ34" s="678"/>
      <c r="HVA34" s="678"/>
      <c r="HVB34" s="678"/>
      <c r="HVC34" s="678"/>
      <c r="HVD34" s="678"/>
      <c r="HVE34" s="678"/>
      <c r="HVF34" s="678"/>
      <c r="HVG34" s="678"/>
      <c r="HVH34" s="678"/>
      <c r="HVI34" s="678"/>
      <c r="HVJ34" s="678"/>
      <c r="HVK34" s="678"/>
      <c r="HVL34" s="678"/>
      <c r="HVM34" s="678"/>
      <c r="HVN34" s="678"/>
      <c r="HVO34" s="678"/>
      <c r="HVP34" s="678"/>
      <c r="HVQ34" s="678"/>
      <c r="HVR34" s="678"/>
      <c r="HVS34" s="678"/>
      <c r="HVT34" s="678"/>
      <c r="HVU34" s="678"/>
      <c r="HVV34" s="678"/>
      <c r="HVW34" s="678"/>
      <c r="HVX34" s="678"/>
      <c r="HVY34" s="678"/>
      <c r="HVZ34" s="678"/>
      <c r="HWA34" s="678"/>
      <c r="HWB34" s="678"/>
      <c r="HWC34" s="678"/>
      <c r="HWD34" s="678"/>
      <c r="HWE34" s="678"/>
      <c r="HWF34" s="678"/>
      <c r="HWG34" s="678"/>
      <c r="HWH34" s="678"/>
      <c r="HWI34" s="678"/>
      <c r="HWJ34" s="678"/>
      <c r="HWK34" s="678"/>
      <c r="HWL34" s="678"/>
      <c r="HWM34" s="678"/>
      <c r="HWN34" s="678"/>
      <c r="HWO34" s="678"/>
      <c r="HWP34" s="678"/>
      <c r="HWQ34" s="678"/>
      <c r="HWR34" s="678"/>
      <c r="HWS34" s="678"/>
      <c r="HWT34" s="678"/>
      <c r="HWU34" s="678"/>
      <c r="HWV34" s="678"/>
      <c r="HWW34" s="678"/>
      <c r="HWX34" s="678"/>
      <c r="HWY34" s="678"/>
      <c r="HWZ34" s="678"/>
      <c r="HXA34" s="678"/>
      <c r="HXB34" s="678"/>
      <c r="HXC34" s="678"/>
      <c r="HXD34" s="678"/>
      <c r="HXE34" s="678"/>
      <c r="HXF34" s="678"/>
      <c r="HXG34" s="678"/>
      <c r="HXH34" s="678"/>
      <c r="HXI34" s="678"/>
      <c r="HXJ34" s="678"/>
      <c r="HXK34" s="678"/>
      <c r="HXL34" s="678"/>
      <c r="HXM34" s="678"/>
      <c r="HXN34" s="678"/>
      <c r="HXO34" s="678"/>
      <c r="HXP34" s="678"/>
      <c r="HXQ34" s="678"/>
      <c r="HXR34" s="678"/>
      <c r="HXS34" s="678"/>
      <c r="HXT34" s="678"/>
      <c r="HXU34" s="678"/>
      <c r="HXV34" s="678"/>
      <c r="HXW34" s="678"/>
      <c r="HXX34" s="678"/>
      <c r="HXY34" s="678"/>
      <c r="HXZ34" s="678"/>
      <c r="HYA34" s="678"/>
      <c r="HYB34" s="678"/>
      <c r="HYC34" s="678"/>
      <c r="HYD34" s="678"/>
      <c r="HYE34" s="678"/>
      <c r="HYF34" s="678"/>
      <c r="HYG34" s="678"/>
      <c r="HYH34" s="678"/>
      <c r="HYI34" s="678"/>
      <c r="HYJ34" s="678"/>
      <c r="HYK34" s="678"/>
      <c r="HYL34" s="678"/>
      <c r="HYM34" s="678"/>
      <c r="HYN34" s="678"/>
      <c r="HYO34" s="678"/>
      <c r="HYP34" s="678"/>
      <c r="HYQ34" s="678"/>
      <c r="HYR34" s="678"/>
      <c r="HYS34" s="678"/>
      <c r="HYT34" s="678"/>
      <c r="HYU34" s="678"/>
      <c r="HYV34" s="678"/>
      <c r="HYW34" s="678"/>
      <c r="HYX34" s="678"/>
      <c r="HYY34" s="678"/>
      <c r="HYZ34" s="678"/>
      <c r="HZA34" s="678"/>
      <c r="HZB34" s="678"/>
      <c r="HZC34" s="678"/>
      <c r="HZD34" s="678"/>
      <c r="HZE34" s="678"/>
      <c r="HZF34" s="678"/>
      <c r="HZG34" s="678"/>
      <c r="HZH34" s="678"/>
      <c r="HZI34" s="678"/>
      <c r="HZJ34" s="678"/>
      <c r="HZK34" s="678"/>
      <c r="HZL34" s="678"/>
      <c r="HZM34" s="678"/>
      <c r="HZN34" s="678"/>
      <c r="HZO34" s="678"/>
      <c r="HZP34" s="678"/>
      <c r="HZQ34" s="678"/>
      <c r="HZR34" s="678"/>
      <c r="HZS34" s="678"/>
      <c r="HZT34" s="678"/>
      <c r="HZU34" s="678"/>
      <c r="HZV34" s="678"/>
      <c r="HZW34" s="678"/>
      <c r="HZX34" s="678"/>
      <c r="HZY34" s="678"/>
      <c r="HZZ34" s="678"/>
      <c r="IAA34" s="678"/>
      <c r="IAB34" s="678"/>
      <c r="IAC34" s="678"/>
      <c r="IAD34" s="678"/>
      <c r="IAE34" s="678"/>
      <c r="IAF34" s="678"/>
      <c r="IAG34" s="678"/>
      <c r="IAH34" s="678"/>
      <c r="IAI34" s="678"/>
      <c r="IAJ34" s="678"/>
      <c r="IAK34" s="678"/>
      <c r="IAL34" s="678"/>
      <c r="IAM34" s="678"/>
      <c r="IAN34" s="678"/>
      <c r="IAO34" s="678"/>
      <c r="IAP34" s="678"/>
      <c r="IAQ34" s="678"/>
      <c r="IAR34" s="678"/>
      <c r="IAS34" s="678"/>
      <c r="IAT34" s="678"/>
      <c r="IAU34" s="678"/>
      <c r="IAV34" s="678"/>
      <c r="IAW34" s="678"/>
      <c r="IAX34" s="678"/>
      <c r="IAY34" s="678"/>
      <c r="IAZ34" s="678"/>
      <c r="IBA34" s="678"/>
      <c r="IBB34" s="678"/>
      <c r="IBC34" s="678"/>
      <c r="IBD34" s="678"/>
      <c r="IBE34" s="678"/>
      <c r="IBF34" s="678"/>
      <c r="IBG34" s="678"/>
      <c r="IBH34" s="678"/>
      <c r="IBI34" s="678"/>
      <c r="IBJ34" s="678"/>
      <c r="IBK34" s="678"/>
      <c r="IBL34" s="678"/>
      <c r="IBM34" s="678"/>
      <c r="IBN34" s="678"/>
      <c r="IBO34" s="678"/>
      <c r="IBP34" s="678"/>
      <c r="IBQ34" s="678"/>
      <c r="IBR34" s="678"/>
      <c r="IBS34" s="678"/>
      <c r="IBT34" s="678"/>
      <c r="IBU34" s="678"/>
      <c r="IBV34" s="678"/>
      <c r="IBW34" s="678"/>
      <c r="IBX34" s="678"/>
      <c r="IBY34" s="678"/>
      <c r="IBZ34" s="678"/>
      <c r="ICA34" s="678"/>
      <c r="ICB34" s="678"/>
      <c r="ICC34" s="678"/>
      <c r="ICD34" s="678"/>
      <c r="ICE34" s="678"/>
      <c r="ICF34" s="678"/>
      <c r="ICG34" s="678"/>
      <c r="ICH34" s="678"/>
      <c r="ICI34" s="678"/>
      <c r="ICJ34" s="678"/>
      <c r="ICK34" s="678"/>
      <c r="ICL34" s="678"/>
      <c r="ICM34" s="678"/>
      <c r="ICN34" s="678"/>
      <c r="ICO34" s="678"/>
      <c r="ICP34" s="678"/>
      <c r="ICQ34" s="678"/>
      <c r="ICR34" s="678"/>
      <c r="ICS34" s="678"/>
      <c r="ICT34" s="678"/>
      <c r="ICU34" s="678"/>
      <c r="ICV34" s="678"/>
      <c r="ICW34" s="678"/>
      <c r="ICX34" s="678"/>
      <c r="ICY34" s="678"/>
      <c r="ICZ34" s="678"/>
      <c r="IDA34" s="678"/>
      <c r="IDB34" s="678"/>
      <c r="IDC34" s="678"/>
      <c r="IDD34" s="678"/>
      <c r="IDE34" s="678"/>
      <c r="IDF34" s="678"/>
      <c r="IDG34" s="678"/>
      <c r="IDH34" s="678"/>
      <c r="IDI34" s="678"/>
      <c r="IDJ34" s="678"/>
      <c r="IDK34" s="678"/>
      <c r="IDL34" s="678"/>
      <c r="IDM34" s="678"/>
      <c r="IDN34" s="678"/>
      <c r="IDO34" s="678"/>
      <c r="IDP34" s="678"/>
      <c r="IDQ34" s="678"/>
      <c r="IDR34" s="678"/>
      <c r="IDS34" s="678"/>
      <c r="IDT34" s="678"/>
      <c r="IDU34" s="678"/>
      <c r="IDV34" s="678"/>
      <c r="IDW34" s="678"/>
      <c r="IDX34" s="678"/>
      <c r="IDY34" s="678"/>
      <c r="IDZ34" s="678"/>
      <c r="IEA34" s="678"/>
      <c r="IEB34" s="678"/>
      <c r="IEC34" s="678"/>
      <c r="IED34" s="678"/>
      <c r="IEE34" s="678"/>
      <c r="IEF34" s="678"/>
      <c r="IEG34" s="678"/>
      <c r="IEH34" s="678"/>
      <c r="IEI34" s="678"/>
      <c r="IEJ34" s="678"/>
      <c r="IEK34" s="678"/>
      <c r="IEL34" s="678"/>
      <c r="IEM34" s="678"/>
      <c r="IEN34" s="678"/>
      <c r="IEO34" s="678"/>
      <c r="IEP34" s="678"/>
      <c r="IEQ34" s="678"/>
      <c r="IER34" s="678"/>
      <c r="IES34" s="678"/>
      <c r="IET34" s="678"/>
      <c r="IEU34" s="678"/>
      <c r="IEV34" s="678"/>
      <c r="IEW34" s="678"/>
      <c r="IEX34" s="678"/>
      <c r="IEY34" s="678"/>
      <c r="IEZ34" s="678"/>
      <c r="IFA34" s="678"/>
      <c r="IFB34" s="678"/>
      <c r="IFC34" s="678"/>
      <c r="IFD34" s="678"/>
      <c r="IFE34" s="678"/>
      <c r="IFF34" s="678"/>
      <c r="IFG34" s="678"/>
      <c r="IFH34" s="678"/>
      <c r="IFI34" s="678"/>
      <c r="IFJ34" s="678"/>
      <c r="IFK34" s="678"/>
      <c r="IFL34" s="678"/>
      <c r="IFM34" s="678"/>
      <c r="IFN34" s="678"/>
      <c r="IFO34" s="678"/>
      <c r="IFP34" s="678"/>
      <c r="IFQ34" s="678"/>
      <c r="IFR34" s="678"/>
      <c r="IFS34" s="678"/>
      <c r="IFT34" s="678"/>
      <c r="IFU34" s="678"/>
      <c r="IFV34" s="678"/>
      <c r="IFW34" s="678"/>
      <c r="IFX34" s="678"/>
      <c r="IFY34" s="678"/>
      <c r="IFZ34" s="678"/>
      <c r="IGA34" s="678"/>
      <c r="IGB34" s="678"/>
      <c r="IGC34" s="678"/>
      <c r="IGD34" s="678"/>
      <c r="IGE34" s="678"/>
      <c r="IGF34" s="678"/>
      <c r="IGG34" s="678"/>
      <c r="IGH34" s="678"/>
      <c r="IGI34" s="678"/>
      <c r="IGJ34" s="678"/>
      <c r="IGK34" s="678"/>
      <c r="IGL34" s="678"/>
      <c r="IGM34" s="678"/>
      <c r="IGN34" s="678"/>
      <c r="IGO34" s="678"/>
      <c r="IGP34" s="678"/>
      <c r="IGQ34" s="678"/>
      <c r="IGR34" s="678"/>
      <c r="IGS34" s="678"/>
      <c r="IGT34" s="678"/>
      <c r="IGU34" s="678"/>
      <c r="IGV34" s="678"/>
      <c r="IGW34" s="678"/>
      <c r="IGX34" s="678"/>
      <c r="IGY34" s="678"/>
      <c r="IGZ34" s="678"/>
      <c r="IHA34" s="678"/>
      <c r="IHB34" s="678"/>
      <c r="IHC34" s="678"/>
      <c r="IHD34" s="678"/>
      <c r="IHE34" s="678"/>
      <c r="IHF34" s="678"/>
      <c r="IHG34" s="678"/>
      <c r="IHH34" s="678"/>
      <c r="IHI34" s="678"/>
      <c r="IHJ34" s="678"/>
      <c r="IHK34" s="678"/>
      <c r="IHL34" s="678"/>
      <c r="IHM34" s="678"/>
      <c r="IHN34" s="678"/>
      <c r="IHO34" s="678"/>
      <c r="IHP34" s="678"/>
      <c r="IHQ34" s="678"/>
      <c r="IHR34" s="678"/>
      <c r="IHS34" s="678"/>
      <c r="IHT34" s="678"/>
      <c r="IHU34" s="678"/>
      <c r="IHV34" s="678"/>
      <c r="IHW34" s="678"/>
      <c r="IHX34" s="678"/>
      <c r="IHY34" s="678"/>
      <c r="IHZ34" s="678"/>
      <c r="IIA34" s="678"/>
      <c r="IIB34" s="678"/>
      <c r="IIC34" s="678"/>
      <c r="IID34" s="678"/>
      <c r="IIE34" s="678"/>
      <c r="IIF34" s="678"/>
      <c r="IIG34" s="678"/>
      <c r="IIH34" s="678"/>
      <c r="III34" s="678"/>
      <c r="IIJ34" s="678"/>
      <c r="IIK34" s="678"/>
      <c r="IIL34" s="678"/>
      <c r="IIM34" s="678"/>
      <c r="IIN34" s="678"/>
      <c r="IIO34" s="678"/>
      <c r="IIP34" s="678"/>
      <c r="IIQ34" s="678"/>
      <c r="IIR34" s="678"/>
      <c r="IIS34" s="678"/>
      <c r="IIT34" s="678"/>
      <c r="IIU34" s="678"/>
      <c r="IIV34" s="678"/>
      <c r="IIW34" s="678"/>
      <c r="IIX34" s="678"/>
      <c r="IIY34" s="678"/>
      <c r="IIZ34" s="678"/>
      <c r="IJA34" s="678"/>
      <c r="IJB34" s="678"/>
      <c r="IJC34" s="678"/>
      <c r="IJD34" s="678"/>
      <c r="IJE34" s="678"/>
      <c r="IJF34" s="678"/>
      <c r="IJG34" s="678"/>
      <c r="IJH34" s="678"/>
      <c r="IJI34" s="678"/>
      <c r="IJJ34" s="678"/>
      <c r="IJK34" s="678"/>
      <c r="IJL34" s="678"/>
      <c r="IJM34" s="678"/>
      <c r="IJN34" s="678"/>
      <c r="IJO34" s="678"/>
      <c r="IJP34" s="678"/>
      <c r="IJQ34" s="678"/>
      <c r="IJR34" s="678"/>
      <c r="IJS34" s="678"/>
      <c r="IJT34" s="678"/>
      <c r="IJU34" s="678"/>
      <c r="IJV34" s="678"/>
      <c r="IJW34" s="678"/>
      <c r="IJX34" s="678"/>
      <c r="IJY34" s="678"/>
      <c r="IJZ34" s="678"/>
      <c r="IKA34" s="678"/>
      <c r="IKB34" s="678"/>
      <c r="IKC34" s="678"/>
      <c r="IKD34" s="678"/>
      <c r="IKE34" s="678"/>
      <c r="IKF34" s="678"/>
      <c r="IKG34" s="678"/>
      <c r="IKH34" s="678"/>
      <c r="IKI34" s="678"/>
      <c r="IKJ34" s="678"/>
      <c r="IKK34" s="678"/>
      <c r="IKL34" s="678"/>
      <c r="IKM34" s="678"/>
      <c r="IKN34" s="678"/>
      <c r="IKO34" s="678"/>
      <c r="IKP34" s="678"/>
      <c r="IKQ34" s="678"/>
      <c r="IKR34" s="678"/>
      <c r="IKS34" s="678"/>
      <c r="IKT34" s="678"/>
      <c r="IKU34" s="678"/>
      <c r="IKV34" s="678"/>
      <c r="IKW34" s="678"/>
      <c r="IKX34" s="678"/>
      <c r="IKY34" s="678"/>
      <c r="IKZ34" s="678"/>
      <c r="ILA34" s="678"/>
      <c r="ILB34" s="678"/>
      <c r="ILC34" s="678"/>
      <c r="ILD34" s="678"/>
      <c r="ILE34" s="678"/>
      <c r="ILF34" s="678"/>
      <c r="ILG34" s="678"/>
      <c r="ILH34" s="678"/>
      <c r="ILI34" s="678"/>
      <c r="ILJ34" s="678"/>
      <c r="ILK34" s="678"/>
      <c r="ILL34" s="678"/>
      <c r="ILM34" s="678"/>
      <c r="ILN34" s="678"/>
      <c r="ILO34" s="678"/>
      <c r="ILP34" s="678"/>
      <c r="ILQ34" s="678"/>
      <c r="ILR34" s="678"/>
      <c r="ILS34" s="678"/>
      <c r="ILT34" s="678"/>
      <c r="ILU34" s="678"/>
      <c r="ILV34" s="678"/>
      <c r="ILW34" s="678"/>
      <c r="ILX34" s="678"/>
      <c r="ILY34" s="678"/>
      <c r="ILZ34" s="678"/>
      <c r="IMA34" s="678"/>
      <c r="IMB34" s="678"/>
      <c r="IMC34" s="678"/>
      <c r="IMD34" s="678"/>
      <c r="IME34" s="678"/>
      <c r="IMF34" s="678"/>
      <c r="IMG34" s="678"/>
      <c r="IMH34" s="678"/>
      <c r="IMI34" s="678"/>
      <c r="IMJ34" s="678"/>
      <c r="IMK34" s="678"/>
      <c r="IML34" s="678"/>
      <c r="IMM34" s="678"/>
      <c r="IMN34" s="678"/>
      <c r="IMO34" s="678"/>
      <c r="IMP34" s="678"/>
      <c r="IMQ34" s="678"/>
      <c r="IMR34" s="678"/>
      <c r="IMS34" s="678"/>
      <c r="IMT34" s="678"/>
      <c r="IMU34" s="678"/>
      <c r="IMV34" s="678"/>
      <c r="IMW34" s="678"/>
      <c r="IMX34" s="678"/>
      <c r="IMY34" s="678"/>
      <c r="IMZ34" s="678"/>
      <c r="INA34" s="678"/>
      <c r="INB34" s="678"/>
      <c r="INC34" s="678"/>
      <c r="IND34" s="678"/>
      <c r="INE34" s="678"/>
      <c r="INF34" s="678"/>
      <c r="ING34" s="678"/>
      <c r="INH34" s="678"/>
      <c r="INI34" s="678"/>
      <c r="INJ34" s="678"/>
      <c r="INK34" s="678"/>
      <c r="INL34" s="678"/>
      <c r="INM34" s="678"/>
      <c r="INN34" s="678"/>
      <c r="INO34" s="678"/>
      <c r="INP34" s="678"/>
      <c r="INQ34" s="678"/>
      <c r="INR34" s="678"/>
      <c r="INS34" s="678"/>
      <c r="INT34" s="678"/>
      <c r="INU34" s="678"/>
      <c r="INV34" s="678"/>
      <c r="INW34" s="678"/>
      <c r="INX34" s="678"/>
      <c r="INY34" s="678"/>
      <c r="INZ34" s="678"/>
      <c r="IOA34" s="678"/>
      <c r="IOB34" s="678"/>
      <c r="IOC34" s="678"/>
      <c r="IOD34" s="678"/>
      <c r="IOE34" s="678"/>
      <c r="IOF34" s="678"/>
      <c r="IOG34" s="678"/>
      <c r="IOH34" s="678"/>
      <c r="IOI34" s="678"/>
      <c r="IOJ34" s="678"/>
      <c r="IOK34" s="678"/>
      <c r="IOL34" s="678"/>
      <c r="IOM34" s="678"/>
      <c r="ION34" s="678"/>
      <c r="IOO34" s="678"/>
      <c r="IOP34" s="678"/>
      <c r="IOQ34" s="678"/>
      <c r="IOR34" s="678"/>
      <c r="IOS34" s="678"/>
      <c r="IOT34" s="678"/>
      <c r="IOU34" s="678"/>
      <c r="IOV34" s="678"/>
      <c r="IOW34" s="678"/>
      <c r="IOX34" s="678"/>
      <c r="IOY34" s="678"/>
      <c r="IOZ34" s="678"/>
      <c r="IPA34" s="678"/>
      <c r="IPB34" s="678"/>
      <c r="IPC34" s="678"/>
      <c r="IPD34" s="678"/>
      <c r="IPE34" s="678"/>
      <c r="IPF34" s="678"/>
      <c r="IPG34" s="678"/>
      <c r="IPH34" s="678"/>
      <c r="IPI34" s="678"/>
      <c r="IPJ34" s="678"/>
      <c r="IPK34" s="678"/>
      <c r="IPL34" s="678"/>
      <c r="IPM34" s="678"/>
      <c r="IPN34" s="678"/>
      <c r="IPO34" s="678"/>
      <c r="IPP34" s="678"/>
      <c r="IPQ34" s="678"/>
      <c r="IPR34" s="678"/>
      <c r="IPS34" s="678"/>
      <c r="IPT34" s="678"/>
      <c r="IPU34" s="678"/>
      <c r="IPV34" s="678"/>
      <c r="IPW34" s="678"/>
      <c r="IPX34" s="678"/>
      <c r="IPY34" s="678"/>
      <c r="IPZ34" s="678"/>
      <c r="IQA34" s="678"/>
      <c r="IQB34" s="678"/>
      <c r="IQC34" s="678"/>
      <c r="IQD34" s="678"/>
      <c r="IQE34" s="678"/>
      <c r="IQF34" s="678"/>
      <c r="IQG34" s="678"/>
      <c r="IQH34" s="678"/>
      <c r="IQI34" s="678"/>
      <c r="IQJ34" s="678"/>
      <c r="IQK34" s="678"/>
      <c r="IQL34" s="678"/>
      <c r="IQM34" s="678"/>
      <c r="IQN34" s="678"/>
      <c r="IQO34" s="678"/>
      <c r="IQP34" s="678"/>
      <c r="IQQ34" s="678"/>
      <c r="IQR34" s="678"/>
      <c r="IQS34" s="678"/>
      <c r="IQT34" s="678"/>
      <c r="IQU34" s="678"/>
      <c r="IQV34" s="678"/>
      <c r="IQW34" s="678"/>
      <c r="IQX34" s="678"/>
      <c r="IQY34" s="678"/>
      <c r="IQZ34" s="678"/>
      <c r="IRA34" s="678"/>
      <c r="IRB34" s="678"/>
      <c r="IRC34" s="678"/>
      <c r="IRD34" s="678"/>
      <c r="IRE34" s="678"/>
      <c r="IRF34" s="678"/>
      <c r="IRG34" s="678"/>
      <c r="IRH34" s="678"/>
      <c r="IRI34" s="678"/>
      <c r="IRJ34" s="678"/>
      <c r="IRK34" s="678"/>
      <c r="IRL34" s="678"/>
      <c r="IRM34" s="678"/>
      <c r="IRN34" s="678"/>
      <c r="IRO34" s="678"/>
      <c r="IRP34" s="678"/>
      <c r="IRQ34" s="678"/>
      <c r="IRR34" s="678"/>
      <c r="IRS34" s="678"/>
      <c r="IRT34" s="678"/>
      <c r="IRU34" s="678"/>
      <c r="IRV34" s="678"/>
      <c r="IRW34" s="678"/>
      <c r="IRX34" s="678"/>
      <c r="IRY34" s="678"/>
      <c r="IRZ34" s="678"/>
      <c r="ISA34" s="678"/>
      <c r="ISB34" s="678"/>
      <c r="ISC34" s="678"/>
      <c r="ISD34" s="678"/>
      <c r="ISE34" s="678"/>
      <c r="ISF34" s="678"/>
      <c r="ISG34" s="678"/>
      <c r="ISH34" s="678"/>
      <c r="ISI34" s="678"/>
      <c r="ISJ34" s="678"/>
      <c r="ISK34" s="678"/>
      <c r="ISL34" s="678"/>
      <c r="ISM34" s="678"/>
      <c r="ISN34" s="678"/>
      <c r="ISO34" s="678"/>
      <c r="ISP34" s="678"/>
      <c r="ISQ34" s="678"/>
      <c r="ISR34" s="678"/>
      <c r="ISS34" s="678"/>
      <c r="IST34" s="678"/>
      <c r="ISU34" s="678"/>
      <c r="ISV34" s="678"/>
      <c r="ISW34" s="678"/>
      <c r="ISX34" s="678"/>
      <c r="ISY34" s="678"/>
      <c r="ISZ34" s="678"/>
      <c r="ITA34" s="678"/>
      <c r="ITB34" s="678"/>
      <c r="ITC34" s="678"/>
      <c r="ITD34" s="678"/>
      <c r="ITE34" s="678"/>
      <c r="ITF34" s="678"/>
      <c r="ITG34" s="678"/>
      <c r="ITH34" s="678"/>
      <c r="ITI34" s="678"/>
      <c r="ITJ34" s="678"/>
      <c r="ITK34" s="678"/>
      <c r="ITL34" s="678"/>
      <c r="ITM34" s="678"/>
      <c r="ITN34" s="678"/>
      <c r="ITO34" s="678"/>
      <c r="ITP34" s="678"/>
      <c r="ITQ34" s="678"/>
      <c r="ITR34" s="678"/>
      <c r="ITS34" s="678"/>
      <c r="ITT34" s="678"/>
      <c r="ITU34" s="678"/>
      <c r="ITV34" s="678"/>
      <c r="ITW34" s="678"/>
      <c r="ITX34" s="678"/>
      <c r="ITY34" s="678"/>
      <c r="ITZ34" s="678"/>
      <c r="IUA34" s="678"/>
      <c r="IUB34" s="678"/>
      <c r="IUC34" s="678"/>
      <c r="IUD34" s="678"/>
      <c r="IUE34" s="678"/>
      <c r="IUF34" s="678"/>
      <c r="IUG34" s="678"/>
      <c r="IUH34" s="678"/>
      <c r="IUI34" s="678"/>
      <c r="IUJ34" s="678"/>
      <c r="IUK34" s="678"/>
      <c r="IUL34" s="678"/>
      <c r="IUM34" s="678"/>
      <c r="IUN34" s="678"/>
      <c r="IUO34" s="678"/>
      <c r="IUP34" s="678"/>
      <c r="IUQ34" s="678"/>
      <c r="IUR34" s="678"/>
      <c r="IUS34" s="678"/>
      <c r="IUT34" s="678"/>
      <c r="IUU34" s="678"/>
      <c r="IUV34" s="678"/>
      <c r="IUW34" s="678"/>
      <c r="IUX34" s="678"/>
      <c r="IUY34" s="678"/>
      <c r="IUZ34" s="678"/>
      <c r="IVA34" s="678"/>
      <c r="IVB34" s="678"/>
      <c r="IVC34" s="678"/>
      <c r="IVD34" s="678"/>
      <c r="IVE34" s="678"/>
      <c r="IVF34" s="678"/>
      <c r="IVG34" s="678"/>
      <c r="IVH34" s="678"/>
      <c r="IVI34" s="678"/>
      <c r="IVJ34" s="678"/>
      <c r="IVK34" s="678"/>
      <c r="IVL34" s="678"/>
      <c r="IVM34" s="678"/>
      <c r="IVN34" s="678"/>
      <c r="IVO34" s="678"/>
      <c r="IVP34" s="678"/>
      <c r="IVQ34" s="678"/>
      <c r="IVR34" s="678"/>
      <c r="IVS34" s="678"/>
      <c r="IVT34" s="678"/>
      <c r="IVU34" s="678"/>
      <c r="IVV34" s="678"/>
      <c r="IVW34" s="678"/>
      <c r="IVX34" s="678"/>
      <c r="IVY34" s="678"/>
      <c r="IVZ34" s="678"/>
      <c r="IWA34" s="678"/>
      <c r="IWB34" s="678"/>
      <c r="IWC34" s="678"/>
      <c r="IWD34" s="678"/>
      <c r="IWE34" s="678"/>
      <c r="IWF34" s="678"/>
      <c r="IWG34" s="678"/>
      <c r="IWH34" s="678"/>
      <c r="IWI34" s="678"/>
      <c r="IWJ34" s="678"/>
      <c r="IWK34" s="678"/>
      <c r="IWL34" s="678"/>
      <c r="IWM34" s="678"/>
      <c r="IWN34" s="678"/>
      <c r="IWO34" s="678"/>
      <c r="IWP34" s="678"/>
      <c r="IWQ34" s="678"/>
      <c r="IWR34" s="678"/>
      <c r="IWS34" s="678"/>
      <c r="IWT34" s="678"/>
      <c r="IWU34" s="678"/>
      <c r="IWV34" s="678"/>
      <c r="IWW34" s="678"/>
      <c r="IWX34" s="678"/>
      <c r="IWY34" s="678"/>
      <c r="IWZ34" s="678"/>
      <c r="IXA34" s="678"/>
      <c r="IXB34" s="678"/>
      <c r="IXC34" s="678"/>
      <c r="IXD34" s="678"/>
      <c r="IXE34" s="678"/>
      <c r="IXF34" s="678"/>
      <c r="IXG34" s="678"/>
      <c r="IXH34" s="678"/>
      <c r="IXI34" s="678"/>
      <c r="IXJ34" s="678"/>
      <c r="IXK34" s="678"/>
      <c r="IXL34" s="678"/>
      <c r="IXM34" s="678"/>
      <c r="IXN34" s="678"/>
      <c r="IXO34" s="678"/>
      <c r="IXP34" s="678"/>
      <c r="IXQ34" s="678"/>
      <c r="IXR34" s="678"/>
      <c r="IXS34" s="678"/>
      <c r="IXT34" s="678"/>
      <c r="IXU34" s="678"/>
      <c r="IXV34" s="678"/>
      <c r="IXW34" s="678"/>
      <c r="IXX34" s="678"/>
      <c r="IXY34" s="678"/>
      <c r="IXZ34" s="678"/>
      <c r="IYA34" s="678"/>
      <c r="IYB34" s="678"/>
      <c r="IYC34" s="678"/>
      <c r="IYD34" s="678"/>
      <c r="IYE34" s="678"/>
      <c r="IYF34" s="678"/>
      <c r="IYG34" s="678"/>
      <c r="IYH34" s="678"/>
      <c r="IYI34" s="678"/>
      <c r="IYJ34" s="678"/>
      <c r="IYK34" s="678"/>
      <c r="IYL34" s="678"/>
      <c r="IYM34" s="678"/>
      <c r="IYN34" s="678"/>
      <c r="IYO34" s="678"/>
      <c r="IYP34" s="678"/>
      <c r="IYQ34" s="678"/>
      <c r="IYR34" s="678"/>
      <c r="IYS34" s="678"/>
      <c r="IYT34" s="678"/>
      <c r="IYU34" s="678"/>
      <c r="IYV34" s="678"/>
      <c r="IYW34" s="678"/>
      <c r="IYX34" s="678"/>
      <c r="IYY34" s="678"/>
      <c r="IYZ34" s="678"/>
      <c r="IZA34" s="678"/>
      <c r="IZB34" s="678"/>
      <c r="IZC34" s="678"/>
      <c r="IZD34" s="678"/>
      <c r="IZE34" s="678"/>
      <c r="IZF34" s="678"/>
      <c r="IZG34" s="678"/>
      <c r="IZH34" s="678"/>
      <c r="IZI34" s="678"/>
      <c r="IZJ34" s="678"/>
      <c r="IZK34" s="678"/>
      <c r="IZL34" s="678"/>
      <c r="IZM34" s="678"/>
      <c r="IZN34" s="678"/>
      <c r="IZO34" s="678"/>
      <c r="IZP34" s="678"/>
      <c r="IZQ34" s="678"/>
      <c r="IZR34" s="678"/>
      <c r="IZS34" s="678"/>
      <c r="IZT34" s="678"/>
      <c r="IZU34" s="678"/>
      <c r="IZV34" s="678"/>
      <c r="IZW34" s="678"/>
      <c r="IZX34" s="678"/>
      <c r="IZY34" s="678"/>
      <c r="IZZ34" s="678"/>
      <c r="JAA34" s="678"/>
      <c r="JAB34" s="678"/>
      <c r="JAC34" s="678"/>
      <c r="JAD34" s="678"/>
      <c r="JAE34" s="678"/>
      <c r="JAF34" s="678"/>
      <c r="JAG34" s="678"/>
      <c r="JAH34" s="678"/>
      <c r="JAI34" s="678"/>
      <c r="JAJ34" s="678"/>
      <c r="JAK34" s="678"/>
      <c r="JAL34" s="678"/>
      <c r="JAM34" s="678"/>
      <c r="JAN34" s="678"/>
      <c r="JAO34" s="678"/>
      <c r="JAP34" s="678"/>
      <c r="JAQ34" s="678"/>
      <c r="JAR34" s="678"/>
      <c r="JAS34" s="678"/>
      <c r="JAT34" s="678"/>
      <c r="JAU34" s="678"/>
      <c r="JAV34" s="678"/>
      <c r="JAW34" s="678"/>
      <c r="JAX34" s="678"/>
      <c r="JAY34" s="678"/>
      <c r="JAZ34" s="678"/>
      <c r="JBA34" s="678"/>
      <c r="JBB34" s="678"/>
      <c r="JBC34" s="678"/>
      <c r="JBD34" s="678"/>
      <c r="JBE34" s="678"/>
      <c r="JBF34" s="678"/>
      <c r="JBG34" s="678"/>
      <c r="JBH34" s="678"/>
      <c r="JBI34" s="678"/>
      <c r="JBJ34" s="678"/>
      <c r="JBK34" s="678"/>
      <c r="JBL34" s="678"/>
      <c r="JBM34" s="678"/>
      <c r="JBN34" s="678"/>
      <c r="JBO34" s="678"/>
      <c r="JBP34" s="678"/>
      <c r="JBQ34" s="678"/>
      <c r="JBR34" s="678"/>
      <c r="JBS34" s="678"/>
      <c r="JBT34" s="678"/>
      <c r="JBU34" s="678"/>
      <c r="JBV34" s="678"/>
      <c r="JBW34" s="678"/>
      <c r="JBX34" s="678"/>
      <c r="JBY34" s="678"/>
      <c r="JBZ34" s="678"/>
      <c r="JCA34" s="678"/>
      <c r="JCB34" s="678"/>
      <c r="JCC34" s="678"/>
      <c r="JCD34" s="678"/>
      <c r="JCE34" s="678"/>
      <c r="JCF34" s="678"/>
      <c r="JCG34" s="678"/>
      <c r="JCH34" s="678"/>
      <c r="JCI34" s="678"/>
      <c r="JCJ34" s="678"/>
      <c r="JCK34" s="678"/>
      <c r="JCL34" s="678"/>
      <c r="JCM34" s="678"/>
      <c r="JCN34" s="678"/>
      <c r="JCO34" s="678"/>
      <c r="JCP34" s="678"/>
      <c r="JCQ34" s="678"/>
      <c r="JCR34" s="678"/>
      <c r="JCS34" s="678"/>
      <c r="JCT34" s="678"/>
      <c r="JCU34" s="678"/>
      <c r="JCV34" s="678"/>
      <c r="JCW34" s="678"/>
      <c r="JCX34" s="678"/>
      <c r="JCY34" s="678"/>
      <c r="JCZ34" s="678"/>
      <c r="JDA34" s="678"/>
      <c r="JDB34" s="678"/>
      <c r="JDC34" s="678"/>
      <c r="JDD34" s="678"/>
      <c r="JDE34" s="678"/>
      <c r="JDF34" s="678"/>
      <c r="JDG34" s="678"/>
      <c r="JDH34" s="678"/>
      <c r="JDI34" s="678"/>
      <c r="JDJ34" s="678"/>
      <c r="JDK34" s="678"/>
      <c r="JDL34" s="678"/>
      <c r="JDM34" s="678"/>
      <c r="JDN34" s="678"/>
      <c r="JDO34" s="678"/>
      <c r="JDP34" s="678"/>
      <c r="JDQ34" s="678"/>
      <c r="JDR34" s="678"/>
      <c r="JDS34" s="678"/>
      <c r="JDT34" s="678"/>
      <c r="JDU34" s="678"/>
      <c r="JDV34" s="678"/>
      <c r="JDW34" s="678"/>
      <c r="JDX34" s="678"/>
      <c r="JDY34" s="678"/>
      <c r="JDZ34" s="678"/>
      <c r="JEA34" s="678"/>
      <c r="JEB34" s="678"/>
      <c r="JEC34" s="678"/>
      <c r="JED34" s="678"/>
      <c r="JEE34" s="678"/>
      <c r="JEF34" s="678"/>
      <c r="JEG34" s="678"/>
      <c r="JEH34" s="678"/>
      <c r="JEI34" s="678"/>
      <c r="JEJ34" s="678"/>
      <c r="JEK34" s="678"/>
      <c r="JEL34" s="678"/>
      <c r="JEM34" s="678"/>
      <c r="JEN34" s="678"/>
      <c r="JEO34" s="678"/>
      <c r="JEP34" s="678"/>
      <c r="JEQ34" s="678"/>
      <c r="JER34" s="678"/>
      <c r="JES34" s="678"/>
      <c r="JET34" s="678"/>
      <c r="JEU34" s="678"/>
      <c r="JEV34" s="678"/>
      <c r="JEW34" s="678"/>
      <c r="JEX34" s="678"/>
      <c r="JEY34" s="678"/>
      <c r="JEZ34" s="678"/>
      <c r="JFA34" s="678"/>
      <c r="JFB34" s="678"/>
      <c r="JFC34" s="678"/>
      <c r="JFD34" s="678"/>
      <c r="JFE34" s="678"/>
      <c r="JFF34" s="678"/>
      <c r="JFG34" s="678"/>
      <c r="JFH34" s="678"/>
      <c r="JFI34" s="678"/>
      <c r="JFJ34" s="678"/>
      <c r="JFK34" s="678"/>
      <c r="JFL34" s="678"/>
      <c r="JFM34" s="678"/>
      <c r="JFN34" s="678"/>
      <c r="JFO34" s="678"/>
      <c r="JFP34" s="678"/>
      <c r="JFQ34" s="678"/>
      <c r="JFR34" s="678"/>
      <c r="JFS34" s="678"/>
      <c r="JFT34" s="678"/>
      <c r="JFU34" s="678"/>
      <c r="JFV34" s="678"/>
      <c r="JFW34" s="678"/>
      <c r="JFX34" s="678"/>
      <c r="JFY34" s="678"/>
      <c r="JFZ34" s="678"/>
      <c r="JGA34" s="678"/>
      <c r="JGB34" s="678"/>
      <c r="JGC34" s="678"/>
      <c r="JGD34" s="678"/>
      <c r="JGE34" s="678"/>
      <c r="JGF34" s="678"/>
      <c r="JGG34" s="678"/>
      <c r="JGH34" s="678"/>
      <c r="JGI34" s="678"/>
      <c r="JGJ34" s="678"/>
      <c r="JGK34" s="678"/>
      <c r="JGL34" s="678"/>
      <c r="JGM34" s="678"/>
      <c r="JGN34" s="678"/>
      <c r="JGO34" s="678"/>
      <c r="JGP34" s="678"/>
      <c r="JGQ34" s="678"/>
      <c r="JGR34" s="678"/>
      <c r="JGS34" s="678"/>
      <c r="JGT34" s="678"/>
      <c r="JGU34" s="678"/>
      <c r="JGV34" s="678"/>
      <c r="JGW34" s="678"/>
      <c r="JGX34" s="678"/>
      <c r="JGY34" s="678"/>
      <c r="JGZ34" s="678"/>
      <c r="JHA34" s="678"/>
      <c r="JHB34" s="678"/>
      <c r="JHC34" s="678"/>
      <c r="JHD34" s="678"/>
      <c r="JHE34" s="678"/>
      <c r="JHF34" s="678"/>
      <c r="JHG34" s="678"/>
      <c r="JHH34" s="678"/>
      <c r="JHI34" s="678"/>
      <c r="JHJ34" s="678"/>
      <c r="JHK34" s="678"/>
      <c r="JHL34" s="678"/>
      <c r="JHM34" s="678"/>
      <c r="JHN34" s="678"/>
      <c r="JHO34" s="678"/>
      <c r="JHP34" s="678"/>
      <c r="JHQ34" s="678"/>
      <c r="JHR34" s="678"/>
      <c r="JHS34" s="678"/>
      <c r="JHT34" s="678"/>
      <c r="JHU34" s="678"/>
      <c r="JHV34" s="678"/>
      <c r="JHW34" s="678"/>
      <c r="JHX34" s="678"/>
      <c r="JHY34" s="678"/>
      <c r="JHZ34" s="678"/>
      <c r="JIA34" s="678"/>
      <c r="JIB34" s="678"/>
      <c r="JIC34" s="678"/>
      <c r="JID34" s="678"/>
      <c r="JIE34" s="678"/>
      <c r="JIF34" s="678"/>
      <c r="JIG34" s="678"/>
      <c r="JIH34" s="678"/>
      <c r="JII34" s="678"/>
      <c r="JIJ34" s="678"/>
      <c r="JIK34" s="678"/>
      <c r="JIL34" s="678"/>
      <c r="JIM34" s="678"/>
      <c r="JIN34" s="678"/>
      <c r="JIO34" s="678"/>
      <c r="JIP34" s="678"/>
      <c r="JIQ34" s="678"/>
      <c r="JIR34" s="678"/>
      <c r="JIS34" s="678"/>
      <c r="JIT34" s="678"/>
      <c r="JIU34" s="678"/>
      <c r="JIV34" s="678"/>
      <c r="JIW34" s="678"/>
      <c r="JIX34" s="678"/>
      <c r="JIY34" s="678"/>
      <c r="JIZ34" s="678"/>
      <c r="JJA34" s="678"/>
      <c r="JJB34" s="678"/>
      <c r="JJC34" s="678"/>
      <c r="JJD34" s="678"/>
      <c r="JJE34" s="678"/>
      <c r="JJF34" s="678"/>
      <c r="JJG34" s="678"/>
      <c r="JJH34" s="678"/>
      <c r="JJI34" s="678"/>
      <c r="JJJ34" s="678"/>
      <c r="JJK34" s="678"/>
      <c r="JJL34" s="678"/>
      <c r="JJM34" s="678"/>
      <c r="JJN34" s="678"/>
      <c r="JJO34" s="678"/>
      <c r="JJP34" s="678"/>
      <c r="JJQ34" s="678"/>
      <c r="JJR34" s="678"/>
      <c r="JJS34" s="678"/>
      <c r="JJT34" s="678"/>
      <c r="JJU34" s="678"/>
      <c r="JJV34" s="678"/>
      <c r="JJW34" s="678"/>
      <c r="JJX34" s="678"/>
      <c r="JJY34" s="678"/>
      <c r="JJZ34" s="678"/>
      <c r="JKA34" s="678"/>
      <c r="JKB34" s="678"/>
      <c r="JKC34" s="678"/>
      <c r="JKD34" s="678"/>
      <c r="JKE34" s="678"/>
      <c r="JKF34" s="678"/>
      <c r="JKG34" s="678"/>
      <c r="JKH34" s="678"/>
      <c r="JKI34" s="678"/>
      <c r="JKJ34" s="678"/>
      <c r="JKK34" s="678"/>
      <c r="JKL34" s="678"/>
      <c r="JKM34" s="678"/>
      <c r="JKN34" s="678"/>
      <c r="JKO34" s="678"/>
      <c r="JKP34" s="678"/>
      <c r="JKQ34" s="678"/>
      <c r="JKR34" s="678"/>
      <c r="JKS34" s="678"/>
      <c r="JKT34" s="678"/>
      <c r="JKU34" s="678"/>
      <c r="JKV34" s="678"/>
      <c r="JKW34" s="678"/>
      <c r="JKX34" s="678"/>
      <c r="JKY34" s="678"/>
      <c r="JKZ34" s="678"/>
      <c r="JLA34" s="678"/>
      <c r="JLB34" s="678"/>
      <c r="JLC34" s="678"/>
      <c r="JLD34" s="678"/>
      <c r="JLE34" s="678"/>
      <c r="JLF34" s="678"/>
      <c r="JLG34" s="678"/>
      <c r="JLH34" s="678"/>
      <c r="JLI34" s="678"/>
      <c r="JLJ34" s="678"/>
      <c r="JLK34" s="678"/>
      <c r="JLL34" s="678"/>
      <c r="JLM34" s="678"/>
      <c r="JLN34" s="678"/>
      <c r="JLO34" s="678"/>
      <c r="JLP34" s="678"/>
      <c r="JLQ34" s="678"/>
      <c r="JLR34" s="678"/>
      <c r="JLS34" s="678"/>
      <c r="JLT34" s="678"/>
      <c r="JLU34" s="678"/>
      <c r="JLV34" s="678"/>
      <c r="JLW34" s="678"/>
      <c r="JLX34" s="678"/>
      <c r="JLY34" s="678"/>
      <c r="JLZ34" s="678"/>
      <c r="JMA34" s="678"/>
      <c r="JMB34" s="678"/>
      <c r="JMC34" s="678"/>
      <c r="JMD34" s="678"/>
      <c r="JME34" s="678"/>
      <c r="JMF34" s="678"/>
      <c r="JMG34" s="678"/>
      <c r="JMH34" s="678"/>
      <c r="JMI34" s="678"/>
      <c r="JMJ34" s="678"/>
      <c r="JMK34" s="678"/>
      <c r="JML34" s="678"/>
      <c r="JMM34" s="678"/>
      <c r="JMN34" s="678"/>
      <c r="JMO34" s="678"/>
      <c r="JMP34" s="678"/>
      <c r="JMQ34" s="678"/>
      <c r="JMR34" s="678"/>
      <c r="JMS34" s="678"/>
      <c r="JMT34" s="678"/>
      <c r="JMU34" s="678"/>
      <c r="JMV34" s="678"/>
      <c r="JMW34" s="678"/>
      <c r="JMX34" s="678"/>
      <c r="JMY34" s="678"/>
      <c r="JMZ34" s="678"/>
      <c r="JNA34" s="678"/>
      <c r="JNB34" s="678"/>
      <c r="JNC34" s="678"/>
      <c r="JND34" s="678"/>
      <c r="JNE34" s="678"/>
      <c r="JNF34" s="678"/>
      <c r="JNG34" s="678"/>
      <c r="JNH34" s="678"/>
      <c r="JNI34" s="678"/>
      <c r="JNJ34" s="678"/>
      <c r="JNK34" s="678"/>
      <c r="JNL34" s="678"/>
      <c r="JNM34" s="678"/>
      <c r="JNN34" s="678"/>
      <c r="JNO34" s="678"/>
      <c r="JNP34" s="678"/>
      <c r="JNQ34" s="678"/>
      <c r="JNR34" s="678"/>
      <c r="JNS34" s="678"/>
      <c r="JNT34" s="678"/>
      <c r="JNU34" s="678"/>
      <c r="JNV34" s="678"/>
      <c r="JNW34" s="678"/>
      <c r="JNX34" s="678"/>
      <c r="JNY34" s="678"/>
      <c r="JNZ34" s="678"/>
      <c r="JOA34" s="678"/>
      <c r="JOB34" s="678"/>
      <c r="JOC34" s="678"/>
      <c r="JOD34" s="678"/>
      <c r="JOE34" s="678"/>
      <c r="JOF34" s="678"/>
      <c r="JOG34" s="678"/>
      <c r="JOH34" s="678"/>
      <c r="JOI34" s="678"/>
      <c r="JOJ34" s="678"/>
      <c r="JOK34" s="678"/>
      <c r="JOL34" s="678"/>
      <c r="JOM34" s="678"/>
      <c r="JON34" s="678"/>
      <c r="JOO34" s="678"/>
      <c r="JOP34" s="678"/>
      <c r="JOQ34" s="678"/>
      <c r="JOR34" s="678"/>
      <c r="JOS34" s="678"/>
      <c r="JOT34" s="678"/>
      <c r="JOU34" s="678"/>
      <c r="JOV34" s="678"/>
      <c r="JOW34" s="678"/>
      <c r="JOX34" s="678"/>
      <c r="JOY34" s="678"/>
      <c r="JOZ34" s="678"/>
      <c r="JPA34" s="678"/>
      <c r="JPB34" s="678"/>
      <c r="JPC34" s="678"/>
      <c r="JPD34" s="678"/>
      <c r="JPE34" s="678"/>
      <c r="JPF34" s="678"/>
      <c r="JPG34" s="678"/>
      <c r="JPH34" s="678"/>
      <c r="JPI34" s="678"/>
      <c r="JPJ34" s="678"/>
      <c r="JPK34" s="678"/>
      <c r="JPL34" s="678"/>
      <c r="JPM34" s="678"/>
      <c r="JPN34" s="678"/>
      <c r="JPO34" s="678"/>
      <c r="JPP34" s="678"/>
      <c r="JPQ34" s="678"/>
      <c r="JPR34" s="678"/>
      <c r="JPS34" s="678"/>
      <c r="JPT34" s="678"/>
      <c r="JPU34" s="678"/>
      <c r="JPV34" s="678"/>
      <c r="JPW34" s="678"/>
      <c r="JPX34" s="678"/>
      <c r="JPY34" s="678"/>
      <c r="JPZ34" s="678"/>
      <c r="JQA34" s="678"/>
      <c r="JQB34" s="678"/>
      <c r="JQC34" s="678"/>
      <c r="JQD34" s="678"/>
      <c r="JQE34" s="678"/>
      <c r="JQF34" s="678"/>
      <c r="JQG34" s="678"/>
      <c r="JQH34" s="678"/>
      <c r="JQI34" s="678"/>
      <c r="JQJ34" s="678"/>
      <c r="JQK34" s="678"/>
      <c r="JQL34" s="678"/>
      <c r="JQM34" s="678"/>
      <c r="JQN34" s="678"/>
      <c r="JQO34" s="678"/>
      <c r="JQP34" s="678"/>
      <c r="JQQ34" s="678"/>
      <c r="JQR34" s="678"/>
      <c r="JQS34" s="678"/>
      <c r="JQT34" s="678"/>
      <c r="JQU34" s="678"/>
      <c r="JQV34" s="678"/>
      <c r="JQW34" s="678"/>
      <c r="JQX34" s="678"/>
      <c r="JQY34" s="678"/>
      <c r="JQZ34" s="678"/>
      <c r="JRA34" s="678"/>
      <c r="JRB34" s="678"/>
      <c r="JRC34" s="678"/>
      <c r="JRD34" s="678"/>
      <c r="JRE34" s="678"/>
      <c r="JRF34" s="678"/>
      <c r="JRG34" s="678"/>
      <c r="JRH34" s="678"/>
      <c r="JRI34" s="678"/>
      <c r="JRJ34" s="678"/>
      <c r="JRK34" s="678"/>
      <c r="JRL34" s="678"/>
      <c r="JRM34" s="678"/>
      <c r="JRN34" s="678"/>
      <c r="JRO34" s="678"/>
      <c r="JRP34" s="678"/>
      <c r="JRQ34" s="678"/>
      <c r="JRR34" s="678"/>
      <c r="JRS34" s="678"/>
      <c r="JRT34" s="678"/>
      <c r="JRU34" s="678"/>
      <c r="JRV34" s="678"/>
      <c r="JRW34" s="678"/>
      <c r="JRX34" s="678"/>
      <c r="JRY34" s="678"/>
      <c r="JRZ34" s="678"/>
      <c r="JSA34" s="678"/>
      <c r="JSB34" s="678"/>
      <c r="JSC34" s="678"/>
      <c r="JSD34" s="678"/>
      <c r="JSE34" s="678"/>
      <c r="JSF34" s="678"/>
      <c r="JSG34" s="678"/>
      <c r="JSH34" s="678"/>
      <c r="JSI34" s="678"/>
      <c r="JSJ34" s="678"/>
      <c r="JSK34" s="678"/>
      <c r="JSL34" s="678"/>
      <c r="JSM34" s="678"/>
      <c r="JSN34" s="678"/>
      <c r="JSO34" s="678"/>
      <c r="JSP34" s="678"/>
      <c r="JSQ34" s="678"/>
      <c r="JSR34" s="678"/>
      <c r="JSS34" s="678"/>
      <c r="JST34" s="678"/>
      <c r="JSU34" s="678"/>
      <c r="JSV34" s="678"/>
      <c r="JSW34" s="678"/>
      <c r="JSX34" s="678"/>
      <c r="JSY34" s="678"/>
      <c r="JSZ34" s="678"/>
      <c r="JTA34" s="678"/>
      <c r="JTB34" s="678"/>
      <c r="JTC34" s="678"/>
      <c r="JTD34" s="678"/>
      <c r="JTE34" s="678"/>
      <c r="JTF34" s="678"/>
      <c r="JTG34" s="678"/>
      <c r="JTH34" s="678"/>
      <c r="JTI34" s="678"/>
      <c r="JTJ34" s="678"/>
      <c r="JTK34" s="678"/>
      <c r="JTL34" s="678"/>
      <c r="JTM34" s="678"/>
      <c r="JTN34" s="678"/>
      <c r="JTO34" s="678"/>
      <c r="JTP34" s="678"/>
      <c r="JTQ34" s="678"/>
      <c r="JTR34" s="678"/>
      <c r="JTS34" s="678"/>
      <c r="JTT34" s="678"/>
      <c r="JTU34" s="678"/>
      <c r="JTV34" s="678"/>
      <c r="JTW34" s="678"/>
      <c r="JTX34" s="678"/>
      <c r="JTY34" s="678"/>
      <c r="JTZ34" s="678"/>
      <c r="JUA34" s="678"/>
      <c r="JUB34" s="678"/>
      <c r="JUC34" s="678"/>
      <c r="JUD34" s="678"/>
      <c r="JUE34" s="678"/>
      <c r="JUF34" s="678"/>
      <c r="JUG34" s="678"/>
      <c r="JUH34" s="678"/>
      <c r="JUI34" s="678"/>
      <c r="JUJ34" s="678"/>
      <c r="JUK34" s="678"/>
      <c r="JUL34" s="678"/>
      <c r="JUM34" s="678"/>
      <c r="JUN34" s="678"/>
      <c r="JUO34" s="678"/>
      <c r="JUP34" s="678"/>
      <c r="JUQ34" s="678"/>
      <c r="JUR34" s="678"/>
      <c r="JUS34" s="678"/>
      <c r="JUT34" s="678"/>
      <c r="JUU34" s="678"/>
      <c r="JUV34" s="678"/>
      <c r="JUW34" s="678"/>
      <c r="JUX34" s="678"/>
      <c r="JUY34" s="678"/>
      <c r="JUZ34" s="678"/>
      <c r="JVA34" s="678"/>
      <c r="JVB34" s="678"/>
      <c r="JVC34" s="678"/>
      <c r="JVD34" s="678"/>
      <c r="JVE34" s="678"/>
      <c r="JVF34" s="678"/>
      <c r="JVG34" s="678"/>
      <c r="JVH34" s="678"/>
      <c r="JVI34" s="678"/>
      <c r="JVJ34" s="678"/>
      <c r="JVK34" s="678"/>
      <c r="JVL34" s="678"/>
      <c r="JVM34" s="678"/>
      <c r="JVN34" s="678"/>
      <c r="JVO34" s="678"/>
      <c r="JVP34" s="678"/>
      <c r="JVQ34" s="678"/>
      <c r="JVR34" s="678"/>
      <c r="JVS34" s="678"/>
      <c r="JVT34" s="678"/>
      <c r="JVU34" s="678"/>
      <c r="JVV34" s="678"/>
      <c r="JVW34" s="678"/>
      <c r="JVX34" s="678"/>
      <c r="JVY34" s="678"/>
      <c r="JVZ34" s="678"/>
      <c r="JWA34" s="678"/>
      <c r="JWB34" s="678"/>
      <c r="JWC34" s="678"/>
      <c r="JWD34" s="678"/>
      <c r="JWE34" s="678"/>
      <c r="JWF34" s="678"/>
      <c r="JWG34" s="678"/>
      <c r="JWH34" s="678"/>
      <c r="JWI34" s="678"/>
      <c r="JWJ34" s="678"/>
      <c r="JWK34" s="678"/>
      <c r="JWL34" s="678"/>
      <c r="JWM34" s="678"/>
      <c r="JWN34" s="678"/>
      <c r="JWO34" s="678"/>
      <c r="JWP34" s="678"/>
      <c r="JWQ34" s="678"/>
      <c r="JWR34" s="678"/>
      <c r="JWS34" s="678"/>
      <c r="JWT34" s="678"/>
      <c r="JWU34" s="678"/>
      <c r="JWV34" s="678"/>
      <c r="JWW34" s="678"/>
      <c r="JWX34" s="678"/>
      <c r="JWY34" s="678"/>
      <c r="JWZ34" s="678"/>
      <c r="JXA34" s="678"/>
      <c r="JXB34" s="678"/>
      <c r="JXC34" s="678"/>
      <c r="JXD34" s="678"/>
      <c r="JXE34" s="678"/>
      <c r="JXF34" s="678"/>
      <c r="JXG34" s="678"/>
      <c r="JXH34" s="678"/>
      <c r="JXI34" s="678"/>
      <c r="JXJ34" s="678"/>
      <c r="JXK34" s="678"/>
      <c r="JXL34" s="678"/>
      <c r="JXM34" s="678"/>
      <c r="JXN34" s="678"/>
      <c r="JXO34" s="678"/>
      <c r="JXP34" s="678"/>
      <c r="JXQ34" s="678"/>
      <c r="JXR34" s="678"/>
      <c r="JXS34" s="678"/>
      <c r="JXT34" s="678"/>
      <c r="JXU34" s="678"/>
      <c r="JXV34" s="678"/>
      <c r="JXW34" s="678"/>
      <c r="JXX34" s="678"/>
      <c r="JXY34" s="678"/>
      <c r="JXZ34" s="678"/>
      <c r="JYA34" s="678"/>
      <c r="JYB34" s="678"/>
      <c r="JYC34" s="678"/>
      <c r="JYD34" s="678"/>
      <c r="JYE34" s="678"/>
      <c r="JYF34" s="678"/>
      <c r="JYG34" s="678"/>
      <c r="JYH34" s="678"/>
      <c r="JYI34" s="678"/>
      <c r="JYJ34" s="678"/>
      <c r="JYK34" s="678"/>
      <c r="JYL34" s="678"/>
      <c r="JYM34" s="678"/>
      <c r="JYN34" s="678"/>
      <c r="JYO34" s="678"/>
      <c r="JYP34" s="678"/>
      <c r="JYQ34" s="678"/>
      <c r="JYR34" s="678"/>
      <c r="JYS34" s="678"/>
      <c r="JYT34" s="678"/>
      <c r="JYU34" s="678"/>
      <c r="JYV34" s="678"/>
      <c r="JYW34" s="678"/>
      <c r="JYX34" s="678"/>
      <c r="JYY34" s="678"/>
      <c r="JYZ34" s="678"/>
      <c r="JZA34" s="678"/>
      <c r="JZB34" s="678"/>
      <c r="JZC34" s="678"/>
      <c r="JZD34" s="678"/>
      <c r="JZE34" s="678"/>
      <c r="JZF34" s="678"/>
      <c r="JZG34" s="678"/>
      <c r="JZH34" s="678"/>
      <c r="JZI34" s="678"/>
      <c r="JZJ34" s="678"/>
      <c r="JZK34" s="678"/>
      <c r="JZL34" s="678"/>
      <c r="JZM34" s="678"/>
      <c r="JZN34" s="678"/>
      <c r="JZO34" s="678"/>
      <c r="JZP34" s="678"/>
      <c r="JZQ34" s="678"/>
      <c r="JZR34" s="678"/>
      <c r="JZS34" s="678"/>
      <c r="JZT34" s="678"/>
      <c r="JZU34" s="678"/>
      <c r="JZV34" s="678"/>
      <c r="JZW34" s="678"/>
      <c r="JZX34" s="678"/>
      <c r="JZY34" s="678"/>
      <c r="JZZ34" s="678"/>
      <c r="KAA34" s="678"/>
      <c r="KAB34" s="678"/>
      <c r="KAC34" s="678"/>
      <c r="KAD34" s="678"/>
      <c r="KAE34" s="678"/>
      <c r="KAF34" s="678"/>
      <c r="KAG34" s="678"/>
      <c r="KAH34" s="678"/>
      <c r="KAI34" s="678"/>
      <c r="KAJ34" s="678"/>
      <c r="KAK34" s="678"/>
      <c r="KAL34" s="678"/>
      <c r="KAM34" s="678"/>
      <c r="KAN34" s="678"/>
      <c r="KAO34" s="678"/>
      <c r="KAP34" s="678"/>
      <c r="KAQ34" s="678"/>
      <c r="KAR34" s="678"/>
      <c r="KAS34" s="678"/>
      <c r="KAT34" s="678"/>
      <c r="KAU34" s="678"/>
      <c r="KAV34" s="678"/>
      <c r="KAW34" s="678"/>
      <c r="KAX34" s="678"/>
      <c r="KAY34" s="678"/>
      <c r="KAZ34" s="678"/>
      <c r="KBA34" s="678"/>
      <c r="KBB34" s="678"/>
      <c r="KBC34" s="678"/>
      <c r="KBD34" s="678"/>
      <c r="KBE34" s="678"/>
      <c r="KBF34" s="678"/>
      <c r="KBG34" s="678"/>
      <c r="KBH34" s="678"/>
      <c r="KBI34" s="678"/>
      <c r="KBJ34" s="678"/>
      <c r="KBK34" s="678"/>
      <c r="KBL34" s="678"/>
      <c r="KBM34" s="678"/>
      <c r="KBN34" s="678"/>
      <c r="KBO34" s="678"/>
      <c r="KBP34" s="678"/>
      <c r="KBQ34" s="678"/>
      <c r="KBR34" s="678"/>
      <c r="KBS34" s="678"/>
      <c r="KBT34" s="678"/>
      <c r="KBU34" s="678"/>
      <c r="KBV34" s="678"/>
      <c r="KBW34" s="678"/>
      <c r="KBX34" s="678"/>
      <c r="KBY34" s="678"/>
      <c r="KBZ34" s="678"/>
      <c r="KCA34" s="678"/>
      <c r="KCB34" s="678"/>
      <c r="KCC34" s="678"/>
      <c r="KCD34" s="678"/>
      <c r="KCE34" s="678"/>
      <c r="KCF34" s="678"/>
      <c r="KCG34" s="678"/>
      <c r="KCH34" s="678"/>
      <c r="KCI34" s="678"/>
      <c r="KCJ34" s="678"/>
      <c r="KCK34" s="678"/>
      <c r="KCL34" s="678"/>
      <c r="KCM34" s="678"/>
      <c r="KCN34" s="678"/>
      <c r="KCO34" s="678"/>
      <c r="KCP34" s="678"/>
      <c r="KCQ34" s="678"/>
      <c r="KCR34" s="678"/>
      <c r="KCS34" s="678"/>
      <c r="KCT34" s="678"/>
      <c r="KCU34" s="678"/>
      <c r="KCV34" s="678"/>
      <c r="KCW34" s="678"/>
      <c r="KCX34" s="678"/>
      <c r="KCY34" s="678"/>
      <c r="KCZ34" s="678"/>
      <c r="KDA34" s="678"/>
      <c r="KDB34" s="678"/>
      <c r="KDC34" s="678"/>
      <c r="KDD34" s="678"/>
      <c r="KDE34" s="678"/>
      <c r="KDF34" s="678"/>
      <c r="KDG34" s="678"/>
      <c r="KDH34" s="678"/>
      <c r="KDI34" s="678"/>
      <c r="KDJ34" s="678"/>
      <c r="KDK34" s="678"/>
      <c r="KDL34" s="678"/>
      <c r="KDM34" s="678"/>
      <c r="KDN34" s="678"/>
      <c r="KDO34" s="678"/>
      <c r="KDP34" s="678"/>
      <c r="KDQ34" s="678"/>
      <c r="KDR34" s="678"/>
      <c r="KDS34" s="678"/>
      <c r="KDT34" s="678"/>
      <c r="KDU34" s="678"/>
      <c r="KDV34" s="678"/>
      <c r="KDW34" s="678"/>
      <c r="KDX34" s="678"/>
      <c r="KDY34" s="678"/>
      <c r="KDZ34" s="678"/>
      <c r="KEA34" s="678"/>
      <c r="KEB34" s="678"/>
      <c r="KEC34" s="678"/>
      <c r="KED34" s="678"/>
      <c r="KEE34" s="678"/>
      <c r="KEF34" s="678"/>
      <c r="KEG34" s="678"/>
      <c r="KEH34" s="678"/>
      <c r="KEI34" s="678"/>
      <c r="KEJ34" s="678"/>
      <c r="KEK34" s="678"/>
      <c r="KEL34" s="678"/>
      <c r="KEM34" s="678"/>
      <c r="KEN34" s="678"/>
      <c r="KEO34" s="678"/>
      <c r="KEP34" s="678"/>
      <c r="KEQ34" s="678"/>
      <c r="KER34" s="678"/>
      <c r="KES34" s="678"/>
      <c r="KET34" s="678"/>
      <c r="KEU34" s="678"/>
      <c r="KEV34" s="678"/>
      <c r="KEW34" s="678"/>
      <c r="KEX34" s="678"/>
      <c r="KEY34" s="678"/>
      <c r="KEZ34" s="678"/>
      <c r="KFA34" s="678"/>
      <c r="KFB34" s="678"/>
      <c r="KFC34" s="678"/>
      <c r="KFD34" s="678"/>
      <c r="KFE34" s="678"/>
      <c r="KFF34" s="678"/>
      <c r="KFG34" s="678"/>
      <c r="KFH34" s="678"/>
      <c r="KFI34" s="678"/>
      <c r="KFJ34" s="678"/>
      <c r="KFK34" s="678"/>
      <c r="KFL34" s="678"/>
      <c r="KFM34" s="678"/>
      <c r="KFN34" s="678"/>
      <c r="KFO34" s="678"/>
      <c r="KFP34" s="678"/>
      <c r="KFQ34" s="678"/>
      <c r="KFR34" s="678"/>
      <c r="KFS34" s="678"/>
      <c r="KFT34" s="678"/>
      <c r="KFU34" s="678"/>
      <c r="KFV34" s="678"/>
      <c r="KFW34" s="678"/>
      <c r="KFX34" s="678"/>
      <c r="KFY34" s="678"/>
      <c r="KFZ34" s="678"/>
      <c r="KGA34" s="678"/>
      <c r="KGB34" s="678"/>
      <c r="KGC34" s="678"/>
      <c r="KGD34" s="678"/>
      <c r="KGE34" s="678"/>
      <c r="KGF34" s="678"/>
      <c r="KGG34" s="678"/>
      <c r="KGH34" s="678"/>
      <c r="KGI34" s="678"/>
      <c r="KGJ34" s="678"/>
      <c r="KGK34" s="678"/>
      <c r="KGL34" s="678"/>
      <c r="KGM34" s="678"/>
      <c r="KGN34" s="678"/>
      <c r="KGO34" s="678"/>
      <c r="KGP34" s="678"/>
      <c r="KGQ34" s="678"/>
      <c r="KGR34" s="678"/>
      <c r="KGS34" s="678"/>
      <c r="KGT34" s="678"/>
      <c r="KGU34" s="678"/>
      <c r="KGV34" s="678"/>
      <c r="KGW34" s="678"/>
      <c r="KGX34" s="678"/>
      <c r="KGY34" s="678"/>
      <c r="KGZ34" s="678"/>
      <c r="KHA34" s="678"/>
      <c r="KHB34" s="678"/>
      <c r="KHC34" s="678"/>
      <c r="KHD34" s="678"/>
      <c r="KHE34" s="678"/>
      <c r="KHF34" s="678"/>
      <c r="KHG34" s="678"/>
      <c r="KHH34" s="678"/>
      <c r="KHI34" s="678"/>
      <c r="KHJ34" s="678"/>
      <c r="KHK34" s="678"/>
      <c r="KHL34" s="678"/>
      <c r="KHM34" s="678"/>
      <c r="KHN34" s="678"/>
      <c r="KHO34" s="678"/>
      <c r="KHP34" s="678"/>
      <c r="KHQ34" s="678"/>
      <c r="KHR34" s="678"/>
      <c r="KHS34" s="678"/>
      <c r="KHT34" s="678"/>
      <c r="KHU34" s="678"/>
      <c r="KHV34" s="678"/>
      <c r="KHW34" s="678"/>
      <c r="KHX34" s="678"/>
      <c r="KHY34" s="678"/>
      <c r="KHZ34" s="678"/>
      <c r="KIA34" s="678"/>
      <c r="KIB34" s="678"/>
      <c r="KIC34" s="678"/>
      <c r="KID34" s="678"/>
      <c r="KIE34" s="678"/>
      <c r="KIF34" s="678"/>
      <c r="KIG34" s="678"/>
      <c r="KIH34" s="678"/>
      <c r="KII34" s="678"/>
      <c r="KIJ34" s="678"/>
      <c r="KIK34" s="678"/>
      <c r="KIL34" s="678"/>
      <c r="KIM34" s="678"/>
      <c r="KIN34" s="678"/>
      <c r="KIO34" s="678"/>
      <c r="KIP34" s="678"/>
      <c r="KIQ34" s="678"/>
      <c r="KIR34" s="678"/>
      <c r="KIS34" s="678"/>
      <c r="KIT34" s="678"/>
      <c r="KIU34" s="678"/>
      <c r="KIV34" s="678"/>
      <c r="KIW34" s="678"/>
      <c r="KIX34" s="678"/>
      <c r="KIY34" s="678"/>
      <c r="KIZ34" s="678"/>
      <c r="KJA34" s="678"/>
      <c r="KJB34" s="678"/>
      <c r="KJC34" s="678"/>
      <c r="KJD34" s="678"/>
      <c r="KJE34" s="678"/>
      <c r="KJF34" s="678"/>
      <c r="KJG34" s="678"/>
      <c r="KJH34" s="678"/>
      <c r="KJI34" s="678"/>
      <c r="KJJ34" s="678"/>
      <c r="KJK34" s="678"/>
      <c r="KJL34" s="678"/>
      <c r="KJM34" s="678"/>
      <c r="KJN34" s="678"/>
      <c r="KJO34" s="678"/>
      <c r="KJP34" s="678"/>
      <c r="KJQ34" s="678"/>
      <c r="KJR34" s="678"/>
      <c r="KJS34" s="678"/>
      <c r="KJT34" s="678"/>
      <c r="KJU34" s="678"/>
      <c r="KJV34" s="678"/>
      <c r="KJW34" s="678"/>
      <c r="KJX34" s="678"/>
      <c r="KJY34" s="678"/>
      <c r="KJZ34" s="678"/>
      <c r="KKA34" s="678"/>
      <c r="KKB34" s="678"/>
      <c r="KKC34" s="678"/>
      <c r="KKD34" s="678"/>
      <c r="KKE34" s="678"/>
      <c r="KKF34" s="678"/>
      <c r="KKG34" s="678"/>
      <c r="KKH34" s="678"/>
      <c r="KKI34" s="678"/>
      <c r="KKJ34" s="678"/>
      <c r="KKK34" s="678"/>
      <c r="KKL34" s="678"/>
      <c r="KKM34" s="678"/>
      <c r="KKN34" s="678"/>
      <c r="KKO34" s="678"/>
      <c r="KKP34" s="678"/>
      <c r="KKQ34" s="678"/>
      <c r="KKR34" s="678"/>
      <c r="KKS34" s="678"/>
      <c r="KKT34" s="678"/>
      <c r="KKU34" s="678"/>
      <c r="KKV34" s="678"/>
      <c r="KKW34" s="678"/>
      <c r="KKX34" s="678"/>
      <c r="KKY34" s="678"/>
      <c r="KKZ34" s="678"/>
      <c r="KLA34" s="678"/>
      <c r="KLB34" s="678"/>
      <c r="KLC34" s="678"/>
      <c r="KLD34" s="678"/>
      <c r="KLE34" s="678"/>
      <c r="KLF34" s="678"/>
      <c r="KLG34" s="678"/>
      <c r="KLH34" s="678"/>
      <c r="KLI34" s="678"/>
      <c r="KLJ34" s="678"/>
      <c r="KLK34" s="678"/>
      <c r="KLL34" s="678"/>
      <c r="KLM34" s="678"/>
      <c r="KLN34" s="678"/>
      <c r="KLO34" s="678"/>
      <c r="KLP34" s="678"/>
      <c r="KLQ34" s="678"/>
      <c r="KLR34" s="678"/>
      <c r="KLS34" s="678"/>
      <c r="KLT34" s="678"/>
      <c r="KLU34" s="678"/>
      <c r="KLV34" s="678"/>
      <c r="KLW34" s="678"/>
      <c r="KLX34" s="678"/>
      <c r="KLY34" s="678"/>
      <c r="KLZ34" s="678"/>
      <c r="KMA34" s="678"/>
      <c r="KMB34" s="678"/>
      <c r="KMC34" s="678"/>
      <c r="KMD34" s="678"/>
      <c r="KME34" s="678"/>
      <c r="KMF34" s="678"/>
      <c r="KMG34" s="678"/>
      <c r="KMH34" s="678"/>
      <c r="KMI34" s="678"/>
      <c r="KMJ34" s="678"/>
      <c r="KMK34" s="678"/>
      <c r="KML34" s="678"/>
      <c r="KMM34" s="678"/>
      <c r="KMN34" s="678"/>
      <c r="KMO34" s="678"/>
      <c r="KMP34" s="678"/>
      <c r="KMQ34" s="678"/>
      <c r="KMR34" s="678"/>
      <c r="KMS34" s="678"/>
      <c r="KMT34" s="678"/>
      <c r="KMU34" s="678"/>
      <c r="KMV34" s="678"/>
      <c r="KMW34" s="678"/>
      <c r="KMX34" s="678"/>
      <c r="KMY34" s="678"/>
      <c r="KMZ34" s="678"/>
      <c r="KNA34" s="678"/>
      <c r="KNB34" s="678"/>
      <c r="KNC34" s="678"/>
      <c r="KND34" s="678"/>
      <c r="KNE34" s="678"/>
      <c r="KNF34" s="678"/>
      <c r="KNG34" s="678"/>
      <c r="KNH34" s="678"/>
      <c r="KNI34" s="678"/>
      <c r="KNJ34" s="678"/>
      <c r="KNK34" s="678"/>
      <c r="KNL34" s="678"/>
      <c r="KNM34" s="678"/>
      <c r="KNN34" s="678"/>
      <c r="KNO34" s="678"/>
      <c r="KNP34" s="678"/>
      <c r="KNQ34" s="678"/>
      <c r="KNR34" s="678"/>
      <c r="KNS34" s="678"/>
      <c r="KNT34" s="678"/>
      <c r="KNU34" s="678"/>
      <c r="KNV34" s="678"/>
      <c r="KNW34" s="678"/>
      <c r="KNX34" s="678"/>
      <c r="KNY34" s="678"/>
      <c r="KNZ34" s="678"/>
      <c r="KOA34" s="678"/>
      <c r="KOB34" s="678"/>
      <c r="KOC34" s="678"/>
      <c r="KOD34" s="678"/>
      <c r="KOE34" s="678"/>
      <c r="KOF34" s="678"/>
      <c r="KOG34" s="678"/>
      <c r="KOH34" s="678"/>
      <c r="KOI34" s="678"/>
      <c r="KOJ34" s="678"/>
      <c r="KOK34" s="678"/>
      <c r="KOL34" s="678"/>
      <c r="KOM34" s="678"/>
      <c r="KON34" s="678"/>
      <c r="KOO34" s="678"/>
      <c r="KOP34" s="678"/>
      <c r="KOQ34" s="678"/>
      <c r="KOR34" s="678"/>
      <c r="KOS34" s="678"/>
      <c r="KOT34" s="678"/>
      <c r="KOU34" s="678"/>
      <c r="KOV34" s="678"/>
      <c r="KOW34" s="678"/>
      <c r="KOX34" s="678"/>
      <c r="KOY34" s="678"/>
      <c r="KOZ34" s="678"/>
      <c r="KPA34" s="678"/>
      <c r="KPB34" s="678"/>
      <c r="KPC34" s="678"/>
      <c r="KPD34" s="678"/>
      <c r="KPE34" s="678"/>
      <c r="KPF34" s="678"/>
      <c r="KPG34" s="678"/>
      <c r="KPH34" s="678"/>
      <c r="KPI34" s="678"/>
      <c r="KPJ34" s="678"/>
      <c r="KPK34" s="678"/>
      <c r="KPL34" s="678"/>
      <c r="KPM34" s="678"/>
      <c r="KPN34" s="678"/>
      <c r="KPO34" s="678"/>
      <c r="KPP34" s="678"/>
      <c r="KPQ34" s="678"/>
      <c r="KPR34" s="678"/>
      <c r="KPS34" s="678"/>
      <c r="KPT34" s="678"/>
      <c r="KPU34" s="678"/>
      <c r="KPV34" s="678"/>
      <c r="KPW34" s="678"/>
      <c r="KPX34" s="678"/>
      <c r="KPY34" s="678"/>
      <c r="KPZ34" s="678"/>
      <c r="KQA34" s="678"/>
      <c r="KQB34" s="678"/>
      <c r="KQC34" s="678"/>
      <c r="KQD34" s="678"/>
      <c r="KQE34" s="678"/>
      <c r="KQF34" s="678"/>
      <c r="KQG34" s="678"/>
      <c r="KQH34" s="678"/>
      <c r="KQI34" s="678"/>
      <c r="KQJ34" s="678"/>
      <c r="KQK34" s="678"/>
      <c r="KQL34" s="678"/>
      <c r="KQM34" s="678"/>
      <c r="KQN34" s="678"/>
      <c r="KQO34" s="678"/>
      <c r="KQP34" s="678"/>
      <c r="KQQ34" s="678"/>
      <c r="KQR34" s="678"/>
      <c r="KQS34" s="678"/>
      <c r="KQT34" s="678"/>
      <c r="KQU34" s="678"/>
      <c r="KQV34" s="678"/>
      <c r="KQW34" s="678"/>
      <c r="KQX34" s="678"/>
      <c r="KQY34" s="678"/>
      <c r="KQZ34" s="678"/>
      <c r="KRA34" s="678"/>
      <c r="KRB34" s="678"/>
      <c r="KRC34" s="678"/>
      <c r="KRD34" s="678"/>
      <c r="KRE34" s="678"/>
      <c r="KRF34" s="678"/>
      <c r="KRG34" s="678"/>
      <c r="KRH34" s="678"/>
      <c r="KRI34" s="678"/>
      <c r="KRJ34" s="678"/>
      <c r="KRK34" s="678"/>
      <c r="KRL34" s="678"/>
      <c r="KRM34" s="678"/>
      <c r="KRN34" s="678"/>
      <c r="KRO34" s="678"/>
      <c r="KRP34" s="678"/>
      <c r="KRQ34" s="678"/>
      <c r="KRR34" s="678"/>
      <c r="KRS34" s="678"/>
      <c r="KRT34" s="678"/>
      <c r="KRU34" s="678"/>
      <c r="KRV34" s="678"/>
      <c r="KRW34" s="678"/>
      <c r="KRX34" s="678"/>
      <c r="KRY34" s="678"/>
      <c r="KRZ34" s="678"/>
      <c r="KSA34" s="678"/>
      <c r="KSB34" s="678"/>
      <c r="KSC34" s="678"/>
      <c r="KSD34" s="678"/>
      <c r="KSE34" s="678"/>
      <c r="KSF34" s="678"/>
      <c r="KSG34" s="678"/>
      <c r="KSH34" s="678"/>
      <c r="KSI34" s="678"/>
      <c r="KSJ34" s="678"/>
      <c r="KSK34" s="678"/>
      <c r="KSL34" s="678"/>
      <c r="KSM34" s="678"/>
      <c r="KSN34" s="678"/>
      <c r="KSO34" s="678"/>
      <c r="KSP34" s="678"/>
      <c r="KSQ34" s="678"/>
      <c r="KSR34" s="678"/>
      <c r="KSS34" s="678"/>
      <c r="KST34" s="678"/>
      <c r="KSU34" s="678"/>
      <c r="KSV34" s="678"/>
      <c r="KSW34" s="678"/>
      <c r="KSX34" s="678"/>
      <c r="KSY34" s="678"/>
      <c r="KSZ34" s="678"/>
      <c r="KTA34" s="678"/>
      <c r="KTB34" s="678"/>
      <c r="KTC34" s="678"/>
      <c r="KTD34" s="678"/>
      <c r="KTE34" s="678"/>
      <c r="KTF34" s="678"/>
      <c r="KTG34" s="678"/>
      <c r="KTH34" s="678"/>
      <c r="KTI34" s="678"/>
      <c r="KTJ34" s="678"/>
      <c r="KTK34" s="678"/>
      <c r="KTL34" s="678"/>
      <c r="KTM34" s="678"/>
      <c r="KTN34" s="678"/>
      <c r="KTO34" s="678"/>
      <c r="KTP34" s="678"/>
      <c r="KTQ34" s="678"/>
      <c r="KTR34" s="678"/>
      <c r="KTS34" s="678"/>
      <c r="KTT34" s="678"/>
      <c r="KTU34" s="678"/>
      <c r="KTV34" s="678"/>
      <c r="KTW34" s="678"/>
      <c r="KTX34" s="678"/>
      <c r="KTY34" s="678"/>
      <c r="KTZ34" s="678"/>
      <c r="KUA34" s="678"/>
      <c r="KUB34" s="678"/>
      <c r="KUC34" s="678"/>
      <c r="KUD34" s="678"/>
      <c r="KUE34" s="678"/>
      <c r="KUF34" s="678"/>
      <c r="KUG34" s="678"/>
      <c r="KUH34" s="678"/>
      <c r="KUI34" s="678"/>
      <c r="KUJ34" s="678"/>
      <c r="KUK34" s="678"/>
      <c r="KUL34" s="678"/>
      <c r="KUM34" s="678"/>
      <c r="KUN34" s="678"/>
      <c r="KUO34" s="678"/>
      <c r="KUP34" s="678"/>
      <c r="KUQ34" s="678"/>
      <c r="KUR34" s="678"/>
      <c r="KUS34" s="678"/>
      <c r="KUT34" s="678"/>
      <c r="KUU34" s="678"/>
      <c r="KUV34" s="678"/>
      <c r="KUW34" s="678"/>
      <c r="KUX34" s="678"/>
      <c r="KUY34" s="678"/>
      <c r="KUZ34" s="678"/>
      <c r="KVA34" s="678"/>
      <c r="KVB34" s="678"/>
      <c r="KVC34" s="678"/>
      <c r="KVD34" s="678"/>
      <c r="KVE34" s="678"/>
      <c r="KVF34" s="678"/>
      <c r="KVG34" s="678"/>
      <c r="KVH34" s="678"/>
      <c r="KVI34" s="678"/>
      <c r="KVJ34" s="678"/>
      <c r="KVK34" s="678"/>
      <c r="KVL34" s="678"/>
      <c r="KVM34" s="678"/>
      <c r="KVN34" s="678"/>
      <c r="KVO34" s="678"/>
      <c r="KVP34" s="678"/>
      <c r="KVQ34" s="678"/>
      <c r="KVR34" s="678"/>
      <c r="KVS34" s="678"/>
      <c r="KVT34" s="678"/>
      <c r="KVU34" s="678"/>
      <c r="KVV34" s="678"/>
      <c r="KVW34" s="678"/>
      <c r="KVX34" s="678"/>
      <c r="KVY34" s="678"/>
      <c r="KVZ34" s="678"/>
      <c r="KWA34" s="678"/>
      <c r="KWB34" s="678"/>
      <c r="KWC34" s="678"/>
      <c r="KWD34" s="678"/>
      <c r="KWE34" s="678"/>
      <c r="KWF34" s="678"/>
      <c r="KWG34" s="678"/>
      <c r="KWH34" s="678"/>
      <c r="KWI34" s="678"/>
      <c r="KWJ34" s="678"/>
      <c r="KWK34" s="678"/>
      <c r="KWL34" s="678"/>
      <c r="KWM34" s="678"/>
      <c r="KWN34" s="678"/>
      <c r="KWO34" s="678"/>
      <c r="KWP34" s="678"/>
      <c r="KWQ34" s="678"/>
      <c r="KWR34" s="678"/>
      <c r="KWS34" s="678"/>
      <c r="KWT34" s="678"/>
      <c r="KWU34" s="678"/>
      <c r="KWV34" s="678"/>
      <c r="KWW34" s="678"/>
      <c r="KWX34" s="678"/>
      <c r="KWY34" s="678"/>
      <c r="KWZ34" s="678"/>
      <c r="KXA34" s="678"/>
      <c r="KXB34" s="678"/>
      <c r="KXC34" s="678"/>
      <c r="KXD34" s="678"/>
      <c r="KXE34" s="678"/>
      <c r="KXF34" s="678"/>
      <c r="KXG34" s="678"/>
      <c r="KXH34" s="678"/>
      <c r="KXI34" s="678"/>
      <c r="KXJ34" s="678"/>
      <c r="KXK34" s="678"/>
      <c r="KXL34" s="678"/>
      <c r="KXM34" s="678"/>
      <c r="KXN34" s="678"/>
      <c r="KXO34" s="678"/>
      <c r="KXP34" s="678"/>
      <c r="KXQ34" s="678"/>
      <c r="KXR34" s="678"/>
      <c r="KXS34" s="678"/>
      <c r="KXT34" s="678"/>
      <c r="KXU34" s="678"/>
      <c r="KXV34" s="678"/>
      <c r="KXW34" s="678"/>
      <c r="KXX34" s="678"/>
      <c r="KXY34" s="678"/>
      <c r="KXZ34" s="678"/>
      <c r="KYA34" s="678"/>
      <c r="KYB34" s="678"/>
      <c r="KYC34" s="678"/>
      <c r="KYD34" s="678"/>
      <c r="KYE34" s="678"/>
      <c r="KYF34" s="678"/>
      <c r="KYG34" s="678"/>
      <c r="KYH34" s="678"/>
      <c r="KYI34" s="678"/>
      <c r="KYJ34" s="678"/>
      <c r="KYK34" s="678"/>
      <c r="KYL34" s="678"/>
      <c r="KYM34" s="678"/>
      <c r="KYN34" s="678"/>
      <c r="KYO34" s="678"/>
      <c r="KYP34" s="678"/>
      <c r="KYQ34" s="678"/>
      <c r="KYR34" s="678"/>
      <c r="KYS34" s="678"/>
      <c r="KYT34" s="678"/>
      <c r="KYU34" s="678"/>
      <c r="KYV34" s="678"/>
      <c r="KYW34" s="678"/>
      <c r="KYX34" s="678"/>
      <c r="KYY34" s="678"/>
      <c r="KYZ34" s="678"/>
      <c r="KZA34" s="678"/>
      <c r="KZB34" s="678"/>
      <c r="KZC34" s="678"/>
      <c r="KZD34" s="678"/>
      <c r="KZE34" s="678"/>
      <c r="KZF34" s="678"/>
      <c r="KZG34" s="678"/>
      <c r="KZH34" s="678"/>
      <c r="KZI34" s="678"/>
      <c r="KZJ34" s="678"/>
      <c r="KZK34" s="678"/>
      <c r="KZL34" s="678"/>
      <c r="KZM34" s="678"/>
      <c r="KZN34" s="678"/>
      <c r="KZO34" s="678"/>
      <c r="KZP34" s="678"/>
      <c r="KZQ34" s="678"/>
      <c r="KZR34" s="678"/>
      <c r="KZS34" s="678"/>
      <c r="KZT34" s="678"/>
      <c r="KZU34" s="678"/>
      <c r="KZV34" s="678"/>
      <c r="KZW34" s="678"/>
      <c r="KZX34" s="678"/>
      <c r="KZY34" s="678"/>
      <c r="KZZ34" s="678"/>
      <c r="LAA34" s="678"/>
      <c r="LAB34" s="678"/>
      <c r="LAC34" s="678"/>
      <c r="LAD34" s="678"/>
      <c r="LAE34" s="678"/>
      <c r="LAF34" s="678"/>
      <c r="LAG34" s="678"/>
      <c r="LAH34" s="678"/>
      <c r="LAI34" s="678"/>
      <c r="LAJ34" s="678"/>
      <c r="LAK34" s="678"/>
      <c r="LAL34" s="678"/>
      <c r="LAM34" s="678"/>
      <c r="LAN34" s="678"/>
      <c r="LAO34" s="678"/>
      <c r="LAP34" s="678"/>
      <c r="LAQ34" s="678"/>
      <c r="LAR34" s="678"/>
      <c r="LAS34" s="678"/>
      <c r="LAT34" s="678"/>
      <c r="LAU34" s="678"/>
      <c r="LAV34" s="678"/>
      <c r="LAW34" s="678"/>
      <c r="LAX34" s="678"/>
      <c r="LAY34" s="678"/>
      <c r="LAZ34" s="678"/>
      <c r="LBA34" s="678"/>
      <c r="LBB34" s="678"/>
      <c r="LBC34" s="678"/>
      <c r="LBD34" s="678"/>
      <c r="LBE34" s="678"/>
      <c r="LBF34" s="678"/>
      <c r="LBG34" s="678"/>
      <c r="LBH34" s="678"/>
      <c r="LBI34" s="678"/>
      <c r="LBJ34" s="678"/>
      <c r="LBK34" s="678"/>
      <c r="LBL34" s="678"/>
      <c r="LBM34" s="678"/>
      <c r="LBN34" s="678"/>
      <c r="LBO34" s="678"/>
      <c r="LBP34" s="678"/>
      <c r="LBQ34" s="678"/>
      <c r="LBR34" s="678"/>
      <c r="LBS34" s="678"/>
      <c r="LBT34" s="678"/>
      <c r="LBU34" s="678"/>
      <c r="LBV34" s="678"/>
      <c r="LBW34" s="678"/>
      <c r="LBX34" s="678"/>
      <c r="LBY34" s="678"/>
      <c r="LBZ34" s="678"/>
      <c r="LCA34" s="678"/>
      <c r="LCB34" s="678"/>
      <c r="LCC34" s="678"/>
      <c r="LCD34" s="678"/>
      <c r="LCE34" s="678"/>
      <c r="LCF34" s="678"/>
      <c r="LCG34" s="678"/>
      <c r="LCH34" s="678"/>
      <c r="LCI34" s="678"/>
      <c r="LCJ34" s="678"/>
      <c r="LCK34" s="678"/>
      <c r="LCL34" s="678"/>
      <c r="LCM34" s="678"/>
      <c r="LCN34" s="678"/>
      <c r="LCO34" s="678"/>
      <c r="LCP34" s="678"/>
      <c r="LCQ34" s="678"/>
      <c r="LCR34" s="678"/>
      <c r="LCS34" s="678"/>
      <c r="LCT34" s="678"/>
      <c r="LCU34" s="678"/>
      <c r="LCV34" s="678"/>
      <c r="LCW34" s="678"/>
      <c r="LCX34" s="678"/>
      <c r="LCY34" s="678"/>
      <c r="LCZ34" s="678"/>
      <c r="LDA34" s="678"/>
      <c r="LDB34" s="678"/>
      <c r="LDC34" s="678"/>
      <c r="LDD34" s="678"/>
      <c r="LDE34" s="678"/>
      <c r="LDF34" s="678"/>
      <c r="LDG34" s="678"/>
      <c r="LDH34" s="678"/>
      <c r="LDI34" s="678"/>
      <c r="LDJ34" s="678"/>
      <c r="LDK34" s="678"/>
      <c r="LDL34" s="678"/>
      <c r="LDM34" s="678"/>
      <c r="LDN34" s="678"/>
      <c r="LDO34" s="678"/>
      <c r="LDP34" s="678"/>
      <c r="LDQ34" s="678"/>
      <c r="LDR34" s="678"/>
      <c r="LDS34" s="678"/>
      <c r="LDT34" s="678"/>
      <c r="LDU34" s="678"/>
      <c r="LDV34" s="678"/>
      <c r="LDW34" s="678"/>
      <c r="LDX34" s="678"/>
      <c r="LDY34" s="678"/>
      <c r="LDZ34" s="678"/>
      <c r="LEA34" s="678"/>
      <c r="LEB34" s="678"/>
      <c r="LEC34" s="678"/>
      <c r="LED34" s="678"/>
      <c r="LEE34" s="678"/>
      <c r="LEF34" s="678"/>
      <c r="LEG34" s="678"/>
      <c r="LEH34" s="678"/>
      <c r="LEI34" s="678"/>
      <c r="LEJ34" s="678"/>
      <c r="LEK34" s="678"/>
      <c r="LEL34" s="678"/>
      <c r="LEM34" s="678"/>
      <c r="LEN34" s="678"/>
      <c r="LEO34" s="678"/>
      <c r="LEP34" s="678"/>
      <c r="LEQ34" s="678"/>
      <c r="LER34" s="678"/>
      <c r="LES34" s="678"/>
      <c r="LET34" s="678"/>
      <c r="LEU34" s="678"/>
      <c r="LEV34" s="678"/>
      <c r="LEW34" s="678"/>
      <c r="LEX34" s="678"/>
      <c r="LEY34" s="678"/>
      <c r="LEZ34" s="678"/>
      <c r="LFA34" s="678"/>
      <c r="LFB34" s="678"/>
      <c r="LFC34" s="678"/>
      <c r="LFD34" s="678"/>
      <c r="LFE34" s="678"/>
      <c r="LFF34" s="678"/>
      <c r="LFG34" s="678"/>
      <c r="LFH34" s="678"/>
      <c r="LFI34" s="678"/>
      <c r="LFJ34" s="678"/>
      <c r="LFK34" s="678"/>
      <c r="LFL34" s="678"/>
      <c r="LFM34" s="678"/>
      <c r="LFN34" s="678"/>
      <c r="LFO34" s="678"/>
      <c r="LFP34" s="678"/>
      <c r="LFQ34" s="678"/>
      <c r="LFR34" s="678"/>
      <c r="LFS34" s="678"/>
      <c r="LFT34" s="678"/>
      <c r="LFU34" s="678"/>
      <c r="LFV34" s="678"/>
      <c r="LFW34" s="678"/>
      <c r="LFX34" s="678"/>
      <c r="LFY34" s="678"/>
      <c r="LFZ34" s="678"/>
      <c r="LGA34" s="678"/>
      <c r="LGB34" s="678"/>
      <c r="LGC34" s="678"/>
      <c r="LGD34" s="678"/>
      <c r="LGE34" s="678"/>
      <c r="LGF34" s="678"/>
      <c r="LGG34" s="678"/>
      <c r="LGH34" s="678"/>
      <c r="LGI34" s="678"/>
      <c r="LGJ34" s="678"/>
      <c r="LGK34" s="678"/>
      <c r="LGL34" s="678"/>
      <c r="LGM34" s="678"/>
      <c r="LGN34" s="678"/>
      <c r="LGO34" s="678"/>
      <c r="LGP34" s="678"/>
      <c r="LGQ34" s="678"/>
      <c r="LGR34" s="678"/>
      <c r="LGS34" s="678"/>
      <c r="LGT34" s="678"/>
      <c r="LGU34" s="678"/>
      <c r="LGV34" s="678"/>
      <c r="LGW34" s="678"/>
      <c r="LGX34" s="678"/>
      <c r="LGY34" s="678"/>
      <c r="LGZ34" s="678"/>
      <c r="LHA34" s="678"/>
      <c r="LHB34" s="678"/>
      <c r="LHC34" s="678"/>
      <c r="LHD34" s="678"/>
      <c r="LHE34" s="678"/>
      <c r="LHF34" s="678"/>
      <c r="LHG34" s="678"/>
      <c r="LHH34" s="678"/>
      <c r="LHI34" s="678"/>
      <c r="LHJ34" s="678"/>
      <c r="LHK34" s="678"/>
      <c r="LHL34" s="678"/>
      <c r="LHM34" s="678"/>
      <c r="LHN34" s="678"/>
      <c r="LHO34" s="678"/>
      <c r="LHP34" s="678"/>
      <c r="LHQ34" s="678"/>
      <c r="LHR34" s="678"/>
      <c r="LHS34" s="678"/>
      <c r="LHT34" s="678"/>
      <c r="LHU34" s="678"/>
      <c r="LHV34" s="678"/>
      <c r="LHW34" s="678"/>
      <c r="LHX34" s="678"/>
      <c r="LHY34" s="678"/>
      <c r="LHZ34" s="678"/>
      <c r="LIA34" s="678"/>
      <c r="LIB34" s="678"/>
      <c r="LIC34" s="678"/>
      <c r="LID34" s="678"/>
      <c r="LIE34" s="678"/>
      <c r="LIF34" s="678"/>
      <c r="LIG34" s="678"/>
      <c r="LIH34" s="678"/>
      <c r="LII34" s="678"/>
      <c r="LIJ34" s="678"/>
      <c r="LIK34" s="678"/>
      <c r="LIL34" s="678"/>
      <c r="LIM34" s="678"/>
      <c r="LIN34" s="678"/>
      <c r="LIO34" s="678"/>
      <c r="LIP34" s="678"/>
      <c r="LIQ34" s="678"/>
      <c r="LIR34" s="678"/>
      <c r="LIS34" s="678"/>
      <c r="LIT34" s="678"/>
      <c r="LIU34" s="678"/>
      <c r="LIV34" s="678"/>
      <c r="LIW34" s="678"/>
      <c r="LIX34" s="678"/>
      <c r="LIY34" s="678"/>
      <c r="LIZ34" s="678"/>
      <c r="LJA34" s="678"/>
      <c r="LJB34" s="678"/>
      <c r="LJC34" s="678"/>
      <c r="LJD34" s="678"/>
      <c r="LJE34" s="678"/>
      <c r="LJF34" s="678"/>
      <c r="LJG34" s="678"/>
      <c r="LJH34" s="678"/>
      <c r="LJI34" s="678"/>
      <c r="LJJ34" s="678"/>
      <c r="LJK34" s="678"/>
      <c r="LJL34" s="678"/>
      <c r="LJM34" s="678"/>
      <c r="LJN34" s="678"/>
      <c r="LJO34" s="678"/>
      <c r="LJP34" s="678"/>
      <c r="LJQ34" s="678"/>
      <c r="LJR34" s="678"/>
      <c r="LJS34" s="678"/>
      <c r="LJT34" s="678"/>
      <c r="LJU34" s="678"/>
      <c r="LJV34" s="678"/>
      <c r="LJW34" s="678"/>
      <c r="LJX34" s="678"/>
      <c r="LJY34" s="678"/>
      <c r="LJZ34" s="678"/>
      <c r="LKA34" s="678"/>
      <c r="LKB34" s="678"/>
      <c r="LKC34" s="678"/>
      <c r="LKD34" s="678"/>
      <c r="LKE34" s="678"/>
      <c r="LKF34" s="678"/>
      <c r="LKG34" s="678"/>
      <c r="LKH34" s="678"/>
      <c r="LKI34" s="678"/>
      <c r="LKJ34" s="678"/>
      <c r="LKK34" s="678"/>
      <c r="LKL34" s="678"/>
      <c r="LKM34" s="678"/>
      <c r="LKN34" s="678"/>
      <c r="LKO34" s="678"/>
      <c r="LKP34" s="678"/>
      <c r="LKQ34" s="678"/>
      <c r="LKR34" s="678"/>
      <c r="LKS34" s="678"/>
      <c r="LKT34" s="678"/>
      <c r="LKU34" s="678"/>
      <c r="LKV34" s="678"/>
      <c r="LKW34" s="678"/>
      <c r="LKX34" s="678"/>
      <c r="LKY34" s="678"/>
      <c r="LKZ34" s="678"/>
      <c r="LLA34" s="678"/>
      <c r="LLB34" s="678"/>
      <c r="LLC34" s="678"/>
      <c r="LLD34" s="678"/>
      <c r="LLE34" s="678"/>
      <c r="LLF34" s="678"/>
      <c r="LLG34" s="678"/>
      <c r="LLH34" s="678"/>
      <c r="LLI34" s="678"/>
      <c r="LLJ34" s="678"/>
      <c r="LLK34" s="678"/>
      <c r="LLL34" s="678"/>
      <c r="LLM34" s="678"/>
      <c r="LLN34" s="678"/>
      <c r="LLO34" s="678"/>
      <c r="LLP34" s="678"/>
      <c r="LLQ34" s="678"/>
      <c r="LLR34" s="678"/>
      <c r="LLS34" s="678"/>
      <c r="LLT34" s="678"/>
      <c r="LLU34" s="678"/>
      <c r="LLV34" s="678"/>
      <c r="LLW34" s="678"/>
      <c r="LLX34" s="678"/>
      <c r="LLY34" s="678"/>
      <c r="LLZ34" s="678"/>
      <c r="LMA34" s="678"/>
      <c r="LMB34" s="678"/>
      <c r="LMC34" s="678"/>
      <c r="LMD34" s="678"/>
      <c r="LME34" s="678"/>
      <c r="LMF34" s="678"/>
      <c r="LMG34" s="678"/>
      <c r="LMH34" s="678"/>
      <c r="LMI34" s="678"/>
      <c r="LMJ34" s="678"/>
      <c r="LMK34" s="678"/>
      <c r="LML34" s="678"/>
      <c r="LMM34" s="678"/>
      <c r="LMN34" s="678"/>
      <c r="LMO34" s="678"/>
      <c r="LMP34" s="678"/>
      <c r="LMQ34" s="678"/>
      <c r="LMR34" s="678"/>
      <c r="LMS34" s="678"/>
      <c r="LMT34" s="678"/>
      <c r="LMU34" s="678"/>
      <c r="LMV34" s="678"/>
      <c r="LMW34" s="678"/>
      <c r="LMX34" s="678"/>
      <c r="LMY34" s="678"/>
      <c r="LMZ34" s="678"/>
      <c r="LNA34" s="678"/>
      <c r="LNB34" s="678"/>
      <c r="LNC34" s="678"/>
      <c r="LND34" s="678"/>
      <c r="LNE34" s="678"/>
      <c r="LNF34" s="678"/>
      <c r="LNG34" s="678"/>
      <c r="LNH34" s="678"/>
      <c r="LNI34" s="678"/>
      <c r="LNJ34" s="678"/>
      <c r="LNK34" s="678"/>
      <c r="LNL34" s="678"/>
      <c r="LNM34" s="678"/>
      <c r="LNN34" s="678"/>
      <c r="LNO34" s="678"/>
      <c r="LNP34" s="678"/>
      <c r="LNQ34" s="678"/>
      <c r="LNR34" s="678"/>
      <c r="LNS34" s="678"/>
      <c r="LNT34" s="678"/>
      <c r="LNU34" s="678"/>
      <c r="LNV34" s="678"/>
      <c r="LNW34" s="678"/>
      <c r="LNX34" s="678"/>
      <c r="LNY34" s="678"/>
      <c r="LNZ34" s="678"/>
      <c r="LOA34" s="678"/>
      <c r="LOB34" s="678"/>
      <c r="LOC34" s="678"/>
      <c r="LOD34" s="678"/>
      <c r="LOE34" s="678"/>
      <c r="LOF34" s="678"/>
      <c r="LOG34" s="678"/>
      <c r="LOH34" s="678"/>
      <c r="LOI34" s="678"/>
      <c r="LOJ34" s="678"/>
      <c r="LOK34" s="678"/>
      <c r="LOL34" s="678"/>
      <c r="LOM34" s="678"/>
      <c r="LON34" s="678"/>
      <c r="LOO34" s="678"/>
      <c r="LOP34" s="678"/>
      <c r="LOQ34" s="678"/>
      <c r="LOR34" s="678"/>
      <c r="LOS34" s="678"/>
      <c r="LOT34" s="678"/>
      <c r="LOU34" s="678"/>
      <c r="LOV34" s="678"/>
      <c r="LOW34" s="678"/>
      <c r="LOX34" s="678"/>
      <c r="LOY34" s="678"/>
      <c r="LOZ34" s="678"/>
      <c r="LPA34" s="678"/>
      <c r="LPB34" s="678"/>
      <c r="LPC34" s="678"/>
      <c r="LPD34" s="678"/>
      <c r="LPE34" s="678"/>
      <c r="LPF34" s="678"/>
      <c r="LPG34" s="678"/>
      <c r="LPH34" s="678"/>
      <c r="LPI34" s="678"/>
      <c r="LPJ34" s="678"/>
      <c r="LPK34" s="678"/>
      <c r="LPL34" s="678"/>
      <c r="LPM34" s="678"/>
      <c r="LPN34" s="678"/>
      <c r="LPO34" s="678"/>
      <c r="LPP34" s="678"/>
      <c r="LPQ34" s="678"/>
      <c r="LPR34" s="678"/>
      <c r="LPS34" s="678"/>
      <c r="LPT34" s="678"/>
      <c r="LPU34" s="678"/>
      <c r="LPV34" s="678"/>
      <c r="LPW34" s="678"/>
      <c r="LPX34" s="678"/>
      <c r="LPY34" s="678"/>
      <c r="LPZ34" s="678"/>
      <c r="LQA34" s="678"/>
      <c r="LQB34" s="678"/>
      <c r="LQC34" s="678"/>
      <c r="LQD34" s="678"/>
      <c r="LQE34" s="678"/>
      <c r="LQF34" s="678"/>
      <c r="LQG34" s="678"/>
      <c r="LQH34" s="678"/>
      <c r="LQI34" s="678"/>
      <c r="LQJ34" s="678"/>
      <c r="LQK34" s="678"/>
      <c r="LQL34" s="678"/>
      <c r="LQM34" s="678"/>
      <c r="LQN34" s="678"/>
      <c r="LQO34" s="678"/>
      <c r="LQP34" s="678"/>
      <c r="LQQ34" s="678"/>
      <c r="LQR34" s="678"/>
      <c r="LQS34" s="678"/>
      <c r="LQT34" s="678"/>
      <c r="LQU34" s="678"/>
      <c r="LQV34" s="678"/>
      <c r="LQW34" s="678"/>
      <c r="LQX34" s="678"/>
      <c r="LQY34" s="678"/>
      <c r="LQZ34" s="678"/>
      <c r="LRA34" s="678"/>
      <c r="LRB34" s="678"/>
      <c r="LRC34" s="678"/>
      <c r="LRD34" s="678"/>
      <c r="LRE34" s="678"/>
      <c r="LRF34" s="678"/>
      <c r="LRG34" s="678"/>
      <c r="LRH34" s="678"/>
      <c r="LRI34" s="678"/>
      <c r="LRJ34" s="678"/>
      <c r="LRK34" s="678"/>
      <c r="LRL34" s="678"/>
      <c r="LRM34" s="678"/>
      <c r="LRN34" s="678"/>
      <c r="LRO34" s="678"/>
      <c r="LRP34" s="678"/>
      <c r="LRQ34" s="678"/>
      <c r="LRR34" s="678"/>
      <c r="LRS34" s="678"/>
      <c r="LRT34" s="678"/>
      <c r="LRU34" s="678"/>
      <c r="LRV34" s="678"/>
      <c r="LRW34" s="678"/>
      <c r="LRX34" s="678"/>
      <c r="LRY34" s="678"/>
      <c r="LRZ34" s="678"/>
      <c r="LSA34" s="678"/>
      <c r="LSB34" s="678"/>
      <c r="LSC34" s="678"/>
      <c r="LSD34" s="678"/>
      <c r="LSE34" s="678"/>
      <c r="LSF34" s="678"/>
      <c r="LSG34" s="678"/>
      <c r="LSH34" s="678"/>
      <c r="LSI34" s="678"/>
      <c r="LSJ34" s="678"/>
      <c r="LSK34" s="678"/>
      <c r="LSL34" s="678"/>
      <c r="LSM34" s="678"/>
      <c r="LSN34" s="678"/>
      <c r="LSO34" s="678"/>
      <c r="LSP34" s="678"/>
      <c r="LSQ34" s="678"/>
      <c r="LSR34" s="678"/>
      <c r="LSS34" s="678"/>
      <c r="LST34" s="678"/>
      <c r="LSU34" s="678"/>
      <c r="LSV34" s="678"/>
      <c r="LSW34" s="678"/>
      <c r="LSX34" s="678"/>
      <c r="LSY34" s="678"/>
      <c r="LSZ34" s="678"/>
      <c r="LTA34" s="678"/>
      <c r="LTB34" s="678"/>
      <c r="LTC34" s="678"/>
      <c r="LTD34" s="678"/>
      <c r="LTE34" s="678"/>
      <c r="LTF34" s="678"/>
      <c r="LTG34" s="678"/>
      <c r="LTH34" s="678"/>
      <c r="LTI34" s="678"/>
      <c r="LTJ34" s="678"/>
      <c r="LTK34" s="678"/>
      <c r="LTL34" s="678"/>
      <c r="LTM34" s="678"/>
      <c r="LTN34" s="678"/>
      <c r="LTO34" s="678"/>
      <c r="LTP34" s="678"/>
      <c r="LTQ34" s="678"/>
      <c r="LTR34" s="678"/>
      <c r="LTS34" s="678"/>
      <c r="LTT34" s="678"/>
      <c r="LTU34" s="678"/>
      <c r="LTV34" s="678"/>
      <c r="LTW34" s="678"/>
      <c r="LTX34" s="678"/>
      <c r="LTY34" s="678"/>
      <c r="LTZ34" s="678"/>
      <c r="LUA34" s="678"/>
      <c r="LUB34" s="678"/>
      <c r="LUC34" s="678"/>
      <c r="LUD34" s="678"/>
      <c r="LUE34" s="678"/>
      <c r="LUF34" s="678"/>
      <c r="LUG34" s="678"/>
      <c r="LUH34" s="678"/>
      <c r="LUI34" s="678"/>
      <c r="LUJ34" s="678"/>
      <c r="LUK34" s="678"/>
      <c r="LUL34" s="678"/>
      <c r="LUM34" s="678"/>
      <c r="LUN34" s="678"/>
      <c r="LUO34" s="678"/>
      <c r="LUP34" s="678"/>
      <c r="LUQ34" s="678"/>
      <c r="LUR34" s="678"/>
      <c r="LUS34" s="678"/>
      <c r="LUT34" s="678"/>
      <c r="LUU34" s="678"/>
      <c r="LUV34" s="678"/>
      <c r="LUW34" s="678"/>
      <c r="LUX34" s="678"/>
      <c r="LUY34" s="678"/>
      <c r="LUZ34" s="678"/>
      <c r="LVA34" s="678"/>
      <c r="LVB34" s="678"/>
      <c r="LVC34" s="678"/>
      <c r="LVD34" s="678"/>
      <c r="LVE34" s="678"/>
      <c r="LVF34" s="678"/>
      <c r="LVG34" s="678"/>
      <c r="LVH34" s="678"/>
      <c r="LVI34" s="678"/>
      <c r="LVJ34" s="678"/>
      <c r="LVK34" s="678"/>
      <c r="LVL34" s="678"/>
      <c r="LVM34" s="678"/>
      <c r="LVN34" s="678"/>
      <c r="LVO34" s="678"/>
      <c r="LVP34" s="678"/>
      <c r="LVQ34" s="678"/>
      <c r="LVR34" s="678"/>
      <c r="LVS34" s="678"/>
      <c r="LVT34" s="678"/>
      <c r="LVU34" s="678"/>
      <c r="LVV34" s="678"/>
      <c r="LVW34" s="678"/>
      <c r="LVX34" s="678"/>
      <c r="LVY34" s="678"/>
      <c r="LVZ34" s="678"/>
      <c r="LWA34" s="678"/>
      <c r="LWB34" s="678"/>
      <c r="LWC34" s="678"/>
      <c r="LWD34" s="678"/>
      <c r="LWE34" s="678"/>
      <c r="LWF34" s="678"/>
      <c r="LWG34" s="678"/>
      <c r="LWH34" s="678"/>
      <c r="LWI34" s="678"/>
      <c r="LWJ34" s="678"/>
      <c r="LWK34" s="678"/>
      <c r="LWL34" s="678"/>
      <c r="LWM34" s="678"/>
      <c r="LWN34" s="678"/>
      <c r="LWO34" s="678"/>
      <c r="LWP34" s="678"/>
      <c r="LWQ34" s="678"/>
      <c r="LWR34" s="678"/>
      <c r="LWS34" s="678"/>
      <c r="LWT34" s="678"/>
      <c r="LWU34" s="678"/>
      <c r="LWV34" s="678"/>
      <c r="LWW34" s="678"/>
      <c r="LWX34" s="678"/>
      <c r="LWY34" s="678"/>
      <c r="LWZ34" s="678"/>
      <c r="LXA34" s="678"/>
      <c r="LXB34" s="678"/>
      <c r="LXC34" s="678"/>
      <c r="LXD34" s="678"/>
      <c r="LXE34" s="678"/>
      <c r="LXF34" s="678"/>
      <c r="LXG34" s="678"/>
      <c r="LXH34" s="678"/>
      <c r="LXI34" s="678"/>
      <c r="LXJ34" s="678"/>
      <c r="LXK34" s="678"/>
      <c r="LXL34" s="678"/>
      <c r="LXM34" s="678"/>
      <c r="LXN34" s="678"/>
      <c r="LXO34" s="678"/>
      <c r="LXP34" s="678"/>
      <c r="LXQ34" s="678"/>
      <c r="LXR34" s="678"/>
      <c r="LXS34" s="678"/>
      <c r="LXT34" s="678"/>
      <c r="LXU34" s="678"/>
      <c r="LXV34" s="678"/>
      <c r="LXW34" s="678"/>
      <c r="LXX34" s="678"/>
      <c r="LXY34" s="678"/>
      <c r="LXZ34" s="678"/>
      <c r="LYA34" s="678"/>
      <c r="LYB34" s="678"/>
      <c r="LYC34" s="678"/>
      <c r="LYD34" s="678"/>
      <c r="LYE34" s="678"/>
      <c r="LYF34" s="678"/>
      <c r="LYG34" s="678"/>
      <c r="LYH34" s="678"/>
      <c r="LYI34" s="678"/>
      <c r="LYJ34" s="678"/>
      <c r="LYK34" s="678"/>
      <c r="LYL34" s="678"/>
      <c r="LYM34" s="678"/>
      <c r="LYN34" s="678"/>
      <c r="LYO34" s="678"/>
      <c r="LYP34" s="678"/>
      <c r="LYQ34" s="678"/>
      <c r="LYR34" s="678"/>
      <c r="LYS34" s="678"/>
      <c r="LYT34" s="678"/>
      <c r="LYU34" s="678"/>
      <c r="LYV34" s="678"/>
      <c r="LYW34" s="678"/>
      <c r="LYX34" s="678"/>
      <c r="LYY34" s="678"/>
      <c r="LYZ34" s="678"/>
      <c r="LZA34" s="678"/>
      <c r="LZB34" s="678"/>
      <c r="LZC34" s="678"/>
      <c r="LZD34" s="678"/>
      <c r="LZE34" s="678"/>
      <c r="LZF34" s="678"/>
      <c r="LZG34" s="678"/>
      <c r="LZH34" s="678"/>
      <c r="LZI34" s="678"/>
      <c r="LZJ34" s="678"/>
      <c r="LZK34" s="678"/>
      <c r="LZL34" s="678"/>
      <c r="LZM34" s="678"/>
      <c r="LZN34" s="678"/>
      <c r="LZO34" s="678"/>
      <c r="LZP34" s="678"/>
      <c r="LZQ34" s="678"/>
      <c r="LZR34" s="678"/>
      <c r="LZS34" s="678"/>
      <c r="LZT34" s="678"/>
      <c r="LZU34" s="678"/>
      <c r="LZV34" s="678"/>
      <c r="LZW34" s="678"/>
      <c r="LZX34" s="678"/>
      <c r="LZY34" s="678"/>
      <c r="LZZ34" s="678"/>
      <c r="MAA34" s="678"/>
      <c r="MAB34" s="678"/>
      <c r="MAC34" s="678"/>
      <c r="MAD34" s="678"/>
      <c r="MAE34" s="678"/>
      <c r="MAF34" s="678"/>
      <c r="MAG34" s="678"/>
      <c r="MAH34" s="678"/>
      <c r="MAI34" s="678"/>
      <c r="MAJ34" s="678"/>
      <c r="MAK34" s="678"/>
      <c r="MAL34" s="678"/>
      <c r="MAM34" s="678"/>
      <c r="MAN34" s="678"/>
      <c r="MAO34" s="678"/>
      <c r="MAP34" s="678"/>
      <c r="MAQ34" s="678"/>
      <c r="MAR34" s="678"/>
      <c r="MAS34" s="678"/>
      <c r="MAT34" s="678"/>
      <c r="MAU34" s="678"/>
      <c r="MAV34" s="678"/>
      <c r="MAW34" s="678"/>
      <c r="MAX34" s="678"/>
      <c r="MAY34" s="678"/>
      <c r="MAZ34" s="678"/>
      <c r="MBA34" s="678"/>
      <c r="MBB34" s="678"/>
      <c r="MBC34" s="678"/>
      <c r="MBD34" s="678"/>
      <c r="MBE34" s="678"/>
      <c r="MBF34" s="678"/>
      <c r="MBG34" s="678"/>
      <c r="MBH34" s="678"/>
      <c r="MBI34" s="678"/>
      <c r="MBJ34" s="678"/>
      <c r="MBK34" s="678"/>
      <c r="MBL34" s="678"/>
      <c r="MBM34" s="678"/>
      <c r="MBN34" s="678"/>
      <c r="MBO34" s="678"/>
      <c r="MBP34" s="678"/>
      <c r="MBQ34" s="678"/>
      <c r="MBR34" s="678"/>
      <c r="MBS34" s="678"/>
      <c r="MBT34" s="678"/>
      <c r="MBU34" s="678"/>
      <c r="MBV34" s="678"/>
      <c r="MBW34" s="678"/>
      <c r="MBX34" s="678"/>
      <c r="MBY34" s="678"/>
      <c r="MBZ34" s="678"/>
      <c r="MCA34" s="678"/>
      <c r="MCB34" s="678"/>
      <c r="MCC34" s="678"/>
      <c r="MCD34" s="678"/>
      <c r="MCE34" s="678"/>
      <c r="MCF34" s="678"/>
      <c r="MCG34" s="678"/>
      <c r="MCH34" s="678"/>
      <c r="MCI34" s="678"/>
      <c r="MCJ34" s="678"/>
      <c r="MCK34" s="678"/>
      <c r="MCL34" s="678"/>
      <c r="MCM34" s="678"/>
      <c r="MCN34" s="678"/>
      <c r="MCO34" s="678"/>
      <c r="MCP34" s="678"/>
      <c r="MCQ34" s="678"/>
      <c r="MCR34" s="678"/>
      <c r="MCS34" s="678"/>
      <c r="MCT34" s="678"/>
      <c r="MCU34" s="678"/>
      <c r="MCV34" s="678"/>
      <c r="MCW34" s="678"/>
      <c r="MCX34" s="678"/>
      <c r="MCY34" s="678"/>
      <c r="MCZ34" s="678"/>
      <c r="MDA34" s="678"/>
      <c r="MDB34" s="678"/>
      <c r="MDC34" s="678"/>
      <c r="MDD34" s="678"/>
      <c r="MDE34" s="678"/>
      <c r="MDF34" s="678"/>
      <c r="MDG34" s="678"/>
      <c r="MDH34" s="678"/>
      <c r="MDI34" s="678"/>
      <c r="MDJ34" s="678"/>
      <c r="MDK34" s="678"/>
      <c r="MDL34" s="678"/>
      <c r="MDM34" s="678"/>
      <c r="MDN34" s="678"/>
      <c r="MDO34" s="678"/>
      <c r="MDP34" s="678"/>
      <c r="MDQ34" s="678"/>
      <c r="MDR34" s="678"/>
      <c r="MDS34" s="678"/>
      <c r="MDT34" s="678"/>
      <c r="MDU34" s="678"/>
      <c r="MDV34" s="678"/>
      <c r="MDW34" s="678"/>
      <c r="MDX34" s="678"/>
      <c r="MDY34" s="678"/>
      <c r="MDZ34" s="678"/>
      <c r="MEA34" s="678"/>
      <c r="MEB34" s="678"/>
      <c r="MEC34" s="678"/>
      <c r="MED34" s="678"/>
      <c r="MEE34" s="678"/>
      <c r="MEF34" s="678"/>
      <c r="MEG34" s="678"/>
      <c r="MEH34" s="678"/>
      <c r="MEI34" s="678"/>
      <c r="MEJ34" s="678"/>
      <c r="MEK34" s="678"/>
      <c r="MEL34" s="678"/>
      <c r="MEM34" s="678"/>
      <c r="MEN34" s="678"/>
      <c r="MEO34" s="678"/>
      <c r="MEP34" s="678"/>
      <c r="MEQ34" s="678"/>
      <c r="MER34" s="678"/>
      <c r="MES34" s="678"/>
      <c r="MET34" s="678"/>
      <c r="MEU34" s="678"/>
      <c r="MEV34" s="678"/>
      <c r="MEW34" s="678"/>
      <c r="MEX34" s="678"/>
      <c r="MEY34" s="678"/>
      <c r="MEZ34" s="678"/>
      <c r="MFA34" s="678"/>
      <c r="MFB34" s="678"/>
      <c r="MFC34" s="678"/>
      <c r="MFD34" s="678"/>
      <c r="MFE34" s="678"/>
      <c r="MFF34" s="678"/>
      <c r="MFG34" s="678"/>
      <c r="MFH34" s="678"/>
      <c r="MFI34" s="678"/>
      <c r="MFJ34" s="678"/>
      <c r="MFK34" s="678"/>
      <c r="MFL34" s="678"/>
      <c r="MFM34" s="678"/>
      <c r="MFN34" s="678"/>
      <c r="MFO34" s="678"/>
      <c r="MFP34" s="678"/>
      <c r="MFQ34" s="678"/>
      <c r="MFR34" s="678"/>
      <c r="MFS34" s="678"/>
      <c r="MFT34" s="678"/>
      <c r="MFU34" s="678"/>
      <c r="MFV34" s="678"/>
      <c r="MFW34" s="678"/>
      <c r="MFX34" s="678"/>
      <c r="MFY34" s="678"/>
      <c r="MFZ34" s="678"/>
      <c r="MGA34" s="678"/>
      <c r="MGB34" s="678"/>
      <c r="MGC34" s="678"/>
      <c r="MGD34" s="678"/>
      <c r="MGE34" s="678"/>
      <c r="MGF34" s="678"/>
      <c r="MGG34" s="678"/>
      <c r="MGH34" s="678"/>
      <c r="MGI34" s="678"/>
      <c r="MGJ34" s="678"/>
      <c r="MGK34" s="678"/>
      <c r="MGL34" s="678"/>
      <c r="MGM34" s="678"/>
      <c r="MGN34" s="678"/>
      <c r="MGO34" s="678"/>
      <c r="MGP34" s="678"/>
      <c r="MGQ34" s="678"/>
      <c r="MGR34" s="678"/>
      <c r="MGS34" s="678"/>
      <c r="MGT34" s="678"/>
      <c r="MGU34" s="678"/>
      <c r="MGV34" s="678"/>
      <c r="MGW34" s="678"/>
      <c r="MGX34" s="678"/>
      <c r="MGY34" s="678"/>
      <c r="MGZ34" s="678"/>
      <c r="MHA34" s="678"/>
      <c r="MHB34" s="678"/>
      <c r="MHC34" s="678"/>
      <c r="MHD34" s="678"/>
      <c r="MHE34" s="678"/>
      <c r="MHF34" s="678"/>
      <c r="MHG34" s="678"/>
      <c r="MHH34" s="678"/>
      <c r="MHI34" s="678"/>
      <c r="MHJ34" s="678"/>
      <c r="MHK34" s="678"/>
      <c r="MHL34" s="678"/>
      <c r="MHM34" s="678"/>
      <c r="MHN34" s="678"/>
      <c r="MHO34" s="678"/>
      <c r="MHP34" s="678"/>
      <c r="MHQ34" s="678"/>
      <c r="MHR34" s="678"/>
      <c r="MHS34" s="678"/>
      <c r="MHT34" s="678"/>
      <c r="MHU34" s="678"/>
      <c r="MHV34" s="678"/>
      <c r="MHW34" s="678"/>
      <c r="MHX34" s="678"/>
      <c r="MHY34" s="678"/>
      <c r="MHZ34" s="678"/>
      <c r="MIA34" s="678"/>
      <c r="MIB34" s="678"/>
      <c r="MIC34" s="678"/>
      <c r="MID34" s="678"/>
      <c r="MIE34" s="678"/>
      <c r="MIF34" s="678"/>
      <c r="MIG34" s="678"/>
      <c r="MIH34" s="678"/>
      <c r="MII34" s="678"/>
      <c r="MIJ34" s="678"/>
      <c r="MIK34" s="678"/>
      <c r="MIL34" s="678"/>
      <c r="MIM34" s="678"/>
      <c r="MIN34" s="678"/>
      <c r="MIO34" s="678"/>
      <c r="MIP34" s="678"/>
      <c r="MIQ34" s="678"/>
      <c r="MIR34" s="678"/>
      <c r="MIS34" s="678"/>
      <c r="MIT34" s="678"/>
      <c r="MIU34" s="678"/>
      <c r="MIV34" s="678"/>
      <c r="MIW34" s="678"/>
      <c r="MIX34" s="678"/>
      <c r="MIY34" s="678"/>
      <c r="MIZ34" s="678"/>
      <c r="MJA34" s="678"/>
      <c r="MJB34" s="678"/>
      <c r="MJC34" s="678"/>
      <c r="MJD34" s="678"/>
      <c r="MJE34" s="678"/>
      <c r="MJF34" s="678"/>
      <c r="MJG34" s="678"/>
      <c r="MJH34" s="678"/>
      <c r="MJI34" s="678"/>
      <c r="MJJ34" s="678"/>
      <c r="MJK34" s="678"/>
      <c r="MJL34" s="678"/>
      <c r="MJM34" s="678"/>
      <c r="MJN34" s="678"/>
      <c r="MJO34" s="678"/>
      <c r="MJP34" s="678"/>
      <c r="MJQ34" s="678"/>
      <c r="MJR34" s="678"/>
      <c r="MJS34" s="678"/>
      <c r="MJT34" s="678"/>
      <c r="MJU34" s="678"/>
      <c r="MJV34" s="678"/>
      <c r="MJW34" s="678"/>
      <c r="MJX34" s="678"/>
      <c r="MJY34" s="678"/>
      <c r="MJZ34" s="678"/>
      <c r="MKA34" s="678"/>
      <c r="MKB34" s="678"/>
      <c r="MKC34" s="678"/>
      <c r="MKD34" s="678"/>
      <c r="MKE34" s="678"/>
      <c r="MKF34" s="678"/>
      <c r="MKG34" s="678"/>
      <c r="MKH34" s="678"/>
      <c r="MKI34" s="678"/>
      <c r="MKJ34" s="678"/>
      <c r="MKK34" s="678"/>
      <c r="MKL34" s="678"/>
      <c r="MKM34" s="678"/>
      <c r="MKN34" s="678"/>
      <c r="MKO34" s="678"/>
      <c r="MKP34" s="678"/>
      <c r="MKQ34" s="678"/>
      <c r="MKR34" s="678"/>
      <c r="MKS34" s="678"/>
      <c r="MKT34" s="678"/>
      <c r="MKU34" s="678"/>
      <c r="MKV34" s="678"/>
      <c r="MKW34" s="678"/>
      <c r="MKX34" s="678"/>
      <c r="MKY34" s="678"/>
      <c r="MKZ34" s="678"/>
      <c r="MLA34" s="678"/>
      <c r="MLB34" s="678"/>
      <c r="MLC34" s="678"/>
      <c r="MLD34" s="678"/>
      <c r="MLE34" s="678"/>
      <c r="MLF34" s="678"/>
      <c r="MLG34" s="678"/>
      <c r="MLH34" s="678"/>
      <c r="MLI34" s="678"/>
      <c r="MLJ34" s="678"/>
      <c r="MLK34" s="678"/>
      <c r="MLL34" s="678"/>
      <c r="MLM34" s="678"/>
      <c r="MLN34" s="678"/>
      <c r="MLO34" s="678"/>
      <c r="MLP34" s="678"/>
      <c r="MLQ34" s="678"/>
      <c r="MLR34" s="678"/>
      <c r="MLS34" s="678"/>
      <c r="MLT34" s="678"/>
      <c r="MLU34" s="678"/>
      <c r="MLV34" s="678"/>
      <c r="MLW34" s="678"/>
      <c r="MLX34" s="678"/>
      <c r="MLY34" s="678"/>
      <c r="MLZ34" s="678"/>
      <c r="MMA34" s="678"/>
      <c r="MMB34" s="678"/>
      <c r="MMC34" s="678"/>
      <c r="MMD34" s="678"/>
      <c r="MME34" s="678"/>
      <c r="MMF34" s="678"/>
      <c r="MMG34" s="678"/>
      <c r="MMH34" s="678"/>
      <c r="MMI34" s="678"/>
      <c r="MMJ34" s="678"/>
      <c r="MMK34" s="678"/>
      <c r="MML34" s="678"/>
      <c r="MMM34" s="678"/>
      <c r="MMN34" s="678"/>
      <c r="MMO34" s="678"/>
      <c r="MMP34" s="678"/>
      <c r="MMQ34" s="678"/>
      <c r="MMR34" s="678"/>
      <c r="MMS34" s="678"/>
      <c r="MMT34" s="678"/>
      <c r="MMU34" s="678"/>
      <c r="MMV34" s="678"/>
      <c r="MMW34" s="678"/>
      <c r="MMX34" s="678"/>
      <c r="MMY34" s="678"/>
      <c r="MMZ34" s="678"/>
      <c r="MNA34" s="678"/>
      <c r="MNB34" s="678"/>
      <c r="MNC34" s="678"/>
      <c r="MND34" s="678"/>
      <c r="MNE34" s="678"/>
      <c r="MNF34" s="678"/>
      <c r="MNG34" s="678"/>
      <c r="MNH34" s="678"/>
      <c r="MNI34" s="678"/>
      <c r="MNJ34" s="678"/>
      <c r="MNK34" s="678"/>
      <c r="MNL34" s="678"/>
      <c r="MNM34" s="678"/>
      <c r="MNN34" s="678"/>
      <c r="MNO34" s="678"/>
      <c r="MNP34" s="678"/>
      <c r="MNQ34" s="678"/>
      <c r="MNR34" s="678"/>
      <c r="MNS34" s="678"/>
      <c r="MNT34" s="678"/>
      <c r="MNU34" s="678"/>
      <c r="MNV34" s="678"/>
      <c r="MNW34" s="678"/>
      <c r="MNX34" s="678"/>
      <c r="MNY34" s="678"/>
      <c r="MNZ34" s="678"/>
      <c r="MOA34" s="678"/>
      <c r="MOB34" s="678"/>
      <c r="MOC34" s="678"/>
      <c r="MOD34" s="678"/>
      <c r="MOE34" s="678"/>
      <c r="MOF34" s="678"/>
      <c r="MOG34" s="678"/>
      <c r="MOH34" s="678"/>
      <c r="MOI34" s="678"/>
      <c r="MOJ34" s="678"/>
      <c r="MOK34" s="678"/>
      <c r="MOL34" s="678"/>
      <c r="MOM34" s="678"/>
      <c r="MON34" s="678"/>
      <c r="MOO34" s="678"/>
      <c r="MOP34" s="678"/>
      <c r="MOQ34" s="678"/>
      <c r="MOR34" s="678"/>
      <c r="MOS34" s="678"/>
      <c r="MOT34" s="678"/>
      <c r="MOU34" s="678"/>
      <c r="MOV34" s="678"/>
      <c r="MOW34" s="678"/>
      <c r="MOX34" s="678"/>
      <c r="MOY34" s="678"/>
      <c r="MOZ34" s="678"/>
      <c r="MPA34" s="678"/>
      <c r="MPB34" s="678"/>
      <c r="MPC34" s="678"/>
      <c r="MPD34" s="678"/>
      <c r="MPE34" s="678"/>
      <c r="MPF34" s="678"/>
      <c r="MPG34" s="678"/>
      <c r="MPH34" s="678"/>
      <c r="MPI34" s="678"/>
      <c r="MPJ34" s="678"/>
      <c r="MPK34" s="678"/>
      <c r="MPL34" s="678"/>
      <c r="MPM34" s="678"/>
      <c r="MPN34" s="678"/>
      <c r="MPO34" s="678"/>
      <c r="MPP34" s="678"/>
      <c r="MPQ34" s="678"/>
      <c r="MPR34" s="678"/>
      <c r="MPS34" s="678"/>
      <c r="MPT34" s="678"/>
      <c r="MPU34" s="678"/>
      <c r="MPV34" s="678"/>
      <c r="MPW34" s="678"/>
      <c r="MPX34" s="678"/>
      <c r="MPY34" s="678"/>
      <c r="MPZ34" s="678"/>
      <c r="MQA34" s="678"/>
      <c r="MQB34" s="678"/>
      <c r="MQC34" s="678"/>
      <c r="MQD34" s="678"/>
      <c r="MQE34" s="678"/>
      <c r="MQF34" s="678"/>
      <c r="MQG34" s="678"/>
      <c r="MQH34" s="678"/>
      <c r="MQI34" s="678"/>
      <c r="MQJ34" s="678"/>
      <c r="MQK34" s="678"/>
      <c r="MQL34" s="678"/>
      <c r="MQM34" s="678"/>
      <c r="MQN34" s="678"/>
      <c r="MQO34" s="678"/>
      <c r="MQP34" s="678"/>
      <c r="MQQ34" s="678"/>
      <c r="MQR34" s="678"/>
      <c r="MQS34" s="678"/>
      <c r="MQT34" s="678"/>
      <c r="MQU34" s="678"/>
      <c r="MQV34" s="678"/>
      <c r="MQW34" s="678"/>
      <c r="MQX34" s="678"/>
      <c r="MQY34" s="678"/>
      <c r="MQZ34" s="678"/>
      <c r="MRA34" s="678"/>
      <c r="MRB34" s="678"/>
      <c r="MRC34" s="678"/>
      <c r="MRD34" s="678"/>
      <c r="MRE34" s="678"/>
      <c r="MRF34" s="678"/>
      <c r="MRG34" s="678"/>
      <c r="MRH34" s="678"/>
      <c r="MRI34" s="678"/>
      <c r="MRJ34" s="678"/>
      <c r="MRK34" s="678"/>
      <c r="MRL34" s="678"/>
      <c r="MRM34" s="678"/>
      <c r="MRN34" s="678"/>
      <c r="MRO34" s="678"/>
      <c r="MRP34" s="678"/>
      <c r="MRQ34" s="678"/>
      <c r="MRR34" s="678"/>
      <c r="MRS34" s="678"/>
      <c r="MRT34" s="678"/>
      <c r="MRU34" s="678"/>
      <c r="MRV34" s="678"/>
      <c r="MRW34" s="678"/>
      <c r="MRX34" s="678"/>
      <c r="MRY34" s="678"/>
      <c r="MRZ34" s="678"/>
      <c r="MSA34" s="678"/>
      <c r="MSB34" s="678"/>
      <c r="MSC34" s="678"/>
      <c r="MSD34" s="678"/>
      <c r="MSE34" s="678"/>
      <c r="MSF34" s="678"/>
      <c r="MSG34" s="678"/>
      <c r="MSH34" s="678"/>
      <c r="MSI34" s="678"/>
      <c r="MSJ34" s="678"/>
      <c r="MSK34" s="678"/>
      <c r="MSL34" s="678"/>
      <c r="MSM34" s="678"/>
      <c r="MSN34" s="678"/>
      <c r="MSO34" s="678"/>
      <c r="MSP34" s="678"/>
      <c r="MSQ34" s="678"/>
      <c r="MSR34" s="678"/>
      <c r="MSS34" s="678"/>
      <c r="MST34" s="678"/>
      <c r="MSU34" s="678"/>
      <c r="MSV34" s="678"/>
      <c r="MSW34" s="678"/>
      <c r="MSX34" s="678"/>
      <c r="MSY34" s="678"/>
      <c r="MSZ34" s="678"/>
      <c r="MTA34" s="678"/>
      <c r="MTB34" s="678"/>
      <c r="MTC34" s="678"/>
      <c r="MTD34" s="678"/>
      <c r="MTE34" s="678"/>
      <c r="MTF34" s="678"/>
      <c r="MTG34" s="678"/>
      <c r="MTH34" s="678"/>
      <c r="MTI34" s="678"/>
      <c r="MTJ34" s="678"/>
      <c r="MTK34" s="678"/>
      <c r="MTL34" s="678"/>
      <c r="MTM34" s="678"/>
      <c r="MTN34" s="678"/>
      <c r="MTO34" s="678"/>
      <c r="MTP34" s="678"/>
      <c r="MTQ34" s="678"/>
      <c r="MTR34" s="678"/>
      <c r="MTS34" s="678"/>
      <c r="MTT34" s="678"/>
      <c r="MTU34" s="678"/>
      <c r="MTV34" s="678"/>
      <c r="MTW34" s="678"/>
      <c r="MTX34" s="678"/>
      <c r="MTY34" s="678"/>
      <c r="MTZ34" s="678"/>
      <c r="MUA34" s="678"/>
      <c r="MUB34" s="678"/>
      <c r="MUC34" s="678"/>
      <c r="MUD34" s="678"/>
      <c r="MUE34" s="678"/>
      <c r="MUF34" s="678"/>
      <c r="MUG34" s="678"/>
      <c r="MUH34" s="678"/>
      <c r="MUI34" s="678"/>
      <c r="MUJ34" s="678"/>
      <c r="MUK34" s="678"/>
      <c r="MUL34" s="678"/>
      <c r="MUM34" s="678"/>
      <c r="MUN34" s="678"/>
      <c r="MUO34" s="678"/>
      <c r="MUP34" s="678"/>
      <c r="MUQ34" s="678"/>
      <c r="MUR34" s="678"/>
      <c r="MUS34" s="678"/>
      <c r="MUT34" s="678"/>
      <c r="MUU34" s="678"/>
      <c r="MUV34" s="678"/>
      <c r="MUW34" s="678"/>
      <c r="MUX34" s="678"/>
      <c r="MUY34" s="678"/>
      <c r="MUZ34" s="678"/>
      <c r="MVA34" s="678"/>
      <c r="MVB34" s="678"/>
      <c r="MVC34" s="678"/>
      <c r="MVD34" s="678"/>
      <c r="MVE34" s="678"/>
      <c r="MVF34" s="678"/>
      <c r="MVG34" s="678"/>
      <c r="MVH34" s="678"/>
      <c r="MVI34" s="678"/>
      <c r="MVJ34" s="678"/>
      <c r="MVK34" s="678"/>
      <c r="MVL34" s="678"/>
      <c r="MVM34" s="678"/>
      <c r="MVN34" s="678"/>
      <c r="MVO34" s="678"/>
      <c r="MVP34" s="678"/>
      <c r="MVQ34" s="678"/>
      <c r="MVR34" s="678"/>
      <c r="MVS34" s="678"/>
      <c r="MVT34" s="678"/>
      <c r="MVU34" s="678"/>
      <c r="MVV34" s="678"/>
      <c r="MVW34" s="678"/>
      <c r="MVX34" s="678"/>
      <c r="MVY34" s="678"/>
      <c r="MVZ34" s="678"/>
      <c r="MWA34" s="678"/>
      <c r="MWB34" s="678"/>
      <c r="MWC34" s="678"/>
      <c r="MWD34" s="678"/>
      <c r="MWE34" s="678"/>
      <c r="MWF34" s="678"/>
      <c r="MWG34" s="678"/>
      <c r="MWH34" s="678"/>
      <c r="MWI34" s="678"/>
      <c r="MWJ34" s="678"/>
      <c r="MWK34" s="678"/>
      <c r="MWL34" s="678"/>
      <c r="MWM34" s="678"/>
      <c r="MWN34" s="678"/>
      <c r="MWO34" s="678"/>
      <c r="MWP34" s="678"/>
      <c r="MWQ34" s="678"/>
      <c r="MWR34" s="678"/>
      <c r="MWS34" s="678"/>
      <c r="MWT34" s="678"/>
      <c r="MWU34" s="678"/>
      <c r="MWV34" s="678"/>
      <c r="MWW34" s="678"/>
      <c r="MWX34" s="678"/>
      <c r="MWY34" s="678"/>
      <c r="MWZ34" s="678"/>
      <c r="MXA34" s="678"/>
      <c r="MXB34" s="678"/>
      <c r="MXC34" s="678"/>
      <c r="MXD34" s="678"/>
      <c r="MXE34" s="678"/>
      <c r="MXF34" s="678"/>
      <c r="MXG34" s="678"/>
      <c r="MXH34" s="678"/>
      <c r="MXI34" s="678"/>
      <c r="MXJ34" s="678"/>
      <c r="MXK34" s="678"/>
      <c r="MXL34" s="678"/>
      <c r="MXM34" s="678"/>
      <c r="MXN34" s="678"/>
      <c r="MXO34" s="678"/>
      <c r="MXP34" s="678"/>
      <c r="MXQ34" s="678"/>
      <c r="MXR34" s="678"/>
      <c r="MXS34" s="678"/>
      <c r="MXT34" s="678"/>
      <c r="MXU34" s="678"/>
      <c r="MXV34" s="678"/>
      <c r="MXW34" s="678"/>
      <c r="MXX34" s="678"/>
      <c r="MXY34" s="678"/>
      <c r="MXZ34" s="678"/>
      <c r="MYA34" s="678"/>
      <c r="MYB34" s="678"/>
      <c r="MYC34" s="678"/>
      <c r="MYD34" s="678"/>
      <c r="MYE34" s="678"/>
      <c r="MYF34" s="678"/>
      <c r="MYG34" s="678"/>
      <c r="MYH34" s="678"/>
      <c r="MYI34" s="678"/>
      <c r="MYJ34" s="678"/>
      <c r="MYK34" s="678"/>
      <c r="MYL34" s="678"/>
      <c r="MYM34" s="678"/>
      <c r="MYN34" s="678"/>
      <c r="MYO34" s="678"/>
      <c r="MYP34" s="678"/>
      <c r="MYQ34" s="678"/>
      <c r="MYR34" s="678"/>
      <c r="MYS34" s="678"/>
      <c r="MYT34" s="678"/>
      <c r="MYU34" s="678"/>
      <c r="MYV34" s="678"/>
      <c r="MYW34" s="678"/>
      <c r="MYX34" s="678"/>
      <c r="MYY34" s="678"/>
      <c r="MYZ34" s="678"/>
      <c r="MZA34" s="678"/>
      <c r="MZB34" s="678"/>
      <c r="MZC34" s="678"/>
      <c r="MZD34" s="678"/>
      <c r="MZE34" s="678"/>
      <c r="MZF34" s="678"/>
      <c r="MZG34" s="678"/>
      <c r="MZH34" s="678"/>
      <c r="MZI34" s="678"/>
      <c r="MZJ34" s="678"/>
      <c r="MZK34" s="678"/>
      <c r="MZL34" s="678"/>
      <c r="MZM34" s="678"/>
      <c r="MZN34" s="678"/>
      <c r="MZO34" s="678"/>
      <c r="MZP34" s="678"/>
      <c r="MZQ34" s="678"/>
      <c r="MZR34" s="678"/>
      <c r="MZS34" s="678"/>
      <c r="MZT34" s="678"/>
      <c r="MZU34" s="678"/>
      <c r="MZV34" s="678"/>
      <c r="MZW34" s="678"/>
      <c r="MZX34" s="678"/>
      <c r="MZY34" s="678"/>
      <c r="MZZ34" s="678"/>
      <c r="NAA34" s="678"/>
      <c r="NAB34" s="678"/>
      <c r="NAC34" s="678"/>
      <c r="NAD34" s="678"/>
      <c r="NAE34" s="678"/>
      <c r="NAF34" s="678"/>
      <c r="NAG34" s="678"/>
      <c r="NAH34" s="678"/>
      <c r="NAI34" s="678"/>
      <c r="NAJ34" s="678"/>
      <c r="NAK34" s="678"/>
      <c r="NAL34" s="678"/>
      <c r="NAM34" s="678"/>
      <c r="NAN34" s="678"/>
      <c r="NAO34" s="678"/>
      <c r="NAP34" s="678"/>
      <c r="NAQ34" s="678"/>
      <c r="NAR34" s="678"/>
      <c r="NAS34" s="678"/>
      <c r="NAT34" s="678"/>
      <c r="NAU34" s="678"/>
      <c r="NAV34" s="678"/>
      <c r="NAW34" s="678"/>
      <c r="NAX34" s="678"/>
      <c r="NAY34" s="678"/>
      <c r="NAZ34" s="678"/>
      <c r="NBA34" s="678"/>
      <c r="NBB34" s="678"/>
      <c r="NBC34" s="678"/>
      <c r="NBD34" s="678"/>
      <c r="NBE34" s="678"/>
      <c r="NBF34" s="678"/>
      <c r="NBG34" s="678"/>
      <c r="NBH34" s="678"/>
      <c r="NBI34" s="678"/>
      <c r="NBJ34" s="678"/>
      <c r="NBK34" s="678"/>
      <c r="NBL34" s="678"/>
      <c r="NBM34" s="678"/>
      <c r="NBN34" s="678"/>
      <c r="NBO34" s="678"/>
      <c r="NBP34" s="678"/>
      <c r="NBQ34" s="678"/>
      <c r="NBR34" s="678"/>
      <c r="NBS34" s="678"/>
      <c r="NBT34" s="678"/>
      <c r="NBU34" s="678"/>
      <c r="NBV34" s="678"/>
      <c r="NBW34" s="678"/>
      <c r="NBX34" s="678"/>
      <c r="NBY34" s="678"/>
      <c r="NBZ34" s="678"/>
      <c r="NCA34" s="678"/>
      <c r="NCB34" s="678"/>
      <c r="NCC34" s="678"/>
      <c r="NCD34" s="678"/>
      <c r="NCE34" s="678"/>
      <c r="NCF34" s="678"/>
      <c r="NCG34" s="678"/>
      <c r="NCH34" s="678"/>
      <c r="NCI34" s="678"/>
      <c r="NCJ34" s="678"/>
      <c r="NCK34" s="678"/>
      <c r="NCL34" s="678"/>
      <c r="NCM34" s="678"/>
      <c r="NCN34" s="678"/>
      <c r="NCO34" s="678"/>
      <c r="NCP34" s="678"/>
      <c r="NCQ34" s="678"/>
      <c r="NCR34" s="678"/>
      <c r="NCS34" s="678"/>
      <c r="NCT34" s="678"/>
      <c r="NCU34" s="678"/>
      <c r="NCV34" s="678"/>
      <c r="NCW34" s="678"/>
      <c r="NCX34" s="678"/>
      <c r="NCY34" s="678"/>
      <c r="NCZ34" s="678"/>
      <c r="NDA34" s="678"/>
      <c r="NDB34" s="678"/>
      <c r="NDC34" s="678"/>
      <c r="NDD34" s="678"/>
      <c r="NDE34" s="678"/>
      <c r="NDF34" s="678"/>
      <c r="NDG34" s="678"/>
      <c r="NDH34" s="678"/>
      <c r="NDI34" s="678"/>
      <c r="NDJ34" s="678"/>
      <c r="NDK34" s="678"/>
      <c r="NDL34" s="678"/>
      <c r="NDM34" s="678"/>
      <c r="NDN34" s="678"/>
      <c r="NDO34" s="678"/>
      <c r="NDP34" s="678"/>
      <c r="NDQ34" s="678"/>
      <c r="NDR34" s="678"/>
      <c r="NDS34" s="678"/>
      <c r="NDT34" s="678"/>
      <c r="NDU34" s="678"/>
      <c r="NDV34" s="678"/>
      <c r="NDW34" s="678"/>
      <c r="NDX34" s="678"/>
      <c r="NDY34" s="678"/>
      <c r="NDZ34" s="678"/>
      <c r="NEA34" s="678"/>
      <c r="NEB34" s="678"/>
      <c r="NEC34" s="678"/>
      <c r="NED34" s="678"/>
      <c r="NEE34" s="678"/>
      <c r="NEF34" s="678"/>
      <c r="NEG34" s="678"/>
      <c r="NEH34" s="678"/>
      <c r="NEI34" s="678"/>
      <c r="NEJ34" s="678"/>
      <c r="NEK34" s="678"/>
      <c r="NEL34" s="678"/>
      <c r="NEM34" s="678"/>
      <c r="NEN34" s="678"/>
      <c r="NEO34" s="678"/>
      <c r="NEP34" s="678"/>
      <c r="NEQ34" s="678"/>
      <c r="NER34" s="678"/>
      <c r="NES34" s="678"/>
      <c r="NET34" s="678"/>
      <c r="NEU34" s="678"/>
      <c r="NEV34" s="678"/>
      <c r="NEW34" s="678"/>
      <c r="NEX34" s="678"/>
      <c r="NEY34" s="678"/>
      <c r="NEZ34" s="678"/>
      <c r="NFA34" s="678"/>
      <c r="NFB34" s="678"/>
      <c r="NFC34" s="678"/>
      <c r="NFD34" s="678"/>
      <c r="NFE34" s="678"/>
      <c r="NFF34" s="678"/>
      <c r="NFG34" s="678"/>
      <c r="NFH34" s="678"/>
      <c r="NFI34" s="678"/>
      <c r="NFJ34" s="678"/>
      <c r="NFK34" s="678"/>
      <c r="NFL34" s="678"/>
      <c r="NFM34" s="678"/>
      <c r="NFN34" s="678"/>
      <c r="NFO34" s="678"/>
      <c r="NFP34" s="678"/>
      <c r="NFQ34" s="678"/>
      <c r="NFR34" s="678"/>
      <c r="NFS34" s="678"/>
      <c r="NFT34" s="678"/>
      <c r="NFU34" s="678"/>
      <c r="NFV34" s="678"/>
      <c r="NFW34" s="678"/>
      <c r="NFX34" s="678"/>
      <c r="NFY34" s="678"/>
      <c r="NFZ34" s="678"/>
      <c r="NGA34" s="678"/>
      <c r="NGB34" s="678"/>
      <c r="NGC34" s="678"/>
      <c r="NGD34" s="678"/>
      <c r="NGE34" s="678"/>
      <c r="NGF34" s="678"/>
      <c r="NGG34" s="678"/>
      <c r="NGH34" s="678"/>
      <c r="NGI34" s="678"/>
      <c r="NGJ34" s="678"/>
      <c r="NGK34" s="678"/>
      <c r="NGL34" s="678"/>
      <c r="NGM34" s="678"/>
      <c r="NGN34" s="678"/>
      <c r="NGO34" s="678"/>
      <c r="NGP34" s="678"/>
      <c r="NGQ34" s="678"/>
      <c r="NGR34" s="678"/>
      <c r="NGS34" s="678"/>
      <c r="NGT34" s="678"/>
      <c r="NGU34" s="678"/>
      <c r="NGV34" s="678"/>
      <c r="NGW34" s="678"/>
      <c r="NGX34" s="678"/>
      <c r="NGY34" s="678"/>
      <c r="NGZ34" s="678"/>
      <c r="NHA34" s="678"/>
      <c r="NHB34" s="678"/>
      <c r="NHC34" s="678"/>
      <c r="NHD34" s="678"/>
      <c r="NHE34" s="678"/>
      <c r="NHF34" s="678"/>
      <c r="NHG34" s="678"/>
      <c r="NHH34" s="678"/>
      <c r="NHI34" s="678"/>
      <c r="NHJ34" s="678"/>
      <c r="NHK34" s="678"/>
      <c r="NHL34" s="678"/>
      <c r="NHM34" s="678"/>
      <c r="NHN34" s="678"/>
      <c r="NHO34" s="678"/>
      <c r="NHP34" s="678"/>
      <c r="NHQ34" s="678"/>
      <c r="NHR34" s="678"/>
      <c r="NHS34" s="678"/>
      <c r="NHT34" s="678"/>
      <c r="NHU34" s="678"/>
      <c r="NHV34" s="678"/>
      <c r="NHW34" s="678"/>
      <c r="NHX34" s="678"/>
      <c r="NHY34" s="678"/>
      <c r="NHZ34" s="678"/>
      <c r="NIA34" s="678"/>
      <c r="NIB34" s="678"/>
      <c r="NIC34" s="678"/>
      <c r="NID34" s="678"/>
      <c r="NIE34" s="678"/>
      <c r="NIF34" s="678"/>
      <c r="NIG34" s="678"/>
      <c r="NIH34" s="678"/>
      <c r="NII34" s="678"/>
      <c r="NIJ34" s="678"/>
      <c r="NIK34" s="678"/>
      <c r="NIL34" s="678"/>
      <c r="NIM34" s="678"/>
      <c r="NIN34" s="678"/>
      <c r="NIO34" s="678"/>
      <c r="NIP34" s="678"/>
      <c r="NIQ34" s="678"/>
      <c r="NIR34" s="678"/>
      <c r="NIS34" s="678"/>
      <c r="NIT34" s="678"/>
      <c r="NIU34" s="678"/>
      <c r="NIV34" s="678"/>
      <c r="NIW34" s="678"/>
      <c r="NIX34" s="678"/>
      <c r="NIY34" s="678"/>
      <c r="NIZ34" s="678"/>
      <c r="NJA34" s="678"/>
      <c r="NJB34" s="678"/>
      <c r="NJC34" s="678"/>
      <c r="NJD34" s="678"/>
      <c r="NJE34" s="678"/>
      <c r="NJF34" s="678"/>
      <c r="NJG34" s="678"/>
      <c r="NJH34" s="678"/>
      <c r="NJI34" s="678"/>
      <c r="NJJ34" s="678"/>
      <c r="NJK34" s="678"/>
      <c r="NJL34" s="678"/>
      <c r="NJM34" s="678"/>
      <c r="NJN34" s="678"/>
      <c r="NJO34" s="678"/>
      <c r="NJP34" s="678"/>
      <c r="NJQ34" s="678"/>
      <c r="NJR34" s="678"/>
      <c r="NJS34" s="678"/>
      <c r="NJT34" s="678"/>
      <c r="NJU34" s="678"/>
      <c r="NJV34" s="678"/>
      <c r="NJW34" s="678"/>
      <c r="NJX34" s="678"/>
      <c r="NJY34" s="678"/>
      <c r="NJZ34" s="678"/>
      <c r="NKA34" s="678"/>
      <c r="NKB34" s="678"/>
      <c r="NKC34" s="678"/>
      <c r="NKD34" s="678"/>
      <c r="NKE34" s="678"/>
      <c r="NKF34" s="678"/>
      <c r="NKG34" s="678"/>
      <c r="NKH34" s="678"/>
      <c r="NKI34" s="678"/>
      <c r="NKJ34" s="678"/>
      <c r="NKK34" s="678"/>
      <c r="NKL34" s="678"/>
      <c r="NKM34" s="678"/>
      <c r="NKN34" s="678"/>
      <c r="NKO34" s="678"/>
      <c r="NKP34" s="678"/>
      <c r="NKQ34" s="678"/>
      <c r="NKR34" s="678"/>
      <c r="NKS34" s="678"/>
      <c r="NKT34" s="678"/>
      <c r="NKU34" s="678"/>
      <c r="NKV34" s="678"/>
      <c r="NKW34" s="678"/>
      <c r="NKX34" s="678"/>
      <c r="NKY34" s="678"/>
      <c r="NKZ34" s="678"/>
      <c r="NLA34" s="678"/>
      <c r="NLB34" s="678"/>
      <c r="NLC34" s="678"/>
      <c r="NLD34" s="678"/>
      <c r="NLE34" s="678"/>
      <c r="NLF34" s="678"/>
      <c r="NLG34" s="678"/>
      <c r="NLH34" s="678"/>
      <c r="NLI34" s="678"/>
      <c r="NLJ34" s="678"/>
      <c r="NLK34" s="678"/>
      <c r="NLL34" s="678"/>
      <c r="NLM34" s="678"/>
      <c r="NLN34" s="678"/>
      <c r="NLO34" s="678"/>
      <c r="NLP34" s="678"/>
      <c r="NLQ34" s="678"/>
      <c r="NLR34" s="678"/>
      <c r="NLS34" s="678"/>
      <c r="NLT34" s="678"/>
      <c r="NLU34" s="678"/>
      <c r="NLV34" s="678"/>
      <c r="NLW34" s="678"/>
      <c r="NLX34" s="678"/>
      <c r="NLY34" s="678"/>
      <c r="NLZ34" s="678"/>
      <c r="NMA34" s="678"/>
      <c r="NMB34" s="678"/>
      <c r="NMC34" s="678"/>
      <c r="NMD34" s="678"/>
      <c r="NME34" s="678"/>
      <c r="NMF34" s="678"/>
      <c r="NMG34" s="678"/>
      <c r="NMH34" s="678"/>
      <c r="NMI34" s="678"/>
      <c r="NMJ34" s="678"/>
      <c r="NMK34" s="678"/>
      <c r="NML34" s="678"/>
      <c r="NMM34" s="678"/>
      <c r="NMN34" s="678"/>
      <c r="NMO34" s="678"/>
      <c r="NMP34" s="678"/>
      <c r="NMQ34" s="678"/>
      <c r="NMR34" s="678"/>
      <c r="NMS34" s="678"/>
      <c r="NMT34" s="678"/>
      <c r="NMU34" s="678"/>
      <c r="NMV34" s="678"/>
      <c r="NMW34" s="678"/>
      <c r="NMX34" s="678"/>
      <c r="NMY34" s="678"/>
      <c r="NMZ34" s="678"/>
      <c r="NNA34" s="678"/>
      <c r="NNB34" s="678"/>
      <c r="NNC34" s="678"/>
      <c r="NND34" s="678"/>
      <c r="NNE34" s="678"/>
      <c r="NNF34" s="678"/>
      <c r="NNG34" s="678"/>
      <c r="NNH34" s="678"/>
      <c r="NNI34" s="678"/>
      <c r="NNJ34" s="678"/>
      <c r="NNK34" s="678"/>
      <c r="NNL34" s="678"/>
      <c r="NNM34" s="678"/>
      <c r="NNN34" s="678"/>
      <c r="NNO34" s="678"/>
      <c r="NNP34" s="678"/>
      <c r="NNQ34" s="678"/>
      <c r="NNR34" s="678"/>
      <c r="NNS34" s="678"/>
      <c r="NNT34" s="678"/>
      <c r="NNU34" s="678"/>
      <c r="NNV34" s="678"/>
      <c r="NNW34" s="678"/>
      <c r="NNX34" s="678"/>
      <c r="NNY34" s="678"/>
      <c r="NNZ34" s="678"/>
      <c r="NOA34" s="678"/>
      <c r="NOB34" s="678"/>
      <c r="NOC34" s="678"/>
      <c r="NOD34" s="678"/>
      <c r="NOE34" s="678"/>
      <c r="NOF34" s="678"/>
      <c r="NOG34" s="678"/>
      <c r="NOH34" s="678"/>
      <c r="NOI34" s="678"/>
      <c r="NOJ34" s="678"/>
      <c r="NOK34" s="678"/>
      <c r="NOL34" s="678"/>
      <c r="NOM34" s="678"/>
      <c r="NON34" s="678"/>
      <c r="NOO34" s="678"/>
      <c r="NOP34" s="678"/>
      <c r="NOQ34" s="678"/>
      <c r="NOR34" s="678"/>
      <c r="NOS34" s="678"/>
      <c r="NOT34" s="678"/>
      <c r="NOU34" s="678"/>
      <c r="NOV34" s="678"/>
      <c r="NOW34" s="678"/>
      <c r="NOX34" s="678"/>
      <c r="NOY34" s="678"/>
      <c r="NOZ34" s="678"/>
      <c r="NPA34" s="678"/>
      <c r="NPB34" s="678"/>
      <c r="NPC34" s="678"/>
      <c r="NPD34" s="678"/>
      <c r="NPE34" s="678"/>
      <c r="NPF34" s="678"/>
      <c r="NPG34" s="678"/>
      <c r="NPH34" s="678"/>
      <c r="NPI34" s="678"/>
      <c r="NPJ34" s="678"/>
      <c r="NPK34" s="678"/>
      <c r="NPL34" s="678"/>
      <c r="NPM34" s="678"/>
      <c r="NPN34" s="678"/>
      <c r="NPO34" s="678"/>
      <c r="NPP34" s="678"/>
      <c r="NPQ34" s="678"/>
      <c r="NPR34" s="678"/>
      <c r="NPS34" s="678"/>
      <c r="NPT34" s="678"/>
      <c r="NPU34" s="678"/>
      <c r="NPV34" s="678"/>
      <c r="NPW34" s="678"/>
      <c r="NPX34" s="678"/>
      <c r="NPY34" s="678"/>
      <c r="NPZ34" s="678"/>
      <c r="NQA34" s="678"/>
      <c r="NQB34" s="678"/>
      <c r="NQC34" s="678"/>
      <c r="NQD34" s="678"/>
      <c r="NQE34" s="678"/>
      <c r="NQF34" s="678"/>
      <c r="NQG34" s="678"/>
      <c r="NQH34" s="678"/>
      <c r="NQI34" s="678"/>
      <c r="NQJ34" s="678"/>
      <c r="NQK34" s="678"/>
      <c r="NQL34" s="678"/>
      <c r="NQM34" s="678"/>
      <c r="NQN34" s="678"/>
      <c r="NQO34" s="678"/>
      <c r="NQP34" s="678"/>
      <c r="NQQ34" s="678"/>
      <c r="NQR34" s="678"/>
      <c r="NQS34" s="678"/>
      <c r="NQT34" s="678"/>
      <c r="NQU34" s="678"/>
      <c r="NQV34" s="678"/>
      <c r="NQW34" s="678"/>
      <c r="NQX34" s="678"/>
      <c r="NQY34" s="678"/>
      <c r="NQZ34" s="678"/>
      <c r="NRA34" s="678"/>
      <c r="NRB34" s="678"/>
      <c r="NRC34" s="678"/>
      <c r="NRD34" s="678"/>
      <c r="NRE34" s="678"/>
      <c r="NRF34" s="678"/>
      <c r="NRG34" s="678"/>
      <c r="NRH34" s="678"/>
      <c r="NRI34" s="678"/>
      <c r="NRJ34" s="678"/>
      <c r="NRK34" s="678"/>
      <c r="NRL34" s="678"/>
      <c r="NRM34" s="678"/>
      <c r="NRN34" s="678"/>
      <c r="NRO34" s="678"/>
      <c r="NRP34" s="678"/>
      <c r="NRQ34" s="678"/>
      <c r="NRR34" s="678"/>
      <c r="NRS34" s="678"/>
      <c r="NRT34" s="678"/>
      <c r="NRU34" s="678"/>
      <c r="NRV34" s="678"/>
      <c r="NRW34" s="678"/>
      <c r="NRX34" s="678"/>
      <c r="NRY34" s="678"/>
      <c r="NRZ34" s="678"/>
      <c r="NSA34" s="678"/>
      <c r="NSB34" s="678"/>
      <c r="NSC34" s="678"/>
      <c r="NSD34" s="678"/>
      <c r="NSE34" s="678"/>
      <c r="NSF34" s="678"/>
      <c r="NSG34" s="678"/>
      <c r="NSH34" s="678"/>
      <c r="NSI34" s="678"/>
      <c r="NSJ34" s="678"/>
      <c r="NSK34" s="678"/>
      <c r="NSL34" s="678"/>
      <c r="NSM34" s="678"/>
      <c r="NSN34" s="678"/>
      <c r="NSO34" s="678"/>
      <c r="NSP34" s="678"/>
      <c r="NSQ34" s="678"/>
      <c r="NSR34" s="678"/>
      <c r="NSS34" s="678"/>
      <c r="NST34" s="678"/>
      <c r="NSU34" s="678"/>
      <c r="NSV34" s="678"/>
      <c r="NSW34" s="678"/>
      <c r="NSX34" s="678"/>
      <c r="NSY34" s="678"/>
      <c r="NSZ34" s="678"/>
      <c r="NTA34" s="678"/>
      <c r="NTB34" s="678"/>
      <c r="NTC34" s="678"/>
      <c r="NTD34" s="678"/>
      <c r="NTE34" s="678"/>
      <c r="NTF34" s="678"/>
      <c r="NTG34" s="678"/>
      <c r="NTH34" s="678"/>
      <c r="NTI34" s="678"/>
      <c r="NTJ34" s="678"/>
      <c r="NTK34" s="678"/>
      <c r="NTL34" s="678"/>
      <c r="NTM34" s="678"/>
      <c r="NTN34" s="678"/>
      <c r="NTO34" s="678"/>
      <c r="NTP34" s="678"/>
      <c r="NTQ34" s="678"/>
      <c r="NTR34" s="678"/>
      <c r="NTS34" s="678"/>
      <c r="NTT34" s="678"/>
      <c r="NTU34" s="678"/>
      <c r="NTV34" s="678"/>
      <c r="NTW34" s="678"/>
      <c r="NTX34" s="678"/>
      <c r="NTY34" s="678"/>
      <c r="NTZ34" s="678"/>
      <c r="NUA34" s="678"/>
      <c r="NUB34" s="678"/>
      <c r="NUC34" s="678"/>
      <c r="NUD34" s="678"/>
      <c r="NUE34" s="678"/>
      <c r="NUF34" s="678"/>
      <c r="NUG34" s="678"/>
      <c r="NUH34" s="678"/>
      <c r="NUI34" s="678"/>
      <c r="NUJ34" s="678"/>
      <c r="NUK34" s="678"/>
      <c r="NUL34" s="678"/>
      <c r="NUM34" s="678"/>
      <c r="NUN34" s="678"/>
      <c r="NUO34" s="678"/>
      <c r="NUP34" s="678"/>
      <c r="NUQ34" s="678"/>
      <c r="NUR34" s="678"/>
      <c r="NUS34" s="678"/>
      <c r="NUT34" s="678"/>
      <c r="NUU34" s="678"/>
      <c r="NUV34" s="678"/>
      <c r="NUW34" s="678"/>
      <c r="NUX34" s="678"/>
      <c r="NUY34" s="678"/>
      <c r="NUZ34" s="678"/>
      <c r="NVA34" s="678"/>
      <c r="NVB34" s="678"/>
      <c r="NVC34" s="678"/>
      <c r="NVD34" s="678"/>
      <c r="NVE34" s="678"/>
      <c r="NVF34" s="678"/>
      <c r="NVG34" s="678"/>
      <c r="NVH34" s="678"/>
      <c r="NVI34" s="678"/>
      <c r="NVJ34" s="678"/>
      <c r="NVK34" s="678"/>
      <c r="NVL34" s="678"/>
      <c r="NVM34" s="678"/>
      <c r="NVN34" s="678"/>
      <c r="NVO34" s="678"/>
      <c r="NVP34" s="678"/>
      <c r="NVQ34" s="678"/>
      <c r="NVR34" s="678"/>
      <c r="NVS34" s="678"/>
      <c r="NVT34" s="678"/>
      <c r="NVU34" s="678"/>
      <c r="NVV34" s="678"/>
      <c r="NVW34" s="678"/>
      <c r="NVX34" s="678"/>
      <c r="NVY34" s="678"/>
      <c r="NVZ34" s="678"/>
      <c r="NWA34" s="678"/>
      <c r="NWB34" s="678"/>
      <c r="NWC34" s="678"/>
      <c r="NWD34" s="678"/>
      <c r="NWE34" s="678"/>
      <c r="NWF34" s="678"/>
      <c r="NWG34" s="678"/>
      <c r="NWH34" s="678"/>
      <c r="NWI34" s="678"/>
      <c r="NWJ34" s="678"/>
      <c r="NWK34" s="678"/>
      <c r="NWL34" s="678"/>
      <c r="NWM34" s="678"/>
      <c r="NWN34" s="678"/>
      <c r="NWO34" s="678"/>
      <c r="NWP34" s="678"/>
      <c r="NWQ34" s="678"/>
      <c r="NWR34" s="678"/>
      <c r="NWS34" s="678"/>
      <c r="NWT34" s="678"/>
      <c r="NWU34" s="678"/>
      <c r="NWV34" s="678"/>
      <c r="NWW34" s="678"/>
      <c r="NWX34" s="678"/>
      <c r="NWY34" s="678"/>
      <c r="NWZ34" s="678"/>
      <c r="NXA34" s="678"/>
      <c r="NXB34" s="678"/>
      <c r="NXC34" s="678"/>
      <c r="NXD34" s="678"/>
      <c r="NXE34" s="678"/>
      <c r="NXF34" s="678"/>
      <c r="NXG34" s="678"/>
      <c r="NXH34" s="678"/>
      <c r="NXI34" s="678"/>
      <c r="NXJ34" s="678"/>
      <c r="NXK34" s="678"/>
      <c r="NXL34" s="678"/>
      <c r="NXM34" s="678"/>
      <c r="NXN34" s="678"/>
      <c r="NXO34" s="678"/>
      <c r="NXP34" s="678"/>
      <c r="NXQ34" s="678"/>
      <c r="NXR34" s="678"/>
      <c r="NXS34" s="678"/>
      <c r="NXT34" s="678"/>
      <c r="NXU34" s="678"/>
      <c r="NXV34" s="678"/>
      <c r="NXW34" s="678"/>
      <c r="NXX34" s="678"/>
      <c r="NXY34" s="678"/>
      <c r="NXZ34" s="678"/>
      <c r="NYA34" s="678"/>
      <c r="NYB34" s="678"/>
      <c r="NYC34" s="678"/>
      <c r="NYD34" s="678"/>
      <c r="NYE34" s="678"/>
      <c r="NYF34" s="678"/>
      <c r="NYG34" s="678"/>
      <c r="NYH34" s="678"/>
      <c r="NYI34" s="678"/>
      <c r="NYJ34" s="678"/>
      <c r="NYK34" s="678"/>
      <c r="NYL34" s="678"/>
      <c r="NYM34" s="678"/>
      <c r="NYN34" s="678"/>
      <c r="NYO34" s="678"/>
      <c r="NYP34" s="678"/>
      <c r="NYQ34" s="678"/>
      <c r="NYR34" s="678"/>
      <c r="NYS34" s="678"/>
      <c r="NYT34" s="678"/>
      <c r="NYU34" s="678"/>
      <c r="NYV34" s="678"/>
      <c r="NYW34" s="678"/>
      <c r="NYX34" s="678"/>
      <c r="NYY34" s="678"/>
      <c r="NYZ34" s="678"/>
      <c r="NZA34" s="678"/>
      <c r="NZB34" s="678"/>
      <c r="NZC34" s="678"/>
      <c r="NZD34" s="678"/>
      <c r="NZE34" s="678"/>
      <c r="NZF34" s="678"/>
      <c r="NZG34" s="678"/>
      <c r="NZH34" s="678"/>
      <c r="NZI34" s="678"/>
      <c r="NZJ34" s="678"/>
      <c r="NZK34" s="678"/>
      <c r="NZL34" s="678"/>
      <c r="NZM34" s="678"/>
      <c r="NZN34" s="678"/>
      <c r="NZO34" s="678"/>
      <c r="NZP34" s="678"/>
      <c r="NZQ34" s="678"/>
      <c r="NZR34" s="678"/>
      <c r="NZS34" s="678"/>
      <c r="NZT34" s="678"/>
      <c r="NZU34" s="678"/>
      <c r="NZV34" s="678"/>
      <c r="NZW34" s="678"/>
      <c r="NZX34" s="678"/>
      <c r="NZY34" s="678"/>
      <c r="NZZ34" s="678"/>
      <c r="OAA34" s="678"/>
      <c r="OAB34" s="678"/>
      <c r="OAC34" s="678"/>
      <c r="OAD34" s="678"/>
      <c r="OAE34" s="678"/>
      <c r="OAF34" s="678"/>
      <c r="OAG34" s="678"/>
      <c r="OAH34" s="678"/>
      <c r="OAI34" s="678"/>
      <c r="OAJ34" s="678"/>
      <c r="OAK34" s="678"/>
      <c r="OAL34" s="678"/>
      <c r="OAM34" s="678"/>
      <c r="OAN34" s="678"/>
      <c r="OAO34" s="678"/>
      <c r="OAP34" s="678"/>
      <c r="OAQ34" s="678"/>
      <c r="OAR34" s="678"/>
      <c r="OAS34" s="678"/>
      <c r="OAT34" s="678"/>
      <c r="OAU34" s="678"/>
      <c r="OAV34" s="678"/>
      <c r="OAW34" s="678"/>
      <c r="OAX34" s="678"/>
      <c r="OAY34" s="678"/>
      <c r="OAZ34" s="678"/>
      <c r="OBA34" s="678"/>
      <c r="OBB34" s="678"/>
      <c r="OBC34" s="678"/>
      <c r="OBD34" s="678"/>
      <c r="OBE34" s="678"/>
      <c r="OBF34" s="678"/>
      <c r="OBG34" s="678"/>
      <c r="OBH34" s="678"/>
      <c r="OBI34" s="678"/>
      <c r="OBJ34" s="678"/>
      <c r="OBK34" s="678"/>
      <c r="OBL34" s="678"/>
      <c r="OBM34" s="678"/>
      <c r="OBN34" s="678"/>
      <c r="OBO34" s="678"/>
      <c r="OBP34" s="678"/>
      <c r="OBQ34" s="678"/>
      <c r="OBR34" s="678"/>
      <c r="OBS34" s="678"/>
      <c r="OBT34" s="678"/>
      <c r="OBU34" s="678"/>
      <c r="OBV34" s="678"/>
      <c r="OBW34" s="678"/>
      <c r="OBX34" s="678"/>
      <c r="OBY34" s="678"/>
      <c r="OBZ34" s="678"/>
      <c r="OCA34" s="678"/>
      <c r="OCB34" s="678"/>
      <c r="OCC34" s="678"/>
      <c r="OCD34" s="678"/>
      <c r="OCE34" s="678"/>
      <c r="OCF34" s="678"/>
      <c r="OCG34" s="678"/>
      <c r="OCH34" s="678"/>
      <c r="OCI34" s="678"/>
      <c r="OCJ34" s="678"/>
      <c r="OCK34" s="678"/>
      <c r="OCL34" s="678"/>
      <c r="OCM34" s="678"/>
      <c r="OCN34" s="678"/>
      <c r="OCO34" s="678"/>
      <c r="OCP34" s="678"/>
      <c r="OCQ34" s="678"/>
      <c r="OCR34" s="678"/>
      <c r="OCS34" s="678"/>
      <c r="OCT34" s="678"/>
      <c r="OCU34" s="678"/>
      <c r="OCV34" s="678"/>
      <c r="OCW34" s="678"/>
      <c r="OCX34" s="678"/>
      <c r="OCY34" s="678"/>
      <c r="OCZ34" s="678"/>
      <c r="ODA34" s="678"/>
      <c r="ODB34" s="678"/>
      <c r="ODC34" s="678"/>
      <c r="ODD34" s="678"/>
      <c r="ODE34" s="678"/>
      <c r="ODF34" s="678"/>
      <c r="ODG34" s="678"/>
      <c r="ODH34" s="678"/>
      <c r="ODI34" s="678"/>
      <c r="ODJ34" s="678"/>
      <c r="ODK34" s="678"/>
      <c r="ODL34" s="678"/>
      <c r="ODM34" s="678"/>
      <c r="ODN34" s="678"/>
      <c r="ODO34" s="678"/>
      <c r="ODP34" s="678"/>
      <c r="ODQ34" s="678"/>
      <c r="ODR34" s="678"/>
      <c r="ODS34" s="678"/>
      <c r="ODT34" s="678"/>
      <c r="ODU34" s="678"/>
      <c r="ODV34" s="678"/>
      <c r="ODW34" s="678"/>
      <c r="ODX34" s="678"/>
      <c r="ODY34" s="678"/>
      <c r="ODZ34" s="678"/>
      <c r="OEA34" s="678"/>
      <c r="OEB34" s="678"/>
      <c r="OEC34" s="678"/>
      <c r="OED34" s="678"/>
      <c r="OEE34" s="678"/>
      <c r="OEF34" s="678"/>
      <c r="OEG34" s="678"/>
      <c r="OEH34" s="678"/>
      <c r="OEI34" s="678"/>
      <c r="OEJ34" s="678"/>
      <c r="OEK34" s="678"/>
      <c r="OEL34" s="678"/>
      <c r="OEM34" s="678"/>
      <c r="OEN34" s="678"/>
      <c r="OEO34" s="678"/>
      <c r="OEP34" s="678"/>
      <c r="OEQ34" s="678"/>
      <c r="OER34" s="678"/>
      <c r="OES34" s="678"/>
      <c r="OET34" s="678"/>
      <c r="OEU34" s="678"/>
      <c r="OEV34" s="678"/>
      <c r="OEW34" s="678"/>
      <c r="OEX34" s="678"/>
      <c r="OEY34" s="678"/>
      <c r="OEZ34" s="678"/>
      <c r="OFA34" s="678"/>
      <c r="OFB34" s="678"/>
      <c r="OFC34" s="678"/>
      <c r="OFD34" s="678"/>
      <c r="OFE34" s="678"/>
      <c r="OFF34" s="678"/>
      <c r="OFG34" s="678"/>
      <c r="OFH34" s="678"/>
      <c r="OFI34" s="678"/>
      <c r="OFJ34" s="678"/>
      <c r="OFK34" s="678"/>
      <c r="OFL34" s="678"/>
      <c r="OFM34" s="678"/>
      <c r="OFN34" s="678"/>
      <c r="OFO34" s="678"/>
      <c r="OFP34" s="678"/>
      <c r="OFQ34" s="678"/>
      <c r="OFR34" s="678"/>
      <c r="OFS34" s="678"/>
      <c r="OFT34" s="678"/>
      <c r="OFU34" s="678"/>
      <c r="OFV34" s="678"/>
      <c r="OFW34" s="678"/>
      <c r="OFX34" s="678"/>
      <c r="OFY34" s="678"/>
      <c r="OFZ34" s="678"/>
      <c r="OGA34" s="678"/>
      <c r="OGB34" s="678"/>
      <c r="OGC34" s="678"/>
      <c r="OGD34" s="678"/>
      <c r="OGE34" s="678"/>
      <c r="OGF34" s="678"/>
      <c r="OGG34" s="678"/>
      <c r="OGH34" s="678"/>
      <c r="OGI34" s="678"/>
      <c r="OGJ34" s="678"/>
      <c r="OGK34" s="678"/>
      <c r="OGL34" s="678"/>
      <c r="OGM34" s="678"/>
      <c r="OGN34" s="678"/>
      <c r="OGO34" s="678"/>
      <c r="OGP34" s="678"/>
      <c r="OGQ34" s="678"/>
      <c r="OGR34" s="678"/>
      <c r="OGS34" s="678"/>
      <c r="OGT34" s="678"/>
      <c r="OGU34" s="678"/>
      <c r="OGV34" s="678"/>
      <c r="OGW34" s="678"/>
      <c r="OGX34" s="678"/>
      <c r="OGY34" s="678"/>
      <c r="OGZ34" s="678"/>
      <c r="OHA34" s="678"/>
      <c r="OHB34" s="678"/>
      <c r="OHC34" s="678"/>
      <c r="OHD34" s="678"/>
      <c r="OHE34" s="678"/>
      <c r="OHF34" s="678"/>
      <c r="OHG34" s="678"/>
      <c r="OHH34" s="678"/>
      <c r="OHI34" s="678"/>
      <c r="OHJ34" s="678"/>
      <c r="OHK34" s="678"/>
      <c r="OHL34" s="678"/>
      <c r="OHM34" s="678"/>
      <c r="OHN34" s="678"/>
      <c r="OHO34" s="678"/>
      <c r="OHP34" s="678"/>
      <c r="OHQ34" s="678"/>
      <c r="OHR34" s="678"/>
      <c r="OHS34" s="678"/>
      <c r="OHT34" s="678"/>
      <c r="OHU34" s="678"/>
      <c r="OHV34" s="678"/>
      <c r="OHW34" s="678"/>
      <c r="OHX34" s="678"/>
      <c r="OHY34" s="678"/>
      <c r="OHZ34" s="678"/>
      <c r="OIA34" s="678"/>
      <c r="OIB34" s="678"/>
      <c r="OIC34" s="678"/>
      <c r="OID34" s="678"/>
      <c r="OIE34" s="678"/>
      <c r="OIF34" s="678"/>
      <c r="OIG34" s="678"/>
      <c r="OIH34" s="678"/>
      <c r="OII34" s="678"/>
      <c r="OIJ34" s="678"/>
      <c r="OIK34" s="678"/>
      <c r="OIL34" s="678"/>
      <c r="OIM34" s="678"/>
      <c r="OIN34" s="678"/>
      <c r="OIO34" s="678"/>
      <c r="OIP34" s="678"/>
      <c r="OIQ34" s="678"/>
      <c r="OIR34" s="678"/>
      <c r="OIS34" s="678"/>
      <c r="OIT34" s="678"/>
      <c r="OIU34" s="678"/>
      <c r="OIV34" s="678"/>
      <c r="OIW34" s="678"/>
      <c r="OIX34" s="678"/>
      <c r="OIY34" s="678"/>
      <c r="OIZ34" s="678"/>
      <c r="OJA34" s="678"/>
      <c r="OJB34" s="678"/>
      <c r="OJC34" s="678"/>
      <c r="OJD34" s="678"/>
      <c r="OJE34" s="678"/>
      <c r="OJF34" s="678"/>
      <c r="OJG34" s="678"/>
      <c r="OJH34" s="678"/>
      <c r="OJI34" s="678"/>
      <c r="OJJ34" s="678"/>
      <c r="OJK34" s="678"/>
      <c r="OJL34" s="678"/>
      <c r="OJM34" s="678"/>
      <c r="OJN34" s="678"/>
      <c r="OJO34" s="678"/>
      <c r="OJP34" s="678"/>
      <c r="OJQ34" s="678"/>
      <c r="OJR34" s="678"/>
      <c r="OJS34" s="678"/>
      <c r="OJT34" s="678"/>
      <c r="OJU34" s="678"/>
      <c r="OJV34" s="678"/>
      <c r="OJW34" s="678"/>
      <c r="OJX34" s="678"/>
      <c r="OJY34" s="678"/>
      <c r="OJZ34" s="678"/>
      <c r="OKA34" s="678"/>
      <c r="OKB34" s="678"/>
      <c r="OKC34" s="678"/>
      <c r="OKD34" s="678"/>
      <c r="OKE34" s="678"/>
      <c r="OKF34" s="678"/>
      <c r="OKG34" s="678"/>
      <c r="OKH34" s="678"/>
      <c r="OKI34" s="678"/>
      <c r="OKJ34" s="678"/>
      <c r="OKK34" s="678"/>
      <c r="OKL34" s="678"/>
      <c r="OKM34" s="678"/>
      <c r="OKN34" s="678"/>
      <c r="OKO34" s="678"/>
      <c r="OKP34" s="678"/>
      <c r="OKQ34" s="678"/>
      <c r="OKR34" s="678"/>
      <c r="OKS34" s="678"/>
      <c r="OKT34" s="678"/>
      <c r="OKU34" s="678"/>
      <c r="OKV34" s="678"/>
      <c r="OKW34" s="678"/>
      <c r="OKX34" s="678"/>
      <c r="OKY34" s="678"/>
      <c r="OKZ34" s="678"/>
      <c r="OLA34" s="678"/>
      <c r="OLB34" s="678"/>
      <c r="OLC34" s="678"/>
      <c r="OLD34" s="678"/>
      <c r="OLE34" s="678"/>
      <c r="OLF34" s="678"/>
      <c r="OLG34" s="678"/>
      <c r="OLH34" s="678"/>
      <c r="OLI34" s="678"/>
      <c r="OLJ34" s="678"/>
      <c r="OLK34" s="678"/>
      <c r="OLL34" s="678"/>
      <c r="OLM34" s="678"/>
      <c r="OLN34" s="678"/>
      <c r="OLO34" s="678"/>
      <c r="OLP34" s="678"/>
      <c r="OLQ34" s="678"/>
      <c r="OLR34" s="678"/>
      <c r="OLS34" s="678"/>
      <c r="OLT34" s="678"/>
      <c r="OLU34" s="678"/>
      <c r="OLV34" s="678"/>
      <c r="OLW34" s="678"/>
      <c r="OLX34" s="678"/>
      <c r="OLY34" s="678"/>
      <c r="OLZ34" s="678"/>
      <c r="OMA34" s="678"/>
      <c r="OMB34" s="678"/>
      <c r="OMC34" s="678"/>
      <c r="OMD34" s="678"/>
      <c r="OME34" s="678"/>
      <c r="OMF34" s="678"/>
      <c r="OMG34" s="678"/>
      <c r="OMH34" s="678"/>
      <c r="OMI34" s="678"/>
      <c r="OMJ34" s="678"/>
      <c r="OMK34" s="678"/>
      <c r="OML34" s="678"/>
      <c r="OMM34" s="678"/>
      <c r="OMN34" s="678"/>
      <c r="OMO34" s="678"/>
      <c r="OMP34" s="678"/>
      <c r="OMQ34" s="678"/>
      <c r="OMR34" s="678"/>
      <c r="OMS34" s="678"/>
      <c r="OMT34" s="678"/>
      <c r="OMU34" s="678"/>
      <c r="OMV34" s="678"/>
      <c r="OMW34" s="678"/>
      <c r="OMX34" s="678"/>
      <c r="OMY34" s="678"/>
      <c r="OMZ34" s="678"/>
      <c r="ONA34" s="678"/>
      <c r="ONB34" s="678"/>
      <c r="ONC34" s="678"/>
      <c r="OND34" s="678"/>
      <c r="ONE34" s="678"/>
      <c r="ONF34" s="678"/>
      <c r="ONG34" s="678"/>
      <c r="ONH34" s="678"/>
      <c r="ONI34" s="678"/>
      <c r="ONJ34" s="678"/>
      <c r="ONK34" s="678"/>
      <c r="ONL34" s="678"/>
      <c r="ONM34" s="678"/>
      <c r="ONN34" s="678"/>
      <c r="ONO34" s="678"/>
      <c r="ONP34" s="678"/>
      <c r="ONQ34" s="678"/>
      <c r="ONR34" s="678"/>
      <c r="ONS34" s="678"/>
      <c r="ONT34" s="678"/>
      <c r="ONU34" s="678"/>
      <c r="ONV34" s="678"/>
      <c r="ONW34" s="678"/>
      <c r="ONX34" s="678"/>
      <c r="ONY34" s="678"/>
      <c r="ONZ34" s="678"/>
      <c r="OOA34" s="678"/>
      <c r="OOB34" s="678"/>
      <c r="OOC34" s="678"/>
      <c r="OOD34" s="678"/>
      <c r="OOE34" s="678"/>
      <c r="OOF34" s="678"/>
      <c r="OOG34" s="678"/>
      <c r="OOH34" s="678"/>
      <c r="OOI34" s="678"/>
      <c r="OOJ34" s="678"/>
      <c r="OOK34" s="678"/>
      <c r="OOL34" s="678"/>
      <c r="OOM34" s="678"/>
      <c r="OON34" s="678"/>
      <c r="OOO34" s="678"/>
      <c r="OOP34" s="678"/>
      <c r="OOQ34" s="678"/>
      <c r="OOR34" s="678"/>
      <c r="OOS34" s="678"/>
      <c r="OOT34" s="678"/>
      <c r="OOU34" s="678"/>
      <c r="OOV34" s="678"/>
      <c r="OOW34" s="678"/>
      <c r="OOX34" s="678"/>
      <c r="OOY34" s="678"/>
      <c r="OOZ34" s="678"/>
      <c r="OPA34" s="678"/>
      <c r="OPB34" s="678"/>
      <c r="OPC34" s="678"/>
      <c r="OPD34" s="678"/>
      <c r="OPE34" s="678"/>
      <c r="OPF34" s="678"/>
      <c r="OPG34" s="678"/>
      <c r="OPH34" s="678"/>
      <c r="OPI34" s="678"/>
      <c r="OPJ34" s="678"/>
      <c r="OPK34" s="678"/>
      <c r="OPL34" s="678"/>
      <c r="OPM34" s="678"/>
      <c r="OPN34" s="678"/>
      <c r="OPO34" s="678"/>
      <c r="OPP34" s="678"/>
      <c r="OPQ34" s="678"/>
      <c r="OPR34" s="678"/>
      <c r="OPS34" s="678"/>
      <c r="OPT34" s="678"/>
      <c r="OPU34" s="678"/>
      <c r="OPV34" s="678"/>
      <c r="OPW34" s="678"/>
      <c r="OPX34" s="678"/>
      <c r="OPY34" s="678"/>
      <c r="OPZ34" s="678"/>
      <c r="OQA34" s="678"/>
      <c r="OQB34" s="678"/>
      <c r="OQC34" s="678"/>
      <c r="OQD34" s="678"/>
      <c r="OQE34" s="678"/>
      <c r="OQF34" s="678"/>
      <c r="OQG34" s="678"/>
      <c r="OQH34" s="678"/>
      <c r="OQI34" s="678"/>
      <c r="OQJ34" s="678"/>
      <c r="OQK34" s="678"/>
      <c r="OQL34" s="678"/>
      <c r="OQM34" s="678"/>
      <c r="OQN34" s="678"/>
      <c r="OQO34" s="678"/>
      <c r="OQP34" s="678"/>
      <c r="OQQ34" s="678"/>
      <c r="OQR34" s="678"/>
      <c r="OQS34" s="678"/>
      <c r="OQT34" s="678"/>
      <c r="OQU34" s="678"/>
      <c r="OQV34" s="678"/>
      <c r="OQW34" s="678"/>
      <c r="OQX34" s="678"/>
      <c r="OQY34" s="678"/>
      <c r="OQZ34" s="678"/>
      <c r="ORA34" s="678"/>
      <c r="ORB34" s="678"/>
      <c r="ORC34" s="678"/>
      <c r="ORD34" s="678"/>
      <c r="ORE34" s="678"/>
      <c r="ORF34" s="678"/>
      <c r="ORG34" s="678"/>
      <c r="ORH34" s="678"/>
      <c r="ORI34" s="678"/>
      <c r="ORJ34" s="678"/>
      <c r="ORK34" s="678"/>
      <c r="ORL34" s="678"/>
      <c r="ORM34" s="678"/>
      <c r="ORN34" s="678"/>
      <c r="ORO34" s="678"/>
      <c r="ORP34" s="678"/>
      <c r="ORQ34" s="678"/>
      <c r="ORR34" s="678"/>
      <c r="ORS34" s="678"/>
      <c r="ORT34" s="678"/>
      <c r="ORU34" s="678"/>
      <c r="ORV34" s="678"/>
      <c r="ORW34" s="678"/>
      <c r="ORX34" s="678"/>
      <c r="ORY34" s="678"/>
      <c r="ORZ34" s="678"/>
      <c r="OSA34" s="678"/>
      <c r="OSB34" s="678"/>
      <c r="OSC34" s="678"/>
      <c r="OSD34" s="678"/>
      <c r="OSE34" s="678"/>
      <c r="OSF34" s="678"/>
      <c r="OSG34" s="678"/>
      <c r="OSH34" s="678"/>
      <c r="OSI34" s="678"/>
      <c r="OSJ34" s="678"/>
      <c r="OSK34" s="678"/>
      <c r="OSL34" s="678"/>
      <c r="OSM34" s="678"/>
      <c r="OSN34" s="678"/>
      <c r="OSO34" s="678"/>
      <c r="OSP34" s="678"/>
      <c r="OSQ34" s="678"/>
      <c r="OSR34" s="678"/>
      <c r="OSS34" s="678"/>
      <c r="OST34" s="678"/>
      <c r="OSU34" s="678"/>
      <c r="OSV34" s="678"/>
      <c r="OSW34" s="678"/>
      <c r="OSX34" s="678"/>
      <c r="OSY34" s="678"/>
      <c r="OSZ34" s="678"/>
      <c r="OTA34" s="678"/>
      <c r="OTB34" s="678"/>
      <c r="OTC34" s="678"/>
      <c r="OTD34" s="678"/>
      <c r="OTE34" s="678"/>
      <c r="OTF34" s="678"/>
      <c r="OTG34" s="678"/>
      <c r="OTH34" s="678"/>
      <c r="OTI34" s="678"/>
      <c r="OTJ34" s="678"/>
      <c r="OTK34" s="678"/>
      <c r="OTL34" s="678"/>
      <c r="OTM34" s="678"/>
      <c r="OTN34" s="678"/>
      <c r="OTO34" s="678"/>
      <c r="OTP34" s="678"/>
      <c r="OTQ34" s="678"/>
      <c r="OTR34" s="678"/>
      <c r="OTS34" s="678"/>
      <c r="OTT34" s="678"/>
      <c r="OTU34" s="678"/>
      <c r="OTV34" s="678"/>
      <c r="OTW34" s="678"/>
      <c r="OTX34" s="678"/>
      <c r="OTY34" s="678"/>
      <c r="OTZ34" s="678"/>
      <c r="OUA34" s="678"/>
      <c r="OUB34" s="678"/>
      <c r="OUC34" s="678"/>
      <c r="OUD34" s="678"/>
      <c r="OUE34" s="678"/>
      <c r="OUF34" s="678"/>
      <c r="OUG34" s="678"/>
      <c r="OUH34" s="678"/>
      <c r="OUI34" s="678"/>
      <c r="OUJ34" s="678"/>
      <c r="OUK34" s="678"/>
      <c r="OUL34" s="678"/>
      <c r="OUM34" s="678"/>
      <c r="OUN34" s="678"/>
      <c r="OUO34" s="678"/>
      <c r="OUP34" s="678"/>
      <c r="OUQ34" s="678"/>
      <c r="OUR34" s="678"/>
      <c r="OUS34" s="678"/>
      <c r="OUT34" s="678"/>
      <c r="OUU34" s="678"/>
      <c r="OUV34" s="678"/>
      <c r="OUW34" s="678"/>
      <c r="OUX34" s="678"/>
      <c r="OUY34" s="678"/>
      <c r="OUZ34" s="678"/>
      <c r="OVA34" s="678"/>
      <c r="OVB34" s="678"/>
      <c r="OVC34" s="678"/>
      <c r="OVD34" s="678"/>
      <c r="OVE34" s="678"/>
      <c r="OVF34" s="678"/>
      <c r="OVG34" s="678"/>
      <c r="OVH34" s="678"/>
      <c r="OVI34" s="678"/>
      <c r="OVJ34" s="678"/>
      <c r="OVK34" s="678"/>
      <c r="OVL34" s="678"/>
      <c r="OVM34" s="678"/>
      <c r="OVN34" s="678"/>
      <c r="OVO34" s="678"/>
      <c r="OVP34" s="678"/>
      <c r="OVQ34" s="678"/>
      <c r="OVR34" s="678"/>
      <c r="OVS34" s="678"/>
      <c r="OVT34" s="678"/>
      <c r="OVU34" s="678"/>
      <c r="OVV34" s="678"/>
      <c r="OVW34" s="678"/>
      <c r="OVX34" s="678"/>
      <c r="OVY34" s="678"/>
      <c r="OVZ34" s="678"/>
      <c r="OWA34" s="678"/>
      <c r="OWB34" s="678"/>
      <c r="OWC34" s="678"/>
      <c r="OWD34" s="678"/>
      <c r="OWE34" s="678"/>
      <c r="OWF34" s="678"/>
      <c r="OWG34" s="678"/>
      <c r="OWH34" s="678"/>
      <c r="OWI34" s="678"/>
      <c r="OWJ34" s="678"/>
      <c r="OWK34" s="678"/>
      <c r="OWL34" s="678"/>
      <c r="OWM34" s="678"/>
      <c r="OWN34" s="678"/>
      <c r="OWO34" s="678"/>
      <c r="OWP34" s="678"/>
      <c r="OWQ34" s="678"/>
      <c r="OWR34" s="678"/>
      <c r="OWS34" s="678"/>
      <c r="OWT34" s="678"/>
      <c r="OWU34" s="678"/>
      <c r="OWV34" s="678"/>
      <c r="OWW34" s="678"/>
      <c r="OWX34" s="678"/>
      <c r="OWY34" s="678"/>
      <c r="OWZ34" s="678"/>
      <c r="OXA34" s="678"/>
      <c r="OXB34" s="678"/>
      <c r="OXC34" s="678"/>
      <c r="OXD34" s="678"/>
      <c r="OXE34" s="678"/>
      <c r="OXF34" s="678"/>
      <c r="OXG34" s="678"/>
      <c r="OXH34" s="678"/>
      <c r="OXI34" s="678"/>
      <c r="OXJ34" s="678"/>
      <c r="OXK34" s="678"/>
      <c r="OXL34" s="678"/>
      <c r="OXM34" s="678"/>
      <c r="OXN34" s="678"/>
      <c r="OXO34" s="678"/>
      <c r="OXP34" s="678"/>
      <c r="OXQ34" s="678"/>
      <c r="OXR34" s="678"/>
      <c r="OXS34" s="678"/>
      <c r="OXT34" s="678"/>
      <c r="OXU34" s="678"/>
      <c r="OXV34" s="678"/>
      <c r="OXW34" s="678"/>
      <c r="OXX34" s="678"/>
      <c r="OXY34" s="678"/>
      <c r="OXZ34" s="678"/>
      <c r="OYA34" s="678"/>
      <c r="OYB34" s="678"/>
      <c r="OYC34" s="678"/>
      <c r="OYD34" s="678"/>
      <c r="OYE34" s="678"/>
      <c r="OYF34" s="678"/>
      <c r="OYG34" s="678"/>
      <c r="OYH34" s="678"/>
      <c r="OYI34" s="678"/>
      <c r="OYJ34" s="678"/>
      <c r="OYK34" s="678"/>
      <c r="OYL34" s="678"/>
      <c r="OYM34" s="678"/>
      <c r="OYN34" s="678"/>
      <c r="OYO34" s="678"/>
      <c r="OYP34" s="678"/>
      <c r="OYQ34" s="678"/>
      <c r="OYR34" s="678"/>
      <c r="OYS34" s="678"/>
      <c r="OYT34" s="678"/>
      <c r="OYU34" s="678"/>
      <c r="OYV34" s="678"/>
      <c r="OYW34" s="678"/>
      <c r="OYX34" s="678"/>
      <c r="OYY34" s="678"/>
      <c r="OYZ34" s="678"/>
      <c r="OZA34" s="678"/>
      <c r="OZB34" s="678"/>
      <c r="OZC34" s="678"/>
      <c r="OZD34" s="678"/>
      <c r="OZE34" s="678"/>
      <c r="OZF34" s="678"/>
      <c r="OZG34" s="678"/>
      <c r="OZH34" s="678"/>
      <c r="OZI34" s="678"/>
      <c r="OZJ34" s="678"/>
      <c r="OZK34" s="678"/>
      <c r="OZL34" s="678"/>
      <c r="OZM34" s="678"/>
      <c r="OZN34" s="678"/>
      <c r="OZO34" s="678"/>
      <c r="OZP34" s="678"/>
      <c r="OZQ34" s="678"/>
      <c r="OZR34" s="678"/>
      <c r="OZS34" s="678"/>
      <c r="OZT34" s="678"/>
      <c r="OZU34" s="678"/>
      <c r="OZV34" s="678"/>
      <c r="OZW34" s="678"/>
      <c r="OZX34" s="678"/>
      <c r="OZY34" s="678"/>
      <c r="OZZ34" s="678"/>
      <c r="PAA34" s="678"/>
      <c r="PAB34" s="678"/>
      <c r="PAC34" s="678"/>
      <c r="PAD34" s="678"/>
      <c r="PAE34" s="678"/>
      <c r="PAF34" s="678"/>
      <c r="PAG34" s="678"/>
      <c r="PAH34" s="678"/>
      <c r="PAI34" s="678"/>
      <c r="PAJ34" s="678"/>
      <c r="PAK34" s="678"/>
      <c r="PAL34" s="678"/>
      <c r="PAM34" s="678"/>
      <c r="PAN34" s="678"/>
      <c r="PAO34" s="678"/>
      <c r="PAP34" s="678"/>
      <c r="PAQ34" s="678"/>
      <c r="PAR34" s="678"/>
      <c r="PAS34" s="678"/>
      <c r="PAT34" s="678"/>
      <c r="PAU34" s="678"/>
      <c r="PAV34" s="678"/>
      <c r="PAW34" s="678"/>
      <c r="PAX34" s="678"/>
      <c r="PAY34" s="678"/>
      <c r="PAZ34" s="678"/>
      <c r="PBA34" s="678"/>
      <c r="PBB34" s="678"/>
      <c r="PBC34" s="678"/>
      <c r="PBD34" s="678"/>
      <c r="PBE34" s="678"/>
      <c r="PBF34" s="678"/>
      <c r="PBG34" s="678"/>
      <c r="PBH34" s="678"/>
      <c r="PBI34" s="678"/>
      <c r="PBJ34" s="678"/>
      <c r="PBK34" s="678"/>
      <c r="PBL34" s="678"/>
      <c r="PBM34" s="678"/>
      <c r="PBN34" s="678"/>
      <c r="PBO34" s="678"/>
      <c r="PBP34" s="678"/>
      <c r="PBQ34" s="678"/>
      <c r="PBR34" s="678"/>
      <c r="PBS34" s="678"/>
      <c r="PBT34" s="678"/>
      <c r="PBU34" s="678"/>
      <c r="PBV34" s="678"/>
      <c r="PBW34" s="678"/>
      <c r="PBX34" s="678"/>
      <c r="PBY34" s="678"/>
      <c r="PBZ34" s="678"/>
      <c r="PCA34" s="678"/>
      <c r="PCB34" s="678"/>
      <c r="PCC34" s="678"/>
      <c r="PCD34" s="678"/>
      <c r="PCE34" s="678"/>
      <c r="PCF34" s="678"/>
      <c r="PCG34" s="678"/>
      <c r="PCH34" s="678"/>
      <c r="PCI34" s="678"/>
      <c r="PCJ34" s="678"/>
      <c r="PCK34" s="678"/>
      <c r="PCL34" s="678"/>
      <c r="PCM34" s="678"/>
      <c r="PCN34" s="678"/>
      <c r="PCO34" s="678"/>
      <c r="PCP34" s="678"/>
      <c r="PCQ34" s="678"/>
      <c r="PCR34" s="678"/>
      <c r="PCS34" s="678"/>
      <c r="PCT34" s="678"/>
      <c r="PCU34" s="678"/>
      <c r="PCV34" s="678"/>
      <c r="PCW34" s="678"/>
      <c r="PCX34" s="678"/>
      <c r="PCY34" s="678"/>
      <c r="PCZ34" s="678"/>
      <c r="PDA34" s="678"/>
      <c r="PDB34" s="678"/>
      <c r="PDC34" s="678"/>
      <c r="PDD34" s="678"/>
      <c r="PDE34" s="678"/>
      <c r="PDF34" s="678"/>
      <c r="PDG34" s="678"/>
      <c r="PDH34" s="678"/>
      <c r="PDI34" s="678"/>
      <c r="PDJ34" s="678"/>
      <c r="PDK34" s="678"/>
      <c r="PDL34" s="678"/>
      <c r="PDM34" s="678"/>
      <c r="PDN34" s="678"/>
      <c r="PDO34" s="678"/>
      <c r="PDP34" s="678"/>
      <c r="PDQ34" s="678"/>
      <c r="PDR34" s="678"/>
      <c r="PDS34" s="678"/>
      <c r="PDT34" s="678"/>
      <c r="PDU34" s="678"/>
      <c r="PDV34" s="678"/>
      <c r="PDW34" s="678"/>
      <c r="PDX34" s="678"/>
      <c r="PDY34" s="678"/>
      <c r="PDZ34" s="678"/>
      <c r="PEA34" s="678"/>
      <c r="PEB34" s="678"/>
      <c r="PEC34" s="678"/>
      <c r="PED34" s="678"/>
      <c r="PEE34" s="678"/>
      <c r="PEF34" s="678"/>
      <c r="PEG34" s="678"/>
      <c r="PEH34" s="678"/>
      <c r="PEI34" s="678"/>
      <c r="PEJ34" s="678"/>
      <c r="PEK34" s="678"/>
      <c r="PEL34" s="678"/>
      <c r="PEM34" s="678"/>
      <c r="PEN34" s="678"/>
      <c r="PEO34" s="678"/>
      <c r="PEP34" s="678"/>
      <c r="PEQ34" s="678"/>
      <c r="PER34" s="678"/>
      <c r="PES34" s="678"/>
      <c r="PET34" s="678"/>
      <c r="PEU34" s="678"/>
      <c r="PEV34" s="678"/>
      <c r="PEW34" s="678"/>
      <c r="PEX34" s="678"/>
      <c r="PEY34" s="678"/>
      <c r="PEZ34" s="678"/>
      <c r="PFA34" s="678"/>
      <c r="PFB34" s="678"/>
      <c r="PFC34" s="678"/>
      <c r="PFD34" s="678"/>
      <c r="PFE34" s="678"/>
      <c r="PFF34" s="678"/>
      <c r="PFG34" s="678"/>
      <c r="PFH34" s="678"/>
      <c r="PFI34" s="678"/>
      <c r="PFJ34" s="678"/>
      <c r="PFK34" s="678"/>
      <c r="PFL34" s="678"/>
      <c r="PFM34" s="678"/>
      <c r="PFN34" s="678"/>
      <c r="PFO34" s="678"/>
      <c r="PFP34" s="678"/>
      <c r="PFQ34" s="678"/>
      <c r="PFR34" s="678"/>
      <c r="PFS34" s="678"/>
      <c r="PFT34" s="678"/>
      <c r="PFU34" s="678"/>
      <c r="PFV34" s="678"/>
      <c r="PFW34" s="678"/>
      <c r="PFX34" s="678"/>
      <c r="PFY34" s="678"/>
      <c r="PFZ34" s="678"/>
      <c r="PGA34" s="678"/>
      <c r="PGB34" s="678"/>
      <c r="PGC34" s="678"/>
      <c r="PGD34" s="678"/>
      <c r="PGE34" s="678"/>
      <c r="PGF34" s="678"/>
      <c r="PGG34" s="678"/>
      <c r="PGH34" s="678"/>
      <c r="PGI34" s="678"/>
      <c r="PGJ34" s="678"/>
      <c r="PGK34" s="678"/>
      <c r="PGL34" s="678"/>
      <c r="PGM34" s="678"/>
      <c r="PGN34" s="678"/>
      <c r="PGO34" s="678"/>
      <c r="PGP34" s="678"/>
      <c r="PGQ34" s="678"/>
      <c r="PGR34" s="678"/>
      <c r="PGS34" s="678"/>
      <c r="PGT34" s="678"/>
      <c r="PGU34" s="678"/>
      <c r="PGV34" s="678"/>
      <c r="PGW34" s="678"/>
      <c r="PGX34" s="678"/>
      <c r="PGY34" s="678"/>
      <c r="PGZ34" s="678"/>
      <c r="PHA34" s="678"/>
      <c r="PHB34" s="678"/>
      <c r="PHC34" s="678"/>
      <c r="PHD34" s="678"/>
      <c r="PHE34" s="678"/>
      <c r="PHF34" s="678"/>
      <c r="PHG34" s="678"/>
      <c r="PHH34" s="678"/>
      <c r="PHI34" s="678"/>
      <c r="PHJ34" s="678"/>
      <c r="PHK34" s="678"/>
      <c r="PHL34" s="678"/>
      <c r="PHM34" s="678"/>
      <c r="PHN34" s="678"/>
      <c r="PHO34" s="678"/>
      <c r="PHP34" s="678"/>
      <c r="PHQ34" s="678"/>
      <c r="PHR34" s="678"/>
      <c r="PHS34" s="678"/>
      <c r="PHT34" s="678"/>
      <c r="PHU34" s="678"/>
      <c r="PHV34" s="678"/>
      <c r="PHW34" s="678"/>
      <c r="PHX34" s="678"/>
      <c r="PHY34" s="678"/>
      <c r="PHZ34" s="678"/>
      <c r="PIA34" s="678"/>
      <c r="PIB34" s="678"/>
      <c r="PIC34" s="678"/>
      <c r="PID34" s="678"/>
      <c r="PIE34" s="678"/>
      <c r="PIF34" s="678"/>
      <c r="PIG34" s="678"/>
      <c r="PIH34" s="678"/>
      <c r="PII34" s="678"/>
      <c r="PIJ34" s="678"/>
      <c r="PIK34" s="678"/>
      <c r="PIL34" s="678"/>
      <c r="PIM34" s="678"/>
      <c r="PIN34" s="678"/>
      <c r="PIO34" s="678"/>
      <c r="PIP34" s="678"/>
      <c r="PIQ34" s="678"/>
      <c r="PIR34" s="678"/>
      <c r="PIS34" s="678"/>
      <c r="PIT34" s="678"/>
      <c r="PIU34" s="678"/>
      <c r="PIV34" s="678"/>
      <c r="PIW34" s="678"/>
      <c r="PIX34" s="678"/>
      <c r="PIY34" s="678"/>
      <c r="PIZ34" s="678"/>
      <c r="PJA34" s="678"/>
      <c r="PJB34" s="678"/>
      <c r="PJC34" s="678"/>
      <c r="PJD34" s="678"/>
      <c r="PJE34" s="678"/>
      <c r="PJF34" s="678"/>
      <c r="PJG34" s="678"/>
      <c r="PJH34" s="678"/>
      <c r="PJI34" s="678"/>
      <c r="PJJ34" s="678"/>
      <c r="PJK34" s="678"/>
      <c r="PJL34" s="678"/>
      <c r="PJM34" s="678"/>
      <c r="PJN34" s="678"/>
      <c r="PJO34" s="678"/>
      <c r="PJP34" s="678"/>
      <c r="PJQ34" s="678"/>
      <c r="PJR34" s="678"/>
      <c r="PJS34" s="678"/>
      <c r="PJT34" s="678"/>
      <c r="PJU34" s="678"/>
      <c r="PJV34" s="678"/>
      <c r="PJW34" s="678"/>
      <c r="PJX34" s="678"/>
      <c r="PJY34" s="678"/>
      <c r="PJZ34" s="678"/>
      <c r="PKA34" s="678"/>
      <c r="PKB34" s="678"/>
      <c r="PKC34" s="678"/>
      <c r="PKD34" s="678"/>
      <c r="PKE34" s="678"/>
      <c r="PKF34" s="678"/>
      <c r="PKG34" s="678"/>
      <c r="PKH34" s="678"/>
      <c r="PKI34" s="678"/>
      <c r="PKJ34" s="678"/>
      <c r="PKK34" s="678"/>
      <c r="PKL34" s="678"/>
      <c r="PKM34" s="678"/>
      <c r="PKN34" s="678"/>
      <c r="PKO34" s="678"/>
      <c r="PKP34" s="678"/>
      <c r="PKQ34" s="678"/>
      <c r="PKR34" s="678"/>
      <c r="PKS34" s="678"/>
      <c r="PKT34" s="678"/>
      <c r="PKU34" s="678"/>
      <c r="PKV34" s="678"/>
      <c r="PKW34" s="678"/>
      <c r="PKX34" s="678"/>
      <c r="PKY34" s="678"/>
      <c r="PKZ34" s="678"/>
      <c r="PLA34" s="678"/>
      <c r="PLB34" s="678"/>
      <c r="PLC34" s="678"/>
      <c r="PLD34" s="678"/>
      <c r="PLE34" s="678"/>
      <c r="PLF34" s="678"/>
      <c r="PLG34" s="678"/>
      <c r="PLH34" s="678"/>
      <c r="PLI34" s="678"/>
      <c r="PLJ34" s="678"/>
      <c r="PLK34" s="678"/>
      <c r="PLL34" s="678"/>
      <c r="PLM34" s="678"/>
      <c r="PLN34" s="678"/>
      <c r="PLO34" s="678"/>
      <c r="PLP34" s="678"/>
      <c r="PLQ34" s="678"/>
      <c r="PLR34" s="678"/>
      <c r="PLS34" s="678"/>
      <c r="PLT34" s="678"/>
      <c r="PLU34" s="678"/>
      <c r="PLV34" s="678"/>
      <c r="PLW34" s="678"/>
      <c r="PLX34" s="678"/>
      <c r="PLY34" s="678"/>
      <c r="PLZ34" s="678"/>
      <c r="PMA34" s="678"/>
      <c r="PMB34" s="678"/>
      <c r="PMC34" s="678"/>
      <c r="PMD34" s="678"/>
      <c r="PME34" s="678"/>
      <c r="PMF34" s="678"/>
      <c r="PMG34" s="678"/>
      <c r="PMH34" s="678"/>
      <c r="PMI34" s="678"/>
      <c r="PMJ34" s="678"/>
      <c r="PMK34" s="678"/>
      <c r="PML34" s="678"/>
      <c r="PMM34" s="678"/>
      <c r="PMN34" s="678"/>
      <c r="PMO34" s="678"/>
      <c r="PMP34" s="678"/>
      <c r="PMQ34" s="678"/>
      <c r="PMR34" s="678"/>
      <c r="PMS34" s="678"/>
      <c r="PMT34" s="678"/>
      <c r="PMU34" s="678"/>
      <c r="PMV34" s="678"/>
      <c r="PMW34" s="678"/>
      <c r="PMX34" s="678"/>
      <c r="PMY34" s="678"/>
      <c r="PMZ34" s="678"/>
      <c r="PNA34" s="678"/>
      <c r="PNB34" s="678"/>
      <c r="PNC34" s="678"/>
      <c r="PND34" s="678"/>
      <c r="PNE34" s="678"/>
      <c r="PNF34" s="678"/>
      <c r="PNG34" s="678"/>
      <c r="PNH34" s="678"/>
      <c r="PNI34" s="678"/>
      <c r="PNJ34" s="678"/>
      <c r="PNK34" s="678"/>
      <c r="PNL34" s="678"/>
      <c r="PNM34" s="678"/>
      <c r="PNN34" s="678"/>
      <c r="PNO34" s="678"/>
      <c r="PNP34" s="678"/>
      <c r="PNQ34" s="678"/>
      <c r="PNR34" s="678"/>
      <c r="PNS34" s="678"/>
      <c r="PNT34" s="678"/>
      <c r="PNU34" s="678"/>
      <c r="PNV34" s="678"/>
      <c r="PNW34" s="678"/>
      <c r="PNX34" s="678"/>
      <c r="PNY34" s="678"/>
      <c r="PNZ34" s="678"/>
      <c r="POA34" s="678"/>
      <c r="POB34" s="678"/>
      <c r="POC34" s="678"/>
      <c r="POD34" s="678"/>
      <c r="POE34" s="678"/>
      <c r="POF34" s="678"/>
      <c r="POG34" s="678"/>
      <c r="POH34" s="678"/>
      <c r="POI34" s="678"/>
      <c r="POJ34" s="678"/>
      <c r="POK34" s="678"/>
      <c r="POL34" s="678"/>
      <c r="POM34" s="678"/>
      <c r="PON34" s="678"/>
      <c r="POO34" s="678"/>
      <c r="POP34" s="678"/>
      <c r="POQ34" s="678"/>
      <c r="POR34" s="678"/>
      <c r="POS34" s="678"/>
      <c r="POT34" s="678"/>
      <c r="POU34" s="678"/>
      <c r="POV34" s="678"/>
      <c r="POW34" s="678"/>
      <c r="POX34" s="678"/>
      <c r="POY34" s="678"/>
      <c r="POZ34" s="678"/>
      <c r="PPA34" s="678"/>
      <c r="PPB34" s="678"/>
      <c r="PPC34" s="678"/>
      <c r="PPD34" s="678"/>
      <c r="PPE34" s="678"/>
      <c r="PPF34" s="678"/>
      <c r="PPG34" s="678"/>
      <c r="PPH34" s="678"/>
      <c r="PPI34" s="678"/>
      <c r="PPJ34" s="678"/>
      <c r="PPK34" s="678"/>
      <c r="PPL34" s="678"/>
      <c r="PPM34" s="678"/>
      <c r="PPN34" s="678"/>
      <c r="PPO34" s="678"/>
      <c r="PPP34" s="678"/>
      <c r="PPQ34" s="678"/>
      <c r="PPR34" s="678"/>
      <c r="PPS34" s="678"/>
      <c r="PPT34" s="678"/>
      <c r="PPU34" s="678"/>
      <c r="PPV34" s="678"/>
      <c r="PPW34" s="678"/>
      <c r="PPX34" s="678"/>
      <c r="PPY34" s="678"/>
      <c r="PPZ34" s="678"/>
      <c r="PQA34" s="678"/>
      <c r="PQB34" s="678"/>
      <c r="PQC34" s="678"/>
      <c r="PQD34" s="678"/>
      <c r="PQE34" s="678"/>
      <c r="PQF34" s="678"/>
      <c r="PQG34" s="678"/>
      <c r="PQH34" s="678"/>
      <c r="PQI34" s="678"/>
      <c r="PQJ34" s="678"/>
      <c r="PQK34" s="678"/>
      <c r="PQL34" s="678"/>
      <c r="PQM34" s="678"/>
      <c r="PQN34" s="678"/>
      <c r="PQO34" s="678"/>
      <c r="PQP34" s="678"/>
      <c r="PQQ34" s="678"/>
      <c r="PQR34" s="678"/>
      <c r="PQS34" s="678"/>
      <c r="PQT34" s="678"/>
      <c r="PQU34" s="678"/>
      <c r="PQV34" s="678"/>
      <c r="PQW34" s="678"/>
      <c r="PQX34" s="678"/>
      <c r="PQY34" s="678"/>
      <c r="PQZ34" s="678"/>
      <c r="PRA34" s="678"/>
      <c r="PRB34" s="678"/>
      <c r="PRC34" s="678"/>
      <c r="PRD34" s="678"/>
      <c r="PRE34" s="678"/>
      <c r="PRF34" s="678"/>
      <c r="PRG34" s="678"/>
      <c r="PRH34" s="678"/>
      <c r="PRI34" s="678"/>
      <c r="PRJ34" s="678"/>
      <c r="PRK34" s="678"/>
      <c r="PRL34" s="678"/>
      <c r="PRM34" s="678"/>
      <c r="PRN34" s="678"/>
      <c r="PRO34" s="678"/>
      <c r="PRP34" s="678"/>
      <c r="PRQ34" s="678"/>
      <c r="PRR34" s="678"/>
      <c r="PRS34" s="678"/>
      <c r="PRT34" s="678"/>
      <c r="PRU34" s="678"/>
      <c r="PRV34" s="678"/>
      <c r="PRW34" s="678"/>
      <c r="PRX34" s="678"/>
      <c r="PRY34" s="678"/>
      <c r="PRZ34" s="678"/>
      <c r="PSA34" s="678"/>
      <c r="PSB34" s="678"/>
      <c r="PSC34" s="678"/>
      <c r="PSD34" s="678"/>
      <c r="PSE34" s="678"/>
      <c r="PSF34" s="678"/>
      <c r="PSG34" s="678"/>
      <c r="PSH34" s="678"/>
      <c r="PSI34" s="678"/>
      <c r="PSJ34" s="678"/>
      <c r="PSK34" s="678"/>
      <c r="PSL34" s="678"/>
      <c r="PSM34" s="678"/>
      <c r="PSN34" s="678"/>
      <c r="PSO34" s="678"/>
      <c r="PSP34" s="678"/>
      <c r="PSQ34" s="678"/>
      <c r="PSR34" s="678"/>
      <c r="PSS34" s="678"/>
      <c r="PST34" s="678"/>
      <c r="PSU34" s="678"/>
      <c r="PSV34" s="678"/>
      <c r="PSW34" s="678"/>
      <c r="PSX34" s="678"/>
      <c r="PSY34" s="678"/>
      <c r="PSZ34" s="678"/>
      <c r="PTA34" s="678"/>
      <c r="PTB34" s="678"/>
      <c r="PTC34" s="678"/>
      <c r="PTD34" s="678"/>
      <c r="PTE34" s="678"/>
      <c r="PTF34" s="678"/>
      <c r="PTG34" s="678"/>
      <c r="PTH34" s="678"/>
      <c r="PTI34" s="678"/>
      <c r="PTJ34" s="678"/>
      <c r="PTK34" s="678"/>
      <c r="PTL34" s="678"/>
      <c r="PTM34" s="678"/>
      <c r="PTN34" s="678"/>
      <c r="PTO34" s="678"/>
      <c r="PTP34" s="678"/>
      <c r="PTQ34" s="678"/>
      <c r="PTR34" s="678"/>
      <c r="PTS34" s="678"/>
      <c r="PTT34" s="678"/>
      <c r="PTU34" s="678"/>
      <c r="PTV34" s="678"/>
      <c r="PTW34" s="678"/>
      <c r="PTX34" s="678"/>
      <c r="PTY34" s="678"/>
      <c r="PTZ34" s="678"/>
      <c r="PUA34" s="678"/>
      <c r="PUB34" s="678"/>
      <c r="PUC34" s="678"/>
      <c r="PUD34" s="678"/>
      <c r="PUE34" s="678"/>
      <c r="PUF34" s="678"/>
      <c r="PUG34" s="678"/>
      <c r="PUH34" s="678"/>
      <c r="PUI34" s="678"/>
      <c r="PUJ34" s="678"/>
      <c r="PUK34" s="678"/>
      <c r="PUL34" s="678"/>
      <c r="PUM34" s="678"/>
      <c r="PUN34" s="678"/>
      <c r="PUO34" s="678"/>
      <c r="PUP34" s="678"/>
      <c r="PUQ34" s="678"/>
      <c r="PUR34" s="678"/>
      <c r="PUS34" s="678"/>
      <c r="PUT34" s="678"/>
      <c r="PUU34" s="678"/>
      <c r="PUV34" s="678"/>
      <c r="PUW34" s="678"/>
      <c r="PUX34" s="678"/>
      <c r="PUY34" s="678"/>
      <c r="PUZ34" s="678"/>
      <c r="PVA34" s="678"/>
      <c r="PVB34" s="678"/>
      <c r="PVC34" s="678"/>
      <c r="PVD34" s="678"/>
      <c r="PVE34" s="678"/>
      <c r="PVF34" s="678"/>
      <c r="PVG34" s="678"/>
      <c r="PVH34" s="678"/>
      <c r="PVI34" s="678"/>
      <c r="PVJ34" s="678"/>
      <c r="PVK34" s="678"/>
      <c r="PVL34" s="678"/>
      <c r="PVM34" s="678"/>
      <c r="PVN34" s="678"/>
      <c r="PVO34" s="678"/>
      <c r="PVP34" s="678"/>
      <c r="PVQ34" s="678"/>
      <c r="PVR34" s="678"/>
      <c r="PVS34" s="678"/>
      <c r="PVT34" s="678"/>
      <c r="PVU34" s="678"/>
      <c r="PVV34" s="678"/>
      <c r="PVW34" s="678"/>
      <c r="PVX34" s="678"/>
      <c r="PVY34" s="678"/>
      <c r="PVZ34" s="678"/>
      <c r="PWA34" s="678"/>
      <c r="PWB34" s="678"/>
      <c r="PWC34" s="678"/>
      <c r="PWD34" s="678"/>
      <c r="PWE34" s="678"/>
      <c r="PWF34" s="678"/>
      <c r="PWG34" s="678"/>
      <c r="PWH34" s="678"/>
      <c r="PWI34" s="678"/>
      <c r="PWJ34" s="678"/>
      <c r="PWK34" s="678"/>
      <c r="PWL34" s="678"/>
      <c r="PWM34" s="678"/>
      <c r="PWN34" s="678"/>
      <c r="PWO34" s="678"/>
      <c r="PWP34" s="678"/>
      <c r="PWQ34" s="678"/>
      <c r="PWR34" s="678"/>
      <c r="PWS34" s="678"/>
      <c r="PWT34" s="678"/>
      <c r="PWU34" s="678"/>
      <c r="PWV34" s="678"/>
      <c r="PWW34" s="678"/>
      <c r="PWX34" s="678"/>
      <c r="PWY34" s="678"/>
      <c r="PWZ34" s="678"/>
      <c r="PXA34" s="678"/>
      <c r="PXB34" s="678"/>
      <c r="PXC34" s="678"/>
      <c r="PXD34" s="678"/>
      <c r="PXE34" s="678"/>
      <c r="PXF34" s="678"/>
      <c r="PXG34" s="678"/>
      <c r="PXH34" s="678"/>
      <c r="PXI34" s="678"/>
      <c r="PXJ34" s="678"/>
      <c r="PXK34" s="678"/>
      <c r="PXL34" s="678"/>
      <c r="PXM34" s="678"/>
      <c r="PXN34" s="678"/>
      <c r="PXO34" s="678"/>
      <c r="PXP34" s="678"/>
      <c r="PXQ34" s="678"/>
      <c r="PXR34" s="678"/>
      <c r="PXS34" s="678"/>
      <c r="PXT34" s="678"/>
      <c r="PXU34" s="678"/>
      <c r="PXV34" s="678"/>
      <c r="PXW34" s="678"/>
      <c r="PXX34" s="678"/>
      <c r="PXY34" s="678"/>
      <c r="PXZ34" s="678"/>
      <c r="PYA34" s="678"/>
      <c r="PYB34" s="678"/>
      <c r="PYC34" s="678"/>
      <c r="PYD34" s="678"/>
      <c r="PYE34" s="678"/>
      <c r="PYF34" s="678"/>
      <c r="PYG34" s="678"/>
      <c r="PYH34" s="678"/>
      <c r="PYI34" s="678"/>
      <c r="PYJ34" s="678"/>
      <c r="PYK34" s="678"/>
      <c r="PYL34" s="678"/>
      <c r="PYM34" s="678"/>
      <c r="PYN34" s="678"/>
      <c r="PYO34" s="678"/>
      <c r="PYP34" s="678"/>
      <c r="PYQ34" s="678"/>
      <c r="PYR34" s="678"/>
      <c r="PYS34" s="678"/>
      <c r="PYT34" s="678"/>
      <c r="PYU34" s="678"/>
      <c r="PYV34" s="678"/>
      <c r="PYW34" s="678"/>
      <c r="PYX34" s="678"/>
      <c r="PYY34" s="678"/>
      <c r="PYZ34" s="678"/>
      <c r="PZA34" s="678"/>
      <c r="PZB34" s="678"/>
      <c r="PZC34" s="678"/>
      <c r="PZD34" s="678"/>
      <c r="PZE34" s="678"/>
      <c r="PZF34" s="678"/>
      <c r="PZG34" s="678"/>
      <c r="PZH34" s="678"/>
      <c r="PZI34" s="678"/>
      <c r="PZJ34" s="678"/>
      <c r="PZK34" s="678"/>
      <c r="PZL34" s="678"/>
      <c r="PZM34" s="678"/>
      <c r="PZN34" s="678"/>
      <c r="PZO34" s="678"/>
      <c r="PZP34" s="678"/>
      <c r="PZQ34" s="678"/>
      <c r="PZR34" s="678"/>
      <c r="PZS34" s="678"/>
      <c r="PZT34" s="678"/>
      <c r="PZU34" s="678"/>
      <c r="PZV34" s="678"/>
      <c r="PZW34" s="678"/>
      <c r="PZX34" s="678"/>
      <c r="PZY34" s="678"/>
      <c r="PZZ34" s="678"/>
      <c r="QAA34" s="678"/>
      <c r="QAB34" s="678"/>
      <c r="QAC34" s="678"/>
      <c r="QAD34" s="678"/>
      <c r="QAE34" s="678"/>
      <c r="QAF34" s="678"/>
      <c r="QAG34" s="678"/>
      <c r="QAH34" s="678"/>
      <c r="QAI34" s="678"/>
      <c r="QAJ34" s="678"/>
      <c r="QAK34" s="678"/>
      <c r="QAL34" s="678"/>
      <c r="QAM34" s="678"/>
      <c r="QAN34" s="678"/>
      <c r="QAO34" s="678"/>
      <c r="QAP34" s="678"/>
      <c r="QAQ34" s="678"/>
      <c r="QAR34" s="678"/>
      <c r="QAS34" s="678"/>
      <c r="QAT34" s="678"/>
      <c r="QAU34" s="678"/>
      <c r="QAV34" s="678"/>
      <c r="QAW34" s="678"/>
      <c r="QAX34" s="678"/>
      <c r="QAY34" s="678"/>
      <c r="QAZ34" s="678"/>
      <c r="QBA34" s="678"/>
      <c r="QBB34" s="678"/>
      <c r="QBC34" s="678"/>
      <c r="QBD34" s="678"/>
      <c r="QBE34" s="678"/>
      <c r="QBF34" s="678"/>
      <c r="QBG34" s="678"/>
      <c r="QBH34" s="678"/>
      <c r="QBI34" s="678"/>
      <c r="QBJ34" s="678"/>
      <c r="QBK34" s="678"/>
      <c r="QBL34" s="678"/>
      <c r="QBM34" s="678"/>
      <c r="QBN34" s="678"/>
      <c r="QBO34" s="678"/>
      <c r="QBP34" s="678"/>
      <c r="QBQ34" s="678"/>
      <c r="QBR34" s="678"/>
      <c r="QBS34" s="678"/>
      <c r="QBT34" s="678"/>
      <c r="QBU34" s="678"/>
      <c r="QBV34" s="678"/>
      <c r="QBW34" s="678"/>
      <c r="QBX34" s="678"/>
      <c r="QBY34" s="678"/>
      <c r="QBZ34" s="678"/>
      <c r="QCA34" s="678"/>
      <c r="QCB34" s="678"/>
      <c r="QCC34" s="678"/>
      <c r="QCD34" s="678"/>
      <c r="QCE34" s="678"/>
      <c r="QCF34" s="678"/>
      <c r="QCG34" s="678"/>
      <c r="QCH34" s="678"/>
      <c r="QCI34" s="678"/>
      <c r="QCJ34" s="678"/>
      <c r="QCK34" s="678"/>
      <c r="QCL34" s="678"/>
      <c r="QCM34" s="678"/>
      <c r="QCN34" s="678"/>
      <c r="QCO34" s="678"/>
      <c r="QCP34" s="678"/>
      <c r="QCQ34" s="678"/>
      <c r="QCR34" s="678"/>
      <c r="QCS34" s="678"/>
      <c r="QCT34" s="678"/>
      <c r="QCU34" s="678"/>
      <c r="QCV34" s="678"/>
      <c r="QCW34" s="678"/>
      <c r="QCX34" s="678"/>
      <c r="QCY34" s="678"/>
      <c r="QCZ34" s="678"/>
      <c r="QDA34" s="678"/>
      <c r="QDB34" s="678"/>
      <c r="QDC34" s="678"/>
      <c r="QDD34" s="678"/>
      <c r="QDE34" s="678"/>
      <c r="QDF34" s="678"/>
      <c r="QDG34" s="678"/>
      <c r="QDH34" s="678"/>
      <c r="QDI34" s="678"/>
      <c r="QDJ34" s="678"/>
      <c r="QDK34" s="678"/>
      <c r="QDL34" s="678"/>
      <c r="QDM34" s="678"/>
      <c r="QDN34" s="678"/>
      <c r="QDO34" s="678"/>
      <c r="QDP34" s="678"/>
      <c r="QDQ34" s="678"/>
      <c r="QDR34" s="678"/>
      <c r="QDS34" s="678"/>
      <c r="QDT34" s="678"/>
      <c r="QDU34" s="678"/>
      <c r="QDV34" s="678"/>
      <c r="QDW34" s="678"/>
      <c r="QDX34" s="678"/>
      <c r="QDY34" s="678"/>
      <c r="QDZ34" s="678"/>
      <c r="QEA34" s="678"/>
      <c r="QEB34" s="678"/>
      <c r="QEC34" s="678"/>
      <c r="QED34" s="678"/>
      <c r="QEE34" s="678"/>
      <c r="QEF34" s="678"/>
      <c r="QEG34" s="678"/>
      <c r="QEH34" s="678"/>
      <c r="QEI34" s="678"/>
      <c r="QEJ34" s="678"/>
      <c r="QEK34" s="678"/>
      <c r="QEL34" s="678"/>
      <c r="QEM34" s="678"/>
      <c r="QEN34" s="678"/>
      <c r="QEO34" s="678"/>
      <c r="QEP34" s="678"/>
      <c r="QEQ34" s="678"/>
      <c r="QER34" s="678"/>
      <c r="QES34" s="678"/>
      <c r="QET34" s="678"/>
      <c r="QEU34" s="678"/>
      <c r="QEV34" s="678"/>
      <c r="QEW34" s="678"/>
      <c r="QEX34" s="678"/>
      <c r="QEY34" s="678"/>
      <c r="QEZ34" s="678"/>
      <c r="QFA34" s="678"/>
      <c r="QFB34" s="678"/>
      <c r="QFC34" s="678"/>
      <c r="QFD34" s="678"/>
      <c r="QFE34" s="678"/>
      <c r="QFF34" s="678"/>
      <c r="QFG34" s="678"/>
      <c r="QFH34" s="678"/>
      <c r="QFI34" s="678"/>
      <c r="QFJ34" s="678"/>
      <c r="QFK34" s="678"/>
      <c r="QFL34" s="678"/>
      <c r="QFM34" s="678"/>
      <c r="QFN34" s="678"/>
      <c r="QFO34" s="678"/>
      <c r="QFP34" s="678"/>
      <c r="QFQ34" s="678"/>
      <c r="QFR34" s="678"/>
      <c r="QFS34" s="678"/>
      <c r="QFT34" s="678"/>
      <c r="QFU34" s="678"/>
      <c r="QFV34" s="678"/>
      <c r="QFW34" s="678"/>
      <c r="QFX34" s="678"/>
      <c r="QFY34" s="678"/>
      <c r="QFZ34" s="678"/>
      <c r="QGA34" s="678"/>
      <c r="QGB34" s="678"/>
      <c r="QGC34" s="678"/>
      <c r="QGD34" s="678"/>
      <c r="QGE34" s="678"/>
      <c r="QGF34" s="678"/>
      <c r="QGG34" s="678"/>
      <c r="QGH34" s="678"/>
      <c r="QGI34" s="678"/>
      <c r="QGJ34" s="678"/>
      <c r="QGK34" s="678"/>
      <c r="QGL34" s="678"/>
      <c r="QGM34" s="678"/>
      <c r="QGN34" s="678"/>
      <c r="QGO34" s="678"/>
      <c r="QGP34" s="678"/>
      <c r="QGQ34" s="678"/>
      <c r="QGR34" s="678"/>
      <c r="QGS34" s="678"/>
      <c r="QGT34" s="678"/>
      <c r="QGU34" s="678"/>
      <c r="QGV34" s="678"/>
      <c r="QGW34" s="678"/>
      <c r="QGX34" s="678"/>
      <c r="QGY34" s="678"/>
      <c r="QGZ34" s="678"/>
      <c r="QHA34" s="678"/>
      <c r="QHB34" s="678"/>
      <c r="QHC34" s="678"/>
      <c r="QHD34" s="678"/>
      <c r="QHE34" s="678"/>
      <c r="QHF34" s="678"/>
      <c r="QHG34" s="678"/>
      <c r="QHH34" s="678"/>
      <c r="QHI34" s="678"/>
      <c r="QHJ34" s="678"/>
      <c r="QHK34" s="678"/>
      <c r="QHL34" s="678"/>
      <c r="QHM34" s="678"/>
      <c r="QHN34" s="678"/>
      <c r="QHO34" s="678"/>
      <c r="QHP34" s="678"/>
      <c r="QHQ34" s="678"/>
      <c r="QHR34" s="678"/>
      <c r="QHS34" s="678"/>
      <c r="QHT34" s="678"/>
      <c r="QHU34" s="678"/>
      <c r="QHV34" s="678"/>
      <c r="QHW34" s="678"/>
      <c r="QHX34" s="678"/>
      <c r="QHY34" s="678"/>
      <c r="QHZ34" s="678"/>
      <c r="QIA34" s="678"/>
      <c r="QIB34" s="678"/>
      <c r="QIC34" s="678"/>
      <c r="QID34" s="678"/>
      <c r="QIE34" s="678"/>
      <c r="QIF34" s="678"/>
      <c r="QIG34" s="678"/>
      <c r="QIH34" s="678"/>
      <c r="QII34" s="678"/>
      <c r="QIJ34" s="678"/>
      <c r="QIK34" s="678"/>
      <c r="QIL34" s="678"/>
      <c r="QIM34" s="678"/>
      <c r="QIN34" s="678"/>
      <c r="QIO34" s="678"/>
      <c r="QIP34" s="678"/>
      <c r="QIQ34" s="678"/>
      <c r="QIR34" s="678"/>
      <c r="QIS34" s="678"/>
      <c r="QIT34" s="678"/>
      <c r="QIU34" s="678"/>
      <c r="QIV34" s="678"/>
      <c r="QIW34" s="678"/>
      <c r="QIX34" s="678"/>
      <c r="QIY34" s="678"/>
      <c r="QIZ34" s="678"/>
      <c r="QJA34" s="678"/>
      <c r="QJB34" s="678"/>
      <c r="QJC34" s="678"/>
      <c r="QJD34" s="678"/>
      <c r="QJE34" s="678"/>
      <c r="QJF34" s="678"/>
      <c r="QJG34" s="678"/>
      <c r="QJH34" s="678"/>
      <c r="QJI34" s="678"/>
      <c r="QJJ34" s="678"/>
      <c r="QJK34" s="678"/>
      <c r="QJL34" s="678"/>
      <c r="QJM34" s="678"/>
      <c r="QJN34" s="678"/>
      <c r="QJO34" s="678"/>
      <c r="QJP34" s="678"/>
      <c r="QJQ34" s="678"/>
      <c r="QJR34" s="678"/>
      <c r="QJS34" s="678"/>
      <c r="QJT34" s="678"/>
      <c r="QJU34" s="678"/>
      <c r="QJV34" s="678"/>
      <c r="QJW34" s="678"/>
      <c r="QJX34" s="678"/>
      <c r="QJY34" s="678"/>
      <c r="QJZ34" s="678"/>
      <c r="QKA34" s="678"/>
      <c r="QKB34" s="678"/>
      <c r="QKC34" s="678"/>
      <c r="QKD34" s="678"/>
      <c r="QKE34" s="678"/>
      <c r="QKF34" s="678"/>
      <c r="QKG34" s="678"/>
      <c r="QKH34" s="678"/>
      <c r="QKI34" s="678"/>
      <c r="QKJ34" s="678"/>
      <c r="QKK34" s="678"/>
      <c r="QKL34" s="678"/>
      <c r="QKM34" s="678"/>
      <c r="QKN34" s="678"/>
      <c r="QKO34" s="678"/>
      <c r="QKP34" s="678"/>
      <c r="QKQ34" s="678"/>
      <c r="QKR34" s="678"/>
      <c r="QKS34" s="678"/>
      <c r="QKT34" s="678"/>
      <c r="QKU34" s="678"/>
      <c r="QKV34" s="678"/>
      <c r="QKW34" s="678"/>
      <c r="QKX34" s="678"/>
      <c r="QKY34" s="678"/>
      <c r="QKZ34" s="678"/>
      <c r="QLA34" s="678"/>
      <c r="QLB34" s="678"/>
      <c r="QLC34" s="678"/>
      <c r="QLD34" s="678"/>
      <c r="QLE34" s="678"/>
      <c r="QLF34" s="678"/>
      <c r="QLG34" s="678"/>
      <c r="QLH34" s="678"/>
      <c r="QLI34" s="678"/>
      <c r="QLJ34" s="678"/>
      <c r="QLK34" s="678"/>
      <c r="QLL34" s="678"/>
      <c r="QLM34" s="678"/>
      <c r="QLN34" s="678"/>
      <c r="QLO34" s="678"/>
      <c r="QLP34" s="678"/>
      <c r="QLQ34" s="678"/>
      <c r="QLR34" s="678"/>
      <c r="QLS34" s="678"/>
      <c r="QLT34" s="678"/>
      <c r="QLU34" s="678"/>
      <c r="QLV34" s="678"/>
      <c r="QLW34" s="678"/>
      <c r="QLX34" s="678"/>
      <c r="QLY34" s="678"/>
      <c r="QLZ34" s="678"/>
      <c r="QMA34" s="678"/>
      <c r="QMB34" s="678"/>
      <c r="QMC34" s="678"/>
      <c r="QMD34" s="678"/>
      <c r="QME34" s="678"/>
      <c r="QMF34" s="678"/>
      <c r="QMG34" s="678"/>
      <c r="QMH34" s="678"/>
      <c r="QMI34" s="678"/>
      <c r="QMJ34" s="678"/>
      <c r="QMK34" s="678"/>
      <c r="QML34" s="678"/>
      <c r="QMM34" s="678"/>
      <c r="QMN34" s="678"/>
      <c r="QMO34" s="678"/>
      <c r="QMP34" s="678"/>
      <c r="QMQ34" s="678"/>
      <c r="QMR34" s="678"/>
      <c r="QMS34" s="678"/>
      <c r="QMT34" s="678"/>
      <c r="QMU34" s="678"/>
      <c r="QMV34" s="678"/>
      <c r="QMW34" s="678"/>
      <c r="QMX34" s="678"/>
      <c r="QMY34" s="678"/>
      <c r="QMZ34" s="678"/>
      <c r="QNA34" s="678"/>
      <c r="QNB34" s="678"/>
      <c r="QNC34" s="678"/>
      <c r="QND34" s="678"/>
      <c r="QNE34" s="678"/>
      <c r="QNF34" s="678"/>
      <c r="QNG34" s="678"/>
      <c r="QNH34" s="678"/>
      <c r="QNI34" s="678"/>
      <c r="QNJ34" s="678"/>
      <c r="QNK34" s="678"/>
      <c r="QNL34" s="678"/>
      <c r="QNM34" s="678"/>
      <c r="QNN34" s="678"/>
      <c r="QNO34" s="678"/>
      <c r="QNP34" s="678"/>
      <c r="QNQ34" s="678"/>
      <c r="QNR34" s="678"/>
      <c r="QNS34" s="678"/>
      <c r="QNT34" s="678"/>
      <c r="QNU34" s="678"/>
      <c r="QNV34" s="678"/>
      <c r="QNW34" s="678"/>
      <c r="QNX34" s="678"/>
      <c r="QNY34" s="678"/>
      <c r="QNZ34" s="678"/>
      <c r="QOA34" s="678"/>
      <c r="QOB34" s="678"/>
      <c r="QOC34" s="678"/>
      <c r="QOD34" s="678"/>
      <c r="QOE34" s="678"/>
      <c r="QOF34" s="678"/>
      <c r="QOG34" s="678"/>
      <c r="QOH34" s="678"/>
      <c r="QOI34" s="678"/>
      <c r="QOJ34" s="678"/>
      <c r="QOK34" s="678"/>
      <c r="QOL34" s="678"/>
      <c r="QOM34" s="678"/>
      <c r="QON34" s="678"/>
      <c r="QOO34" s="678"/>
      <c r="QOP34" s="678"/>
      <c r="QOQ34" s="678"/>
      <c r="QOR34" s="678"/>
      <c r="QOS34" s="678"/>
      <c r="QOT34" s="678"/>
      <c r="QOU34" s="678"/>
      <c r="QOV34" s="678"/>
      <c r="QOW34" s="678"/>
      <c r="QOX34" s="678"/>
      <c r="QOY34" s="678"/>
      <c r="QOZ34" s="678"/>
      <c r="QPA34" s="678"/>
      <c r="QPB34" s="678"/>
      <c r="QPC34" s="678"/>
      <c r="QPD34" s="678"/>
      <c r="QPE34" s="678"/>
      <c r="QPF34" s="678"/>
      <c r="QPG34" s="678"/>
      <c r="QPH34" s="678"/>
      <c r="QPI34" s="678"/>
      <c r="QPJ34" s="678"/>
      <c r="QPK34" s="678"/>
      <c r="QPL34" s="678"/>
      <c r="QPM34" s="678"/>
      <c r="QPN34" s="678"/>
      <c r="QPO34" s="678"/>
      <c r="QPP34" s="678"/>
      <c r="QPQ34" s="678"/>
      <c r="QPR34" s="678"/>
      <c r="QPS34" s="678"/>
      <c r="QPT34" s="678"/>
      <c r="QPU34" s="678"/>
      <c r="QPV34" s="678"/>
      <c r="QPW34" s="678"/>
      <c r="QPX34" s="678"/>
      <c r="QPY34" s="678"/>
      <c r="QPZ34" s="678"/>
      <c r="QQA34" s="678"/>
      <c r="QQB34" s="678"/>
      <c r="QQC34" s="678"/>
      <c r="QQD34" s="678"/>
      <c r="QQE34" s="678"/>
      <c r="QQF34" s="678"/>
      <c r="QQG34" s="678"/>
      <c r="QQH34" s="678"/>
      <c r="QQI34" s="678"/>
      <c r="QQJ34" s="678"/>
      <c r="QQK34" s="678"/>
      <c r="QQL34" s="678"/>
      <c r="QQM34" s="678"/>
      <c r="QQN34" s="678"/>
      <c r="QQO34" s="678"/>
      <c r="QQP34" s="678"/>
      <c r="QQQ34" s="678"/>
      <c r="QQR34" s="678"/>
      <c r="QQS34" s="678"/>
      <c r="QQT34" s="678"/>
      <c r="QQU34" s="678"/>
      <c r="QQV34" s="678"/>
      <c r="QQW34" s="678"/>
      <c r="QQX34" s="678"/>
      <c r="QQY34" s="678"/>
      <c r="QQZ34" s="678"/>
      <c r="QRA34" s="678"/>
      <c r="QRB34" s="678"/>
      <c r="QRC34" s="678"/>
      <c r="QRD34" s="678"/>
      <c r="QRE34" s="678"/>
      <c r="QRF34" s="678"/>
      <c r="QRG34" s="678"/>
      <c r="QRH34" s="678"/>
      <c r="QRI34" s="678"/>
      <c r="QRJ34" s="678"/>
      <c r="QRK34" s="678"/>
      <c r="QRL34" s="678"/>
      <c r="QRM34" s="678"/>
      <c r="QRN34" s="678"/>
      <c r="QRO34" s="678"/>
      <c r="QRP34" s="678"/>
      <c r="QRQ34" s="678"/>
      <c r="QRR34" s="678"/>
      <c r="QRS34" s="678"/>
      <c r="QRT34" s="678"/>
      <c r="QRU34" s="678"/>
      <c r="QRV34" s="678"/>
      <c r="QRW34" s="678"/>
      <c r="QRX34" s="678"/>
      <c r="QRY34" s="678"/>
      <c r="QRZ34" s="678"/>
      <c r="QSA34" s="678"/>
      <c r="QSB34" s="678"/>
      <c r="QSC34" s="678"/>
      <c r="QSD34" s="678"/>
      <c r="QSE34" s="678"/>
      <c r="QSF34" s="678"/>
      <c r="QSG34" s="678"/>
      <c r="QSH34" s="678"/>
      <c r="QSI34" s="678"/>
      <c r="QSJ34" s="678"/>
      <c r="QSK34" s="678"/>
      <c r="QSL34" s="678"/>
      <c r="QSM34" s="678"/>
      <c r="QSN34" s="678"/>
      <c r="QSO34" s="678"/>
      <c r="QSP34" s="678"/>
      <c r="QSQ34" s="678"/>
      <c r="QSR34" s="678"/>
      <c r="QSS34" s="678"/>
      <c r="QST34" s="678"/>
      <c r="QSU34" s="678"/>
      <c r="QSV34" s="678"/>
      <c r="QSW34" s="678"/>
      <c r="QSX34" s="678"/>
      <c r="QSY34" s="678"/>
      <c r="QSZ34" s="678"/>
      <c r="QTA34" s="678"/>
      <c r="QTB34" s="678"/>
      <c r="QTC34" s="678"/>
      <c r="QTD34" s="678"/>
      <c r="QTE34" s="678"/>
      <c r="QTF34" s="678"/>
      <c r="QTG34" s="678"/>
      <c r="QTH34" s="678"/>
      <c r="QTI34" s="678"/>
      <c r="QTJ34" s="678"/>
      <c r="QTK34" s="678"/>
      <c r="QTL34" s="678"/>
      <c r="QTM34" s="678"/>
      <c r="QTN34" s="678"/>
      <c r="QTO34" s="678"/>
      <c r="QTP34" s="678"/>
      <c r="QTQ34" s="678"/>
      <c r="QTR34" s="678"/>
      <c r="QTS34" s="678"/>
      <c r="QTT34" s="678"/>
      <c r="QTU34" s="678"/>
      <c r="QTV34" s="678"/>
      <c r="QTW34" s="678"/>
      <c r="QTX34" s="678"/>
      <c r="QTY34" s="678"/>
      <c r="QTZ34" s="678"/>
      <c r="QUA34" s="678"/>
      <c r="QUB34" s="678"/>
      <c r="QUC34" s="678"/>
      <c r="QUD34" s="678"/>
      <c r="QUE34" s="678"/>
      <c r="QUF34" s="678"/>
      <c r="QUG34" s="678"/>
      <c r="QUH34" s="678"/>
      <c r="QUI34" s="678"/>
      <c r="QUJ34" s="678"/>
      <c r="QUK34" s="678"/>
      <c r="QUL34" s="678"/>
      <c r="QUM34" s="678"/>
      <c r="QUN34" s="678"/>
      <c r="QUO34" s="678"/>
      <c r="QUP34" s="678"/>
      <c r="QUQ34" s="678"/>
      <c r="QUR34" s="678"/>
      <c r="QUS34" s="678"/>
      <c r="QUT34" s="678"/>
      <c r="QUU34" s="678"/>
      <c r="QUV34" s="678"/>
      <c r="QUW34" s="678"/>
      <c r="QUX34" s="678"/>
      <c r="QUY34" s="678"/>
      <c r="QUZ34" s="678"/>
      <c r="QVA34" s="678"/>
      <c r="QVB34" s="678"/>
      <c r="QVC34" s="678"/>
      <c r="QVD34" s="678"/>
      <c r="QVE34" s="678"/>
      <c r="QVF34" s="678"/>
      <c r="QVG34" s="678"/>
      <c r="QVH34" s="678"/>
      <c r="QVI34" s="678"/>
      <c r="QVJ34" s="678"/>
      <c r="QVK34" s="678"/>
      <c r="QVL34" s="678"/>
      <c r="QVM34" s="678"/>
      <c r="QVN34" s="678"/>
      <c r="QVO34" s="678"/>
      <c r="QVP34" s="678"/>
      <c r="QVQ34" s="678"/>
      <c r="QVR34" s="678"/>
      <c r="QVS34" s="678"/>
      <c r="QVT34" s="678"/>
      <c r="QVU34" s="678"/>
      <c r="QVV34" s="678"/>
      <c r="QVW34" s="678"/>
      <c r="QVX34" s="678"/>
      <c r="QVY34" s="678"/>
      <c r="QVZ34" s="678"/>
      <c r="QWA34" s="678"/>
      <c r="QWB34" s="678"/>
      <c r="QWC34" s="678"/>
      <c r="QWD34" s="678"/>
      <c r="QWE34" s="678"/>
      <c r="QWF34" s="678"/>
      <c r="QWG34" s="678"/>
      <c r="QWH34" s="678"/>
      <c r="QWI34" s="678"/>
      <c r="QWJ34" s="678"/>
      <c r="QWK34" s="678"/>
      <c r="QWL34" s="678"/>
      <c r="QWM34" s="678"/>
      <c r="QWN34" s="678"/>
      <c r="QWO34" s="678"/>
      <c r="QWP34" s="678"/>
      <c r="QWQ34" s="678"/>
      <c r="QWR34" s="678"/>
      <c r="QWS34" s="678"/>
      <c r="QWT34" s="678"/>
      <c r="QWU34" s="678"/>
      <c r="QWV34" s="678"/>
      <c r="QWW34" s="678"/>
      <c r="QWX34" s="678"/>
      <c r="QWY34" s="678"/>
      <c r="QWZ34" s="678"/>
      <c r="QXA34" s="678"/>
      <c r="QXB34" s="678"/>
      <c r="QXC34" s="678"/>
      <c r="QXD34" s="678"/>
      <c r="QXE34" s="678"/>
      <c r="QXF34" s="678"/>
      <c r="QXG34" s="678"/>
      <c r="QXH34" s="678"/>
      <c r="QXI34" s="678"/>
      <c r="QXJ34" s="678"/>
      <c r="QXK34" s="678"/>
      <c r="QXL34" s="678"/>
      <c r="QXM34" s="678"/>
      <c r="QXN34" s="678"/>
      <c r="QXO34" s="678"/>
      <c r="QXP34" s="678"/>
      <c r="QXQ34" s="678"/>
      <c r="QXR34" s="678"/>
      <c r="QXS34" s="678"/>
      <c r="QXT34" s="678"/>
      <c r="QXU34" s="678"/>
      <c r="QXV34" s="678"/>
      <c r="QXW34" s="678"/>
      <c r="QXX34" s="678"/>
      <c r="QXY34" s="678"/>
      <c r="QXZ34" s="678"/>
      <c r="QYA34" s="678"/>
      <c r="QYB34" s="678"/>
      <c r="QYC34" s="678"/>
      <c r="QYD34" s="678"/>
      <c r="QYE34" s="678"/>
      <c r="QYF34" s="678"/>
      <c r="QYG34" s="678"/>
      <c r="QYH34" s="678"/>
      <c r="QYI34" s="678"/>
      <c r="QYJ34" s="678"/>
      <c r="QYK34" s="678"/>
      <c r="QYL34" s="678"/>
      <c r="QYM34" s="678"/>
      <c r="QYN34" s="678"/>
      <c r="QYO34" s="678"/>
      <c r="QYP34" s="678"/>
      <c r="QYQ34" s="678"/>
      <c r="QYR34" s="678"/>
      <c r="QYS34" s="678"/>
      <c r="QYT34" s="678"/>
      <c r="QYU34" s="678"/>
      <c r="QYV34" s="678"/>
      <c r="QYW34" s="678"/>
      <c r="QYX34" s="678"/>
      <c r="QYY34" s="678"/>
      <c r="QYZ34" s="678"/>
      <c r="QZA34" s="678"/>
      <c r="QZB34" s="678"/>
      <c r="QZC34" s="678"/>
      <c r="QZD34" s="678"/>
      <c r="QZE34" s="678"/>
      <c r="QZF34" s="678"/>
      <c r="QZG34" s="678"/>
      <c r="QZH34" s="678"/>
      <c r="QZI34" s="678"/>
      <c r="QZJ34" s="678"/>
      <c r="QZK34" s="678"/>
      <c r="QZL34" s="678"/>
      <c r="QZM34" s="678"/>
      <c r="QZN34" s="678"/>
      <c r="QZO34" s="678"/>
      <c r="QZP34" s="678"/>
      <c r="QZQ34" s="678"/>
      <c r="QZR34" s="678"/>
      <c r="QZS34" s="678"/>
      <c r="QZT34" s="678"/>
      <c r="QZU34" s="678"/>
      <c r="QZV34" s="678"/>
      <c r="QZW34" s="678"/>
      <c r="QZX34" s="678"/>
      <c r="QZY34" s="678"/>
      <c r="QZZ34" s="678"/>
      <c r="RAA34" s="678"/>
      <c r="RAB34" s="678"/>
      <c r="RAC34" s="678"/>
      <c r="RAD34" s="678"/>
      <c r="RAE34" s="678"/>
      <c r="RAF34" s="678"/>
      <c r="RAG34" s="678"/>
      <c r="RAH34" s="678"/>
      <c r="RAI34" s="678"/>
      <c r="RAJ34" s="678"/>
      <c r="RAK34" s="678"/>
      <c r="RAL34" s="678"/>
      <c r="RAM34" s="678"/>
      <c r="RAN34" s="678"/>
      <c r="RAO34" s="678"/>
      <c r="RAP34" s="678"/>
      <c r="RAQ34" s="678"/>
      <c r="RAR34" s="678"/>
      <c r="RAS34" s="678"/>
      <c r="RAT34" s="678"/>
      <c r="RAU34" s="678"/>
      <c r="RAV34" s="678"/>
      <c r="RAW34" s="678"/>
      <c r="RAX34" s="678"/>
      <c r="RAY34" s="678"/>
      <c r="RAZ34" s="678"/>
      <c r="RBA34" s="678"/>
      <c r="RBB34" s="678"/>
      <c r="RBC34" s="678"/>
      <c r="RBD34" s="678"/>
      <c r="RBE34" s="678"/>
      <c r="RBF34" s="678"/>
      <c r="RBG34" s="678"/>
      <c r="RBH34" s="678"/>
      <c r="RBI34" s="678"/>
      <c r="RBJ34" s="678"/>
      <c r="RBK34" s="678"/>
      <c r="RBL34" s="678"/>
      <c r="RBM34" s="678"/>
      <c r="RBN34" s="678"/>
      <c r="RBO34" s="678"/>
      <c r="RBP34" s="678"/>
      <c r="RBQ34" s="678"/>
      <c r="RBR34" s="678"/>
      <c r="RBS34" s="678"/>
      <c r="RBT34" s="678"/>
      <c r="RBU34" s="678"/>
      <c r="RBV34" s="678"/>
      <c r="RBW34" s="678"/>
      <c r="RBX34" s="678"/>
      <c r="RBY34" s="678"/>
      <c r="RBZ34" s="678"/>
      <c r="RCA34" s="678"/>
      <c r="RCB34" s="678"/>
      <c r="RCC34" s="678"/>
      <c r="RCD34" s="678"/>
      <c r="RCE34" s="678"/>
      <c r="RCF34" s="678"/>
      <c r="RCG34" s="678"/>
      <c r="RCH34" s="678"/>
      <c r="RCI34" s="678"/>
      <c r="RCJ34" s="678"/>
      <c r="RCK34" s="678"/>
      <c r="RCL34" s="678"/>
      <c r="RCM34" s="678"/>
      <c r="RCN34" s="678"/>
      <c r="RCO34" s="678"/>
      <c r="RCP34" s="678"/>
      <c r="RCQ34" s="678"/>
      <c r="RCR34" s="678"/>
      <c r="RCS34" s="678"/>
      <c r="RCT34" s="678"/>
      <c r="RCU34" s="678"/>
      <c r="RCV34" s="678"/>
      <c r="RCW34" s="678"/>
      <c r="RCX34" s="678"/>
      <c r="RCY34" s="678"/>
      <c r="RCZ34" s="678"/>
      <c r="RDA34" s="678"/>
      <c r="RDB34" s="678"/>
      <c r="RDC34" s="678"/>
      <c r="RDD34" s="678"/>
      <c r="RDE34" s="678"/>
      <c r="RDF34" s="678"/>
      <c r="RDG34" s="678"/>
      <c r="RDH34" s="678"/>
      <c r="RDI34" s="678"/>
      <c r="RDJ34" s="678"/>
      <c r="RDK34" s="678"/>
      <c r="RDL34" s="678"/>
      <c r="RDM34" s="678"/>
      <c r="RDN34" s="678"/>
      <c r="RDO34" s="678"/>
      <c r="RDP34" s="678"/>
      <c r="RDQ34" s="678"/>
      <c r="RDR34" s="678"/>
      <c r="RDS34" s="678"/>
      <c r="RDT34" s="678"/>
      <c r="RDU34" s="678"/>
      <c r="RDV34" s="678"/>
      <c r="RDW34" s="678"/>
      <c r="RDX34" s="678"/>
      <c r="RDY34" s="678"/>
      <c r="RDZ34" s="678"/>
      <c r="REA34" s="678"/>
      <c r="REB34" s="678"/>
      <c r="REC34" s="678"/>
      <c r="RED34" s="678"/>
      <c r="REE34" s="678"/>
      <c r="REF34" s="678"/>
      <c r="REG34" s="678"/>
      <c r="REH34" s="678"/>
      <c r="REI34" s="678"/>
      <c r="REJ34" s="678"/>
      <c r="REK34" s="678"/>
      <c r="REL34" s="678"/>
      <c r="REM34" s="678"/>
      <c r="REN34" s="678"/>
      <c r="REO34" s="678"/>
      <c r="REP34" s="678"/>
      <c r="REQ34" s="678"/>
      <c r="RER34" s="678"/>
      <c r="RES34" s="678"/>
      <c r="RET34" s="678"/>
      <c r="REU34" s="678"/>
      <c r="REV34" s="678"/>
      <c r="REW34" s="678"/>
      <c r="REX34" s="678"/>
      <c r="REY34" s="678"/>
      <c r="REZ34" s="678"/>
      <c r="RFA34" s="678"/>
      <c r="RFB34" s="678"/>
      <c r="RFC34" s="678"/>
      <c r="RFD34" s="678"/>
      <c r="RFE34" s="678"/>
      <c r="RFF34" s="678"/>
      <c r="RFG34" s="678"/>
      <c r="RFH34" s="678"/>
      <c r="RFI34" s="678"/>
      <c r="RFJ34" s="678"/>
      <c r="RFK34" s="678"/>
      <c r="RFL34" s="678"/>
      <c r="RFM34" s="678"/>
      <c r="RFN34" s="678"/>
      <c r="RFO34" s="678"/>
      <c r="RFP34" s="678"/>
      <c r="RFQ34" s="678"/>
      <c r="RFR34" s="678"/>
      <c r="RFS34" s="678"/>
      <c r="RFT34" s="678"/>
      <c r="RFU34" s="678"/>
      <c r="RFV34" s="678"/>
      <c r="RFW34" s="678"/>
      <c r="RFX34" s="678"/>
      <c r="RFY34" s="678"/>
      <c r="RFZ34" s="678"/>
      <c r="RGA34" s="678"/>
      <c r="RGB34" s="678"/>
      <c r="RGC34" s="678"/>
      <c r="RGD34" s="678"/>
      <c r="RGE34" s="678"/>
      <c r="RGF34" s="678"/>
      <c r="RGG34" s="678"/>
      <c r="RGH34" s="678"/>
      <c r="RGI34" s="678"/>
      <c r="RGJ34" s="678"/>
      <c r="RGK34" s="678"/>
      <c r="RGL34" s="678"/>
      <c r="RGM34" s="678"/>
      <c r="RGN34" s="678"/>
      <c r="RGO34" s="678"/>
      <c r="RGP34" s="678"/>
      <c r="RGQ34" s="678"/>
      <c r="RGR34" s="678"/>
      <c r="RGS34" s="678"/>
      <c r="RGT34" s="678"/>
      <c r="RGU34" s="678"/>
      <c r="RGV34" s="678"/>
      <c r="RGW34" s="678"/>
      <c r="RGX34" s="678"/>
      <c r="RGY34" s="678"/>
      <c r="RGZ34" s="678"/>
      <c r="RHA34" s="678"/>
      <c r="RHB34" s="678"/>
      <c r="RHC34" s="678"/>
      <c r="RHD34" s="678"/>
      <c r="RHE34" s="678"/>
      <c r="RHF34" s="678"/>
      <c r="RHG34" s="678"/>
      <c r="RHH34" s="678"/>
      <c r="RHI34" s="678"/>
      <c r="RHJ34" s="678"/>
      <c r="RHK34" s="678"/>
      <c r="RHL34" s="678"/>
      <c r="RHM34" s="678"/>
      <c r="RHN34" s="678"/>
      <c r="RHO34" s="678"/>
      <c r="RHP34" s="678"/>
      <c r="RHQ34" s="678"/>
      <c r="RHR34" s="678"/>
      <c r="RHS34" s="678"/>
      <c r="RHT34" s="678"/>
      <c r="RHU34" s="678"/>
      <c r="RHV34" s="678"/>
      <c r="RHW34" s="678"/>
      <c r="RHX34" s="678"/>
      <c r="RHY34" s="678"/>
      <c r="RHZ34" s="678"/>
      <c r="RIA34" s="678"/>
      <c r="RIB34" s="678"/>
      <c r="RIC34" s="678"/>
      <c r="RID34" s="678"/>
      <c r="RIE34" s="678"/>
      <c r="RIF34" s="678"/>
      <c r="RIG34" s="678"/>
      <c r="RIH34" s="678"/>
      <c r="RII34" s="678"/>
      <c r="RIJ34" s="678"/>
      <c r="RIK34" s="678"/>
      <c r="RIL34" s="678"/>
      <c r="RIM34" s="678"/>
      <c r="RIN34" s="678"/>
      <c r="RIO34" s="678"/>
      <c r="RIP34" s="678"/>
      <c r="RIQ34" s="678"/>
      <c r="RIR34" s="678"/>
      <c r="RIS34" s="678"/>
      <c r="RIT34" s="678"/>
      <c r="RIU34" s="678"/>
      <c r="RIV34" s="678"/>
      <c r="RIW34" s="678"/>
      <c r="RIX34" s="678"/>
      <c r="RIY34" s="678"/>
      <c r="RIZ34" s="678"/>
      <c r="RJA34" s="678"/>
      <c r="RJB34" s="678"/>
      <c r="RJC34" s="678"/>
      <c r="RJD34" s="678"/>
      <c r="RJE34" s="678"/>
      <c r="RJF34" s="678"/>
      <c r="RJG34" s="678"/>
      <c r="RJH34" s="678"/>
      <c r="RJI34" s="678"/>
      <c r="RJJ34" s="678"/>
      <c r="RJK34" s="678"/>
      <c r="RJL34" s="678"/>
      <c r="RJM34" s="678"/>
      <c r="RJN34" s="678"/>
      <c r="RJO34" s="678"/>
      <c r="RJP34" s="678"/>
      <c r="RJQ34" s="678"/>
      <c r="RJR34" s="678"/>
      <c r="RJS34" s="678"/>
      <c r="RJT34" s="678"/>
      <c r="RJU34" s="678"/>
      <c r="RJV34" s="678"/>
      <c r="RJW34" s="678"/>
      <c r="RJX34" s="678"/>
      <c r="RJY34" s="678"/>
      <c r="RJZ34" s="678"/>
      <c r="RKA34" s="678"/>
      <c r="RKB34" s="678"/>
      <c r="RKC34" s="678"/>
      <c r="RKD34" s="678"/>
      <c r="RKE34" s="678"/>
      <c r="RKF34" s="678"/>
      <c r="RKG34" s="678"/>
      <c r="RKH34" s="678"/>
      <c r="RKI34" s="678"/>
      <c r="RKJ34" s="678"/>
      <c r="RKK34" s="678"/>
      <c r="RKL34" s="678"/>
      <c r="RKM34" s="678"/>
      <c r="RKN34" s="678"/>
      <c r="RKO34" s="678"/>
      <c r="RKP34" s="678"/>
      <c r="RKQ34" s="678"/>
      <c r="RKR34" s="678"/>
      <c r="RKS34" s="678"/>
      <c r="RKT34" s="678"/>
      <c r="RKU34" s="678"/>
      <c r="RKV34" s="678"/>
      <c r="RKW34" s="678"/>
      <c r="RKX34" s="678"/>
      <c r="RKY34" s="678"/>
      <c r="RKZ34" s="678"/>
      <c r="RLA34" s="678"/>
      <c r="RLB34" s="678"/>
      <c r="RLC34" s="678"/>
      <c r="RLD34" s="678"/>
      <c r="RLE34" s="678"/>
      <c r="RLF34" s="678"/>
      <c r="RLG34" s="678"/>
      <c r="RLH34" s="678"/>
      <c r="RLI34" s="678"/>
      <c r="RLJ34" s="678"/>
      <c r="RLK34" s="678"/>
      <c r="RLL34" s="678"/>
      <c r="RLM34" s="678"/>
      <c r="RLN34" s="678"/>
      <c r="RLO34" s="678"/>
      <c r="RLP34" s="678"/>
      <c r="RLQ34" s="678"/>
      <c r="RLR34" s="678"/>
      <c r="RLS34" s="678"/>
      <c r="RLT34" s="678"/>
      <c r="RLU34" s="678"/>
      <c r="RLV34" s="678"/>
      <c r="RLW34" s="678"/>
      <c r="RLX34" s="678"/>
      <c r="RLY34" s="678"/>
      <c r="RLZ34" s="678"/>
      <c r="RMA34" s="678"/>
      <c r="RMB34" s="678"/>
      <c r="RMC34" s="678"/>
      <c r="RMD34" s="678"/>
      <c r="RME34" s="678"/>
      <c r="RMF34" s="678"/>
      <c r="RMG34" s="678"/>
      <c r="RMH34" s="678"/>
      <c r="RMI34" s="678"/>
      <c r="RMJ34" s="678"/>
      <c r="RMK34" s="678"/>
      <c r="RML34" s="678"/>
      <c r="RMM34" s="678"/>
      <c r="RMN34" s="678"/>
      <c r="RMO34" s="678"/>
      <c r="RMP34" s="678"/>
      <c r="RMQ34" s="678"/>
      <c r="RMR34" s="678"/>
      <c r="RMS34" s="678"/>
      <c r="RMT34" s="678"/>
      <c r="RMU34" s="678"/>
      <c r="RMV34" s="678"/>
      <c r="RMW34" s="678"/>
      <c r="RMX34" s="678"/>
      <c r="RMY34" s="678"/>
      <c r="RMZ34" s="678"/>
      <c r="RNA34" s="678"/>
      <c r="RNB34" s="678"/>
      <c r="RNC34" s="678"/>
      <c r="RND34" s="678"/>
      <c r="RNE34" s="678"/>
      <c r="RNF34" s="678"/>
      <c r="RNG34" s="678"/>
      <c r="RNH34" s="678"/>
      <c r="RNI34" s="678"/>
      <c r="RNJ34" s="678"/>
      <c r="RNK34" s="678"/>
      <c r="RNL34" s="678"/>
      <c r="RNM34" s="678"/>
      <c r="RNN34" s="678"/>
      <c r="RNO34" s="678"/>
      <c r="RNP34" s="678"/>
      <c r="RNQ34" s="678"/>
      <c r="RNR34" s="678"/>
      <c r="RNS34" s="678"/>
      <c r="RNT34" s="678"/>
      <c r="RNU34" s="678"/>
      <c r="RNV34" s="678"/>
      <c r="RNW34" s="678"/>
      <c r="RNX34" s="678"/>
      <c r="RNY34" s="678"/>
      <c r="RNZ34" s="678"/>
      <c r="ROA34" s="678"/>
      <c r="ROB34" s="678"/>
      <c r="ROC34" s="678"/>
      <c r="ROD34" s="678"/>
      <c r="ROE34" s="678"/>
      <c r="ROF34" s="678"/>
      <c r="ROG34" s="678"/>
      <c r="ROH34" s="678"/>
      <c r="ROI34" s="678"/>
      <c r="ROJ34" s="678"/>
      <c r="ROK34" s="678"/>
      <c r="ROL34" s="678"/>
      <c r="ROM34" s="678"/>
      <c r="RON34" s="678"/>
      <c r="ROO34" s="678"/>
      <c r="ROP34" s="678"/>
      <c r="ROQ34" s="678"/>
      <c r="ROR34" s="678"/>
      <c r="ROS34" s="678"/>
      <c r="ROT34" s="678"/>
      <c r="ROU34" s="678"/>
      <c r="ROV34" s="678"/>
      <c r="ROW34" s="678"/>
      <c r="ROX34" s="678"/>
      <c r="ROY34" s="678"/>
      <c r="ROZ34" s="678"/>
      <c r="RPA34" s="678"/>
      <c r="RPB34" s="678"/>
      <c r="RPC34" s="678"/>
      <c r="RPD34" s="678"/>
      <c r="RPE34" s="678"/>
      <c r="RPF34" s="678"/>
      <c r="RPG34" s="678"/>
      <c r="RPH34" s="678"/>
      <c r="RPI34" s="678"/>
      <c r="RPJ34" s="678"/>
      <c r="RPK34" s="678"/>
      <c r="RPL34" s="678"/>
      <c r="RPM34" s="678"/>
      <c r="RPN34" s="678"/>
      <c r="RPO34" s="678"/>
      <c r="RPP34" s="678"/>
      <c r="RPQ34" s="678"/>
      <c r="RPR34" s="678"/>
      <c r="RPS34" s="678"/>
      <c r="RPT34" s="678"/>
      <c r="RPU34" s="678"/>
      <c r="RPV34" s="678"/>
      <c r="RPW34" s="678"/>
      <c r="RPX34" s="678"/>
      <c r="RPY34" s="678"/>
      <c r="RPZ34" s="678"/>
      <c r="RQA34" s="678"/>
      <c r="RQB34" s="678"/>
      <c r="RQC34" s="678"/>
      <c r="RQD34" s="678"/>
      <c r="RQE34" s="678"/>
      <c r="RQF34" s="678"/>
      <c r="RQG34" s="678"/>
      <c r="RQH34" s="678"/>
      <c r="RQI34" s="678"/>
      <c r="RQJ34" s="678"/>
      <c r="RQK34" s="678"/>
      <c r="RQL34" s="678"/>
      <c r="RQM34" s="678"/>
      <c r="RQN34" s="678"/>
      <c r="RQO34" s="678"/>
      <c r="RQP34" s="678"/>
      <c r="RQQ34" s="678"/>
      <c r="RQR34" s="678"/>
      <c r="RQS34" s="678"/>
      <c r="RQT34" s="678"/>
      <c r="RQU34" s="678"/>
      <c r="RQV34" s="678"/>
      <c r="RQW34" s="678"/>
      <c r="RQX34" s="678"/>
      <c r="RQY34" s="678"/>
      <c r="RQZ34" s="678"/>
      <c r="RRA34" s="678"/>
      <c r="RRB34" s="678"/>
      <c r="RRC34" s="678"/>
      <c r="RRD34" s="678"/>
      <c r="RRE34" s="678"/>
      <c r="RRF34" s="678"/>
      <c r="RRG34" s="678"/>
      <c r="RRH34" s="678"/>
      <c r="RRI34" s="678"/>
      <c r="RRJ34" s="678"/>
      <c r="RRK34" s="678"/>
      <c r="RRL34" s="678"/>
      <c r="RRM34" s="678"/>
      <c r="RRN34" s="678"/>
      <c r="RRO34" s="678"/>
      <c r="RRP34" s="678"/>
      <c r="RRQ34" s="678"/>
      <c r="RRR34" s="678"/>
      <c r="RRS34" s="678"/>
      <c r="RRT34" s="678"/>
      <c r="RRU34" s="678"/>
      <c r="RRV34" s="678"/>
      <c r="RRW34" s="678"/>
      <c r="RRX34" s="678"/>
      <c r="RRY34" s="678"/>
      <c r="RRZ34" s="678"/>
      <c r="RSA34" s="678"/>
      <c r="RSB34" s="678"/>
      <c r="RSC34" s="678"/>
      <c r="RSD34" s="678"/>
      <c r="RSE34" s="678"/>
      <c r="RSF34" s="678"/>
      <c r="RSG34" s="678"/>
      <c r="RSH34" s="678"/>
      <c r="RSI34" s="678"/>
      <c r="RSJ34" s="678"/>
      <c r="RSK34" s="678"/>
      <c r="RSL34" s="678"/>
      <c r="RSM34" s="678"/>
      <c r="RSN34" s="678"/>
      <c r="RSO34" s="678"/>
      <c r="RSP34" s="678"/>
      <c r="RSQ34" s="678"/>
      <c r="RSR34" s="678"/>
      <c r="RSS34" s="678"/>
      <c r="RST34" s="678"/>
      <c r="RSU34" s="678"/>
      <c r="RSV34" s="678"/>
      <c r="RSW34" s="678"/>
      <c r="RSX34" s="678"/>
      <c r="RSY34" s="678"/>
      <c r="RSZ34" s="678"/>
      <c r="RTA34" s="678"/>
      <c r="RTB34" s="678"/>
      <c r="RTC34" s="678"/>
      <c r="RTD34" s="678"/>
      <c r="RTE34" s="678"/>
      <c r="RTF34" s="678"/>
      <c r="RTG34" s="678"/>
      <c r="RTH34" s="678"/>
      <c r="RTI34" s="678"/>
      <c r="RTJ34" s="678"/>
      <c r="RTK34" s="678"/>
      <c r="RTL34" s="678"/>
      <c r="RTM34" s="678"/>
      <c r="RTN34" s="678"/>
      <c r="RTO34" s="678"/>
      <c r="RTP34" s="678"/>
      <c r="RTQ34" s="678"/>
      <c r="RTR34" s="678"/>
      <c r="RTS34" s="678"/>
      <c r="RTT34" s="678"/>
      <c r="RTU34" s="678"/>
      <c r="RTV34" s="678"/>
      <c r="RTW34" s="678"/>
      <c r="RTX34" s="678"/>
      <c r="RTY34" s="678"/>
      <c r="RTZ34" s="678"/>
      <c r="RUA34" s="678"/>
      <c r="RUB34" s="678"/>
      <c r="RUC34" s="678"/>
      <c r="RUD34" s="678"/>
      <c r="RUE34" s="678"/>
      <c r="RUF34" s="678"/>
      <c r="RUG34" s="678"/>
      <c r="RUH34" s="678"/>
      <c r="RUI34" s="678"/>
      <c r="RUJ34" s="678"/>
      <c r="RUK34" s="678"/>
      <c r="RUL34" s="678"/>
      <c r="RUM34" s="678"/>
      <c r="RUN34" s="678"/>
      <c r="RUO34" s="678"/>
      <c r="RUP34" s="678"/>
      <c r="RUQ34" s="678"/>
      <c r="RUR34" s="678"/>
      <c r="RUS34" s="678"/>
      <c r="RUT34" s="678"/>
      <c r="RUU34" s="678"/>
      <c r="RUV34" s="678"/>
      <c r="RUW34" s="678"/>
      <c r="RUX34" s="678"/>
      <c r="RUY34" s="678"/>
      <c r="RUZ34" s="678"/>
      <c r="RVA34" s="678"/>
      <c r="RVB34" s="678"/>
      <c r="RVC34" s="678"/>
      <c r="RVD34" s="678"/>
      <c r="RVE34" s="678"/>
      <c r="RVF34" s="678"/>
      <c r="RVG34" s="678"/>
      <c r="RVH34" s="678"/>
      <c r="RVI34" s="678"/>
      <c r="RVJ34" s="678"/>
      <c r="RVK34" s="678"/>
      <c r="RVL34" s="678"/>
      <c r="RVM34" s="678"/>
      <c r="RVN34" s="678"/>
      <c r="RVO34" s="678"/>
      <c r="RVP34" s="678"/>
      <c r="RVQ34" s="678"/>
      <c r="RVR34" s="678"/>
      <c r="RVS34" s="678"/>
      <c r="RVT34" s="678"/>
      <c r="RVU34" s="678"/>
      <c r="RVV34" s="678"/>
      <c r="RVW34" s="678"/>
      <c r="RVX34" s="678"/>
      <c r="RVY34" s="678"/>
      <c r="RVZ34" s="678"/>
      <c r="RWA34" s="678"/>
      <c r="RWB34" s="678"/>
      <c r="RWC34" s="678"/>
      <c r="RWD34" s="678"/>
      <c r="RWE34" s="678"/>
      <c r="RWF34" s="678"/>
      <c r="RWG34" s="678"/>
      <c r="RWH34" s="678"/>
      <c r="RWI34" s="678"/>
      <c r="RWJ34" s="678"/>
      <c r="RWK34" s="678"/>
      <c r="RWL34" s="678"/>
      <c r="RWM34" s="678"/>
      <c r="RWN34" s="678"/>
      <c r="RWO34" s="678"/>
      <c r="RWP34" s="678"/>
      <c r="RWQ34" s="678"/>
      <c r="RWR34" s="678"/>
      <c r="RWS34" s="678"/>
      <c r="RWT34" s="678"/>
      <c r="RWU34" s="678"/>
      <c r="RWV34" s="678"/>
      <c r="RWW34" s="678"/>
      <c r="RWX34" s="678"/>
      <c r="RWY34" s="678"/>
      <c r="RWZ34" s="678"/>
      <c r="RXA34" s="678"/>
      <c r="RXB34" s="678"/>
      <c r="RXC34" s="678"/>
      <c r="RXD34" s="678"/>
      <c r="RXE34" s="678"/>
      <c r="RXF34" s="678"/>
      <c r="RXG34" s="678"/>
      <c r="RXH34" s="678"/>
      <c r="RXI34" s="678"/>
      <c r="RXJ34" s="678"/>
      <c r="RXK34" s="678"/>
      <c r="RXL34" s="678"/>
      <c r="RXM34" s="678"/>
      <c r="RXN34" s="678"/>
      <c r="RXO34" s="678"/>
      <c r="RXP34" s="678"/>
      <c r="RXQ34" s="678"/>
      <c r="RXR34" s="678"/>
      <c r="RXS34" s="678"/>
      <c r="RXT34" s="678"/>
      <c r="RXU34" s="678"/>
      <c r="RXV34" s="678"/>
      <c r="RXW34" s="678"/>
      <c r="RXX34" s="678"/>
      <c r="RXY34" s="678"/>
      <c r="RXZ34" s="678"/>
      <c r="RYA34" s="678"/>
      <c r="RYB34" s="678"/>
      <c r="RYC34" s="678"/>
      <c r="RYD34" s="678"/>
      <c r="RYE34" s="678"/>
      <c r="RYF34" s="678"/>
      <c r="RYG34" s="678"/>
      <c r="RYH34" s="678"/>
      <c r="RYI34" s="678"/>
      <c r="RYJ34" s="678"/>
      <c r="RYK34" s="678"/>
      <c r="RYL34" s="678"/>
      <c r="RYM34" s="678"/>
      <c r="RYN34" s="678"/>
      <c r="RYO34" s="678"/>
      <c r="RYP34" s="678"/>
      <c r="RYQ34" s="678"/>
      <c r="RYR34" s="678"/>
      <c r="RYS34" s="678"/>
      <c r="RYT34" s="678"/>
      <c r="RYU34" s="678"/>
      <c r="RYV34" s="678"/>
      <c r="RYW34" s="678"/>
      <c r="RYX34" s="678"/>
      <c r="RYY34" s="678"/>
      <c r="RYZ34" s="678"/>
      <c r="RZA34" s="678"/>
      <c r="RZB34" s="678"/>
      <c r="RZC34" s="678"/>
      <c r="RZD34" s="678"/>
      <c r="RZE34" s="678"/>
      <c r="RZF34" s="678"/>
      <c r="RZG34" s="678"/>
      <c r="RZH34" s="678"/>
      <c r="RZI34" s="678"/>
      <c r="RZJ34" s="678"/>
      <c r="RZK34" s="678"/>
      <c r="RZL34" s="678"/>
      <c r="RZM34" s="678"/>
      <c r="RZN34" s="678"/>
      <c r="RZO34" s="678"/>
      <c r="RZP34" s="678"/>
      <c r="RZQ34" s="678"/>
      <c r="RZR34" s="678"/>
      <c r="RZS34" s="678"/>
      <c r="RZT34" s="678"/>
      <c r="RZU34" s="678"/>
      <c r="RZV34" s="678"/>
      <c r="RZW34" s="678"/>
      <c r="RZX34" s="678"/>
      <c r="RZY34" s="678"/>
      <c r="RZZ34" s="678"/>
      <c r="SAA34" s="678"/>
      <c r="SAB34" s="678"/>
      <c r="SAC34" s="678"/>
      <c r="SAD34" s="678"/>
      <c r="SAE34" s="678"/>
      <c r="SAF34" s="678"/>
      <c r="SAG34" s="678"/>
      <c r="SAH34" s="678"/>
      <c r="SAI34" s="678"/>
      <c r="SAJ34" s="678"/>
      <c r="SAK34" s="678"/>
      <c r="SAL34" s="678"/>
      <c r="SAM34" s="678"/>
      <c r="SAN34" s="678"/>
      <c r="SAO34" s="678"/>
      <c r="SAP34" s="678"/>
      <c r="SAQ34" s="678"/>
      <c r="SAR34" s="678"/>
      <c r="SAS34" s="678"/>
      <c r="SAT34" s="678"/>
      <c r="SAU34" s="678"/>
      <c r="SAV34" s="678"/>
      <c r="SAW34" s="678"/>
      <c r="SAX34" s="678"/>
      <c r="SAY34" s="678"/>
      <c r="SAZ34" s="678"/>
      <c r="SBA34" s="678"/>
      <c r="SBB34" s="678"/>
      <c r="SBC34" s="678"/>
      <c r="SBD34" s="678"/>
      <c r="SBE34" s="678"/>
      <c r="SBF34" s="678"/>
      <c r="SBG34" s="678"/>
      <c r="SBH34" s="678"/>
      <c r="SBI34" s="678"/>
      <c r="SBJ34" s="678"/>
      <c r="SBK34" s="678"/>
      <c r="SBL34" s="678"/>
      <c r="SBM34" s="678"/>
      <c r="SBN34" s="678"/>
      <c r="SBO34" s="678"/>
      <c r="SBP34" s="678"/>
      <c r="SBQ34" s="678"/>
      <c r="SBR34" s="678"/>
      <c r="SBS34" s="678"/>
      <c r="SBT34" s="678"/>
      <c r="SBU34" s="678"/>
      <c r="SBV34" s="678"/>
      <c r="SBW34" s="678"/>
      <c r="SBX34" s="678"/>
      <c r="SBY34" s="678"/>
      <c r="SBZ34" s="678"/>
      <c r="SCA34" s="678"/>
      <c r="SCB34" s="678"/>
      <c r="SCC34" s="678"/>
      <c r="SCD34" s="678"/>
      <c r="SCE34" s="678"/>
      <c r="SCF34" s="678"/>
      <c r="SCG34" s="678"/>
      <c r="SCH34" s="678"/>
      <c r="SCI34" s="678"/>
      <c r="SCJ34" s="678"/>
      <c r="SCK34" s="678"/>
      <c r="SCL34" s="678"/>
      <c r="SCM34" s="678"/>
      <c r="SCN34" s="678"/>
      <c r="SCO34" s="678"/>
      <c r="SCP34" s="678"/>
      <c r="SCQ34" s="678"/>
      <c r="SCR34" s="678"/>
      <c r="SCS34" s="678"/>
      <c r="SCT34" s="678"/>
      <c r="SCU34" s="678"/>
      <c r="SCV34" s="678"/>
      <c r="SCW34" s="678"/>
      <c r="SCX34" s="678"/>
      <c r="SCY34" s="678"/>
      <c r="SCZ34" s="678"/>
      <c r="SDA34" s="678"/>
      <c r="SDB34" s="678"/>
      <c r="SDC34" s="678"/>
      <c r="SDD34" s="678"/>
      <c r="SDE34" s="678"/>
      <c r="SDF34" s="678"/>
      <c r="SDG34" s="678"/>
      <c r="SDH34" s="678"/>
      <c r="SDI34" s="678"/>
      <c r="SDJ34" s="678"/>
      <c r="SDK34" s="678"/>
      <c r="SDL34" s="678"/>
      <c r="SDM34" s="678"/>
      <c r="SDN34" s="678"/>
      <c r="SDO34" s="678"/>
      <c r="SDP34" s="678"/>
      <c r="SDQ34" s="678"/>
      <c r="SDR34" s="678"/>
      <c r="SDS34" s="678"/>
      <c r="SDT34" s="678"/>
      <c r="SDU34" s="678"/>
      <c r="SDV34" s="678"/>
      <c r="SDW34" s="678"/>
      <c r="SDX34" s="678"/>
      <c r="SDY34" s="678"/>
      <c r="SDZ34" s="678"/>
      <c r="SEA34" s="678"/>
      <c r="SEB34" s="678"/>
      <c r="SEC34" s="678"/>
      <c r="SED34" s="678"/>
      <c r="SEE34" s="678"/>
      <c r="SEF34" s="678"/>
      <c r="SEG34" s="678"/>
      <c r="SEH34" s="678"/>
      <c r="SEI34" s="678"/>
      <c r="SEJ34" s="678"/>
      <c r="SEK34" s="678"/>
      <c r="SEL34" s="678"/>
      <c r="SEM34" s="678"/>
      <c r="SEN34" s="678"/>
      <c r="SEO34" s="678"/>
      <c r="SEP34" s="678"/>
      <c r="SEQ34" s="678"/>
      <c r="SER34" s="678"/>
      <c r="SES34" s="678"/>
      <c r="SET34" s="678"/>
      <c r="SEU34" s="678"/>
      <c r="SEV34" s="678"/>
      <c r="SEW34" s="678"/>
      <c r="SEX34" s="678"/>
      <c r="SEY34" s="678"/>
      <c r="SEZ34" s="678"/>
      <c r="SFA34" s="678"/>
      <c r="SFB34" s="678"/>
      <c r="SFC34" s="678"/>
      <c r="SFD34" s="678"/>
      <c r="SFE34" s="678"/>
      <c r="SFF34" s="678"/>
      <c r="SFG34" s="678"/>
      <c r="SFH34" s="678"/>
      <c r="SFI34" s="678"/>
      <c r="SFJ34" s="678"/>
      <c r="SFK34" s="678"/>
      <c r="SFL34" s="678"/>
      <c r="SFM34" s="678"/>
      <c r="SFN34" s="678"/>
      <c r="SFO34" s="678"/>
      <c r="SFP34" s="678"/>
      <c r="SFQ34" s="678"/>
      <c r="SFR34" s="678"/>
      <c r="SFS34" s="678"/>
      <c r="SFT34" s="678"/>
      <c r="SFU34" s="678"/>
      <c r="SFV34" s="678"/>
      <c r="SFW34" s="678"/>
      <c r="SFX34" s="678"/>
      <c r="SFY34" s="678"/>
      <c r="SFZ34" s="678"/>
      <c r="SGA34" s="678"/>
      <c r="SGB34" s="678"/>
      <c r="SGC34" s="678"/>
      <c r="SGD34" s="678"/>
      <c r="SGE34" s="678"/>
      <c r="SGF34" s="678"/>
      <c r="SGG34" s="678"/>
      <c r="SGH34" s="678"/>
      <c r="SGI34" s="678"/>
      <c r="SGJ34" s="678"/>
      <c r="SGK34" s="678"/>
      <c r="SGL34" s="678"/>
      <c r="SGM34" s="678"/>
      <c r="SGN34" s="678"/>
      <c r="SGO34" s="678"/>
      <c r="SGP34" s="678"/>
      <c r="SGQ34" s="678"/>
      <c r="SGR34" s="678"/>
      <c r="SGS34" s="678"/>
      <c r="SGT34" s="678"/>
      <c r="SGU34" s="678"/>
      <c r="SGV34" s="678"/>
      <c r="SGW34" s="678"/>
      <c r="SGX34" s="678"/>
      <c r="SGY34" s="678"/>
      <c r="SGZ34" s="678"/>
      <c r="SHA34" s="678"/>
      <c r="SHB34" s="678"/>
      <c r="SHC34" s="678"/>
      <c r="SHD34" s="678"/>
      <c r="SHE34" s="678"/>
      <c r="SHF34" s="678"/>
      <c r="SHG34" s="678"/>
      <c r="SHH34" s="678"/>
      <c r="SHI34" s="678"/>
      <c r="SHJ34" s="678"/>
      <c r="SHK34" s="678"/>
      <c r="SHL34" s="678"/>
      <c r="SHM34" s="678"/>
      <c r="SHN34" s="678"/>
      <c r="SHO34" s="678"/>
      <c r="SHP34" s="678"/>
      <c r="SHQ34" s="678"/>
      <c r="SHR34" s="678"/>
      <c r="SHS34" s="678"/>
      <c r="SHT34" s="678"/>
      <c r="SHU34" s="678"/>
      <c r="SHV34" s="678"/>
      <c r="SHW34" s="678"/>
      <c r="SHX34" s="678"/>
      <c r="SHY34" s="678"/>
      <c r="SHZ34" s="678"/>
      <c r="SIA34" s="678"/>
      <c r="SIB34" s="678"/>
      <c r="SIC34" s="678"/>
      <c r="SID34" s="678"/>
      <c r="SIE34" s="678"/>
      <c r="SIF34" s="678"/>
      <c r="SIG34" s="678"/>
      <c r="SIH34" s="678"/>
      <c r="SII34" s="678"/>
      <c r="SIJ34" s="678"/>
      <c r="SIK34" s="678"/>
      <c r="SIL34" s="678"/>
      <c r="SIM34" s="678"/>
      <c r="SIN34" s="678"/>
      <c r="SIO34" s="678"/>
      <c r="SIP34" s="678"/>
      <c r="SIQ34" s="678"/>
      <c r="SIR34" s="678"/>
      <c r="SIS34" s="678"/>
      <c r="SIT34" s="678"/>
      <c r="SIU34" s="678"/>
      <c r="SIV34" s="678"/>
      <c r="SIW34" s="678"/>
      <c r="SIX34" s="678"/>
      <c r="SIY34" s="678"/>
      <c r="SIZ34" s="678"/>
      <c r="SJA34" s="678"/>
      <c r="SJB34" s="678"/>
      <c r="SJC34" s="678"/>
      <c r="SJD34" s="678"/>
      <c r="SJE34" s="678"/>
      <c r="SJF34" s="678"/>
      <c r="SJG34" s="678"/>
      <c r="SJH34" s="678"/>
      <c r="SJI34" s="678"/>
      <c r="SJJ34" s="678"/>
      <c r="SJK34" s="678"/>
      <c r="SJL34" s="678"/>
      <c r="SJM34" s="678"/>
      <c r="SJN34" s="678"/>
      <c r="SJO34" s="678"/>
      <c r="SJP34" s="678"/>
      <c r="SJQ34" s="678"/>
      <c r="SJR34" s="678"/>
      <c r="SJS34" s="678"/>
      <c r="SJT34" s="678"/>
      <c r="SJU34" s="678"/>
      <c r="SJV34" s="678"/>
      <c r="SJW34" s="678"/>
      <c r="SJX34" s="678"/>
      <c r="SJY34" s="678"/>
      <c r="SJZ34" s="678"/>
      <c r="SKA34" s="678"/>
      <c r="SKB34" s="678"/>
      <c r="SKC34" s="678"/>
      <c r="SKD34" s="678"/>
      <c r="SKE34" s="678"/>
      <c r="SKF34" s="678"/>
      <c r="SKG34" s="678"/>
      <c r="SKH34" s="678"/>
      <c r="SKI34" s="678"/>
      <c r="SKJ34" s="678"/>
      <c r="SKK34" s="678"/>
      <c r="SKL34" s="678"/>
      <c r="SKM34" s="678"/>
      <c r="SKN34" s="678"/>
      <c r="SKO34" s="678"/>
      <c r="SKP34" s="678"/>
      <c r="SKQ34" s="678"/>
      <c r="SKR34" s="678"/>
      <c r="SKS34" s="678"/>
      <c r="SKT34" s="678"/>
      <c r="SKU34" s="678"/>
      <c r="SKV34" s="678"/>
      <c r="SKW34" s="678"/>
      <c r="SKX34" s="678"/>
      <c r="SKY34" s="678"/>
      <c r="SKZ34" s="678"/>
      <c r="SLA34" s="678"/>
      <c r="SLB34" s="678"/>
      <c r="SLC34" s="678"/>
      <c r="SLD34" s="678"/>
      <c r="SLE34" s="678"/>
      <c r="SLF34" s="678"/>
      <c r="SLG34" s="678"/>
      <c r="SLH34" s="678"/>
      <c r="SLI34" s="678"/>
      <c r="SLJ34" s="678"/>
      <c r="SLK34" s="678"/>
      <c r="SLL34" s="678"/>
      <c r="SLM34" s="678"/>
      <c r="SLN34" s="678"/>
      <c r="SLO34" s="678"/>
      <c r="SLP34" s="678"/>
      <c r="SLQ34" s="678"/>
      <c r="SLR34" s="678"/>
      <c r="SLS34" s="678"/>
      <c r="SLT34" s="678"/>
      <c r="SLU34" s="678"/>
      <c r="SLV34" s="678"/>
      <c r="SLW34" s="678"/>
      <c r="SLX34" s="678"/>
      <c r="SLY34" s="678"/>
      <c r="SLZ34" s="678"/>
      <c r="SMA34" s="678"/>
      <c r="SMB34" s="678"/>
      <c r="SMC34" s="678"/>
      <c r="SMD34" s="678"/>
      <c r="SME34" s="678"/>
      <c r="SMF34" s="678"/>
      <c r="SMG34" s="678"/>
      <c r="SMH34" s="678"/>
      <c r="SMI34" s="678"/>
      <c r="SMJ34" s="678"/>
      <c r="SMK34" s="678"/>
      <c r="SML34" s="678"/>
      <c r="SMM34" s="678"/>
      <c r="SMN34" s="678"/>
      <c r="SMO34" s="678"/>
      <c r="SMP34" s="678"/>
      <c r="SMQ34" s="678"/>
      <c r="SMR34" s="678"/>
      <c r="SMS34" s="678"/>
      <c r="SMT34" s="678"/>
      <c r="SMU34" s="678"/>
      <c r="SMV34" s="678"/>
      <c r="SMW34" s="678"/>
      <c r="SMX34" s="678"/>
      <c r="SMY34" s="678"/>
      <c r="SMZ34" s="678"/>
      <c r="SNA34" s="678"/>
      <c r="SNB34" s="678"/>
      <c r="SNC34" s="678"/>
      <c r="SND34" s="678"/>
      <c r="SNE34" s="678"/>
      <c r="SNF34" s="678"/>
      <c r="SNG34" s="678"/>
      <c r="SNH34" s="678"/>
      <c r="SNI34" s="678"/>
      <c r="SNJ34" s="678"/>
      <c r="SNK34" s="678"/>
      <c r="SNL34" s="678"/>
      <c r="SNM34" s="678"/>
      <c r="SNN34" s="678"/>
      <c r="SNO34" s="678"/>
      <c r="SNP34" s="678"/>
      <c r="SNQ34" s="678"/>
      <c r="SNR34" s="678"/>
      <c r="SNS34" s="678"/>
      <c r="SNT34" s="678"/>
      <c r="SNU34" s="678"/>
      <c r="SNV34" s="678"/>
      <c r="SNW34" s="678"/>
      <c r="SNX34" s="678"/>
      <c r="SNY34" s="678"/>
      <c r="SNZ34" s="678"/>
      <c r="SOA34" s="678"/>
      <c r="SOB34" s="678"/>
      <c r="SOC34" s="678"/>
      <c r="SOD34" s="678"/>
      <c r="SOE34" s="678"/>
      <c r="SOF34" s="678"/>
      <c r="SOG34" s="678"/>
      <c r="SOH34" s="678"/>
      <c r="SOI34" s="678"/>
      <c r="SOJ34" s="678"/>
      <c r="SOK34" s="678"/>
      <c r="SOL34" s="678"/>
      <c r="SOM34" s="678"/>
      <c r="SON34" s="678"/>
      <c r="SOO34" s="678"/>
      <c r="SOP34" s="678"/>
      <c r="SOQ34" s="678"/>
      <c r="SOR34" s="678"/>
      <c r="SOS34" s="678"/>
      <c r="SOT34" s="678"/>
      <c r="SOU34" s="678"/>
      <c r="SOV34" s="678"/>
      <c r="SOW34" s="678"/>
      <c r="SOX34" s="678"/>
      <c r="SOY34" s="678"/>
      <c r="SOZ34" s="678"/>
      <c r="SPA34" s="678"/>
      <c r="SPB34" s="678"/>
      <c r="SPC34" s="678"/>
      <c r="SPD34" s="678"/>
      <c r="SPE34" s="678"/>
      <c r="SPF34" s="678"/>
      <c r="SPG34" s="678"/>
      <c r="SPH34" s="678"/>
      <c r="SPI34" s="678"/>
      <c r="SPJ34" s="678"/>
      <c r="SPK34" s="678"/>
      <c r="SPL34" s="678"/>
      <c r="SPM34" s="678"/>
      <c r="SPN34" s="678"/>
      <c r="SPO34" s="678"/>
      <c r="SPP34" s="678"/>
      <c r="SPQ34" s="678"/>
      <c r="SPR34" s="678"/>
      <c r="SPS34" s="678"/>
      <c r="SPT34" s="678"/>
      <c r="SPU34" s="678"/>
      <c r="SPV34" s="678"/>
      <c r="SPW34" s="678"/>
      <c r="SPX34" s="678"/>
      <c r="SPY34" s="678"/>
      <c r="SPZ34" s="678"/>
      <c r="SQA34" s="678"/>
      <c r="SQB34" s="678"/>
      <c r="SQC34" s="678"/>
      <c r="SQD34" s="678"/>
      <c r="SQE34" s="678"/>
      <c r="SQF34" s="678"/>
      <c r="SQG34" s="678"/>
      <c r="SQH34" s="678"/>
      <c r="SQI34" s="678"/>
      <c r="SQJ34" s="678"/>
      <c r="SQK34" s="678"/>
      <c r="SQL34" s="678"/>
      <c r="SQM34" s="678"/>
      <c r="SQN34" s="678"/>
      <c r="SQO34" s="678"/>
      <c r="SQP34" s="678"/>
      <c r="SQQ34" s="678"/>
      <c r="SQR34" s="678"/>
      <c r="SQS34" s="678"/>
      <c r="SQT34" s="678"/>
      <c r="SQU34" s="678"/>
      <c r="SQV34" s="678"/>
      <c r="SQW34" s="678"/>
      <c r="SQX34" s="678"/>
      <c r="SQY34" s="678"/>
      <c r="SQZ34" s="678"/>
      <c r="SRA34" s="678"/>
      <c r="SRB34" s="678"/>
      <c r="SRC34" s="678"/>
      <c r="SRD34" s="678"/>
      <c r="SRE34" s="678"/>
      <c r="SRF34" s="678"/>
      <c r="SRG34" s="678"/>
      <c r="SRH34" s="678"/>
      <c r="SRI34" s="678"/>
      <c r="SRJ34" s="678"/>
      <c r="SRK34" s="678"/>
      <c r="SRL34" s="678"/>
      <c r="SRM34" s="678"/>
      <c r="SRN34" s="678"/>
      <c r="SRO34" s="678"/>
      <c r="SRP34" s="678"/>
      <c r="SRQ34" s="678"/>
      <c r="SRR34" s="678"/>
      <c r="SRS34" s="678"/>
      <c r="SRT34" s="678"/>
      <c r="SRU34" s="678"/>
      <c r="SRV34" s="678"/>
      <c r="SRW34" s="678"/>
      <c r="SRX34" s="678"/>
      <c r="SRY34" s="678"/>
      <c r="SRZ34" s="678"/>
      <c r="SSA34" s="678"/>
      <c r="SSB34" s="678"/>
      <c r="SSC34" s="678"/>
      <c r="SSD34" s="678"/>
      <c r="SSE34" s="678"/>
      <c r="SSF34" s="678"/>
      <c r="SSG34" s="678"/>
      <c r="SSH34" s="678"/>
      <c r="SSI34" s="678"/>
      <c r="SSJ34" s="678"/>
      <c r="SSK34" s="678"/>
      <c r="SSL34" s="678"/>
      <c r="SSM34" s="678"/>
      <c r="SSN34" s="678"/>
      <c r="SSO34" s="678"/>
      <c r="SSP34" s="678"/>
      <c r="SSQ34" s="678"/>
      <c r="SSR34" s="678"/>
      <c r="SSS34" s="678"/>
      <c r="SST34" s="678"/>
      <c r="SSU34" s="678"/>
      <c r="SSV34" s="678"/>
      <c r="SSW34" s="678"/>
      <c r="SSX34" s="678"/>
      <c r="SSY34" s="678"/>
      <c r="SSZ34" s="678"/>
      <c r="STA34" s="678"/>
      <c r="STB34" s="678"/>
      <c r="STC34" s="678"/>
      <c r="STD34" s="678"/>
      <c r="STE34" s="678"/>
      <c r="STF34" s="678"/>
      <c r="STG34" s="678"/>
      <c r="STH34" s="678"/>
      <c r="STI34" s="678"/>
      <c r="STJ34" s="678"/>
      <c r="STK34" s="678"/>
      <c r="STL34" s="678"/>
      <c r="STM34" s="678"/>
      <c r="STN34" s="678"/>
      <c r="STO34" s="678"/>
      <c r="STP34" s="678"/>
      <c r="STQ34" s="678"/>
      <c r="STR34" s="678"/>
      <c r="STS34" s="678"/>
      <c r="STT34" s="678"/>
      <c r="STU34" s="678"/>
      <c r="STV34" s="678"/>
      <c r="STW34" s="678"/>
      <c r="STX34" s="678"/>
      <c r="STY34" s="678"/>
      <c r="STZ34" s="678"/>
      <c r="SUA34" s="678"/>
      <c r="SUB34" s="678"/>
      <c r="SUC34" s="678"/>
      <c r="SUD34" s="678"/>
      <c r="SUE34" s="678"/>
      <c r="SUF34" s="678"/>
      <c r="SUG34" s="678"/>
      <c r="SUH34" s="678"/>
      <c r="SUI34" s="678"/>
      <c r="SUJ34" s="678"/>
      <c r="SUK34" s="678"/>
      <c r="SUL34" s="678"/>
      <c r="SUM34" s="678"/>
      <c r="SUN34" s="678"/>
      <c r="SUO34" s="678"/>
      <c r="SUP34" s="678"/>
      <c r="SUQ34" s="678"/>
      <c r="SUR34" s="678"/>
      <c r="SUS34" s="678"/>
      <c r="SUT34" s="678"/>
      <c r="SUU34" s="678"/>
      <c r="SUV34" s="678"/>
      <c r="SUW34" s="678"/>
      <c r="SUX34" s="678"/>
      <c r="SUY34" s="678"/>
      <c r="SUZ34" s="678"/>
      <c r="SVA34" s="678"/>
      <c r="SVB34" s="678"/>
      <c r="SVC34" s="678"/>
      <c r="SVD34" s="678"/>
      <c r="SVE34" s="678"/>
      <c r="SVF34" s="678"/>
      <c r="SVG34" s="678"/>
      <c r="SVH34" s="678"/>
      <c r="SVI34" s="678"/>
      <c r="SVJ34" s="678"/>
      <c r="SVK34" s="678"/>
      <c r="SVL34" s="678"/>
      <c r="SVM34" s="678"/>
      <c r="SVN34" s="678"/>
      <c r="SVO34" s="678"/>
      <c r="SVP34" s="678"/>
      <c r="SVQ34" s="678"/>
      <c r="SVR34" s="678"/>
      <c r="SVS34" s="678"/>
      <c r="SVT34" s="678"/>
      <c r="SVU34" s="678"/>
      <c r="SVV34" s="678"/>
      <c r="SVW34" s="678"/>
      <c r="SVX34" s="678"/>
      <c r="SVY34" s="678"/>
      <c r="SVZ34" s="678"/>
      <c r="SWA34" s="678"/>
      <c r="SWB34" s="678"/>
      <c r="SWC34" s="678"/>
      <c r="SWD34" s="678"/>
      <c r="SWE34" s="678"/>
      <c r="SWF34" s="678"/>
      <c r="SWG34" s="678"/>
      <c r="SWH34" s="678"/>
      <c r="SWI34" s="678"/>
      <c r="SWJ34" s="678"/>
      <c r="SWK34" s="678"/>
      <c r="SWL34" s="678"/>
      <c r="SWM34" s="678"/>
      <c r="SWN34" s="678"/>
      <c r="SWO34" s="678"/>
      <c r="SWP34" s="678"/>
      <c r="SWQ34" s="678"/>
      <c r="SWR34" s="678"/>
      <c r="SWS34" s="678"/>
      <c r="SWT34" s="678"/>
      <c r="SWU34" s="678"/>
      <c r="SWV34" s="678"/>
      <c r="SWW34" s="678"/>
      <c r="SWX34" s="678"/>
      <c r="SWY34" s="678"/>
      <c r="SWZ34" s="678"/>
      <c r="SXA34" s="678"/>
      <c r="SXB34" s="678"/>
      <c r="SXC34" s="678"/>
      <c r="SXD34" s="678"/>
      <c r="SXE34" s="678"/>
      <c r="SXF34" s="678"/>
      <c r="SXG34" s="678"/>
      <c r="SXH34" s="678"/>
      <c r="SXI34" s="678"/>
      <c r="SXJ34" s="678"/>
      <c r="SXK34" s="678"/>
      <c r="SXL34" s="678"/>
      <c r="SXM34" s="678"/>
      <c r="SXN34" s="678"/>
      <c r="SXO34" s="678"/>
      <c r="SXP34" s="678"/>
      <c r="SXQ34" s="678"/>
      <c r="SXR34" s="678"/>
      <c r="SXS34" s="678"/>
      <c r="SXT34" s="678"/>
      <c r="SXU34" s="678"/>
      <c r="SXV34" s="678"/>
      <c r="SXW34" s="678"/>
      <c r="SXX34" s="678"/>
      <c r="SXY34" s="678"/>
      <c r="SXZ34" s="678"/>
      <c r="SYA34" s="678"/>
      <c r="SYB34" s="678"/>
      <c r="SYC34" s="678"/>
      <c r="SYD34" s="678"/>
      <c r="SYE34" s="678"/>
      <c r="SYF34" s="678"/>
      <c r="SYG34" s="678"/>
      <c r="SYH34" s="678"/>
      <c r="SYI34" s="678"/>
      <c r="SYJ34" s="678"/>
      <c r="SYK34" s="678"/>
      <c r="SYL34" s="678"/>
      <c r="SYM34" s="678"/>
      <c r="SYN34" s="678"/>
      <c r="SYO34" s="678"/>
      <c r="SYP34" s="678"/>
      <c r="SYQ34" s="678"/>
      <c r="SYR34" s="678"/>
      <c r="SYS34" s="678"/>
      <c r="SYT34" s="678"/>
      <c r="SYU34" s="678"/>
      <c r="SYV34" s="678"/>
      <c r="SYW34" s="678"/>
      <c r="SYX34" s="678"/>
      <c r="SYY34" s="678"/>
      <c r="SYZ34" s="678"/>
      <c r="SZA34" s="678"/>
      <c r="SZB34" s="678"/>
      <c r="SZC34" s="678"/>
      <c r="SZD34" s="678"/>
      <c r="SZE34" s="678"/>
      <c r="SZF34" s="678"/>
      <c r="SZG34" s="678"/>
      <c r="SZH34" s="678"/>
      <c r="SZI34" s="678"/>
      <c r="SZJ34" s="678"/>
      <c r="SZK34" s="678"/>
      <c r="SZL34" s="678"/>
      <c r="SZM34" s="678"/>
      <c r="SZN34" s="678"/>
      <c r="SZO34" s="678"/>
      <c r="SZP34" s="678"/>
      <c r="SZQ34" s="678"/>
      <c r="SZR34" s="678"/>
      <c r="SZS34" s="678"/>
      <c r="SZT34" s="678"/>
      <c r="SZU34" s="678"/>
      <c r="SZV34" s="678"/>
      <c r="SZW34" s="678"/>
      <c r="SZX34" s="678"/>
      <c r="SZY34" s="678"/>
      <c r="SZZ34" s="678"/>
      <c r="TAA34" s="678"/>
      <c r="TAB34" s="678"/>
      <c r="TAC34" s="678"/>
      <c r="TAD34" s="678"/>
      <c r="TAE34" s="678"/>
      <c r="TAF34" s="678"/>
      <c r="TAG34" s="678"/>
      <c r="TAH34" s="678"/>
      <c r="TAI34" s="678"/>
      <c r="TAJ34" s="678"/>
      <c r="TAK34" s="678"/>
      <c r="TAL34" s="678"/>
      <c r="TAM34" s="678"/>
      <c r="TAN34" s="678"/>
      <c r="TAO34" s="678"/>
      <c r="TAP34" s="678"/>
      <c r="TAQ34" s="678"/>
      <c r="TAR34" s="678"/>
      <c r="TAS34" s="678"/>
      <c r="TAT34" s="678"/>
      <c r="TAU34" s="678"/>
      <c r="TAV34" s="678"/>
      <c r="TAW34" s="678"/>
      <c r="TAX34" s="678"/>
      <c r="TAY34" s="678"/>
      <c r="TAZ34" s="678"/>
      <c r="TBA34" s="678"/>
      <c r="TBB34" s="678"/>
      <c r="TBC34" s="678"/>
      <c r="TBD34" s="678"/>
      <c r="TBE34" s="678"/>
      <c r="TBF34" s="678"/>
      <c r="TBG34" s="678"/>
      <c r="TBH34" s="678"/>
      <c r="TBI34" s="678"/>
      <c r="TBJ34" s="678"/>
      <c r="TBK34" s="678"/>
      <c r="TBL34" s="678"/>
      <c r="TBM34" s="678"/>
      <c r="TBN34" s="678"/>
      <c r="TBO34" s="678"/>
      <c r="TBP34" s="678"/>
      <c r="TBQ34" s="678"/>
      <c r="TBR34" s="678"/>
      <c r="TBS34" s="678"/>
      <c r="TBT34" s="678"/>
      <c r="TBU34" s="678"/>
      <c r="TBV34" s="678"/>
      <c r="TBW34" s="678"/>
      <c r="TBX34" s="678"/>
      <c r="TBY34" s="678"/>
      <c r="TBZ34" s="678"/>
      <c r="TCA34" s="678"/>
      <c r="TCB34" s="678"/>
      <c r="TCC34" s="678"/>
      <c r="TCD34" s="678"/>
      <c r="TCE34" s="678"/>
      <c r="TCF34" s="678"/>
      <c r="TCG34" s="678"/>
      <c r="TCH34" s="678"/>
      <c r="TCI34" s="678"/>
      <c r="TCJ34" s="678"/>
      <c r="TCK34" s="678"/>
      <c r="TCL34" s="678"/>
      <c r="TCM34" s="678"/>
      <c r="TCN34" s="678"/>
      <c r="TCO34" s="678"/>
      <c r="TCP34" s="678"/>
      <c r="TCQ34" s="678"/>
      <c r="TCR34" s="678"/>
      <c r="TCS34" s="678"/>
      <c r="TCT34" s="678"/>
      <c r="TCU34" s="678"/>
      <c r="TCV34" s="678"/>
      <c r="TCW34" s="678"/>
      <c r="TCX34" s="678"/>
      <c r="TCY34" s="678"/>
      <c r="TCZ34" s="678"/>
      <c r="TDA34" s="678"/>
      <c r="TDB34" s="678"/>
      <c r="TDC34" s="678"/>
      <c r="TDD34" s="678"/>
      <c r="TDE34" s="678"/>
      <c r="TDF34" s="678"/>
      <c r="TDG34" s="678"/>
      <c r="TDH34" s="678"/>
      <c r="TDI34" s="678"/>
      <c r="TDJ34" s="678"/>
      <c r="TDK34" s="678"/>
      <c r="TDL34" s="678"/>
      <c r="TDM34" s="678"/>
      <c r="TDN34" s="678"/>
      <c r="TDO34" s="678"/>
      <c r="TDP34" s="678"/>
      <c r="TDQ34" s="678"/>
      <c r="TDR34" s="678"/>
      <c r="TDS34" s="678"/>
      <c r="TDT34" s="678"/>
      <c r="TDU34" s="678"/>
      <c r="TDV34" s="678"/>
      <c r="TDW34" s="678"/>
      <c r="TDX34" s="678"/>
      <c r="TDY34" s="678"/>
      <c r="TDZ34" s="678"/>
      <c r="TEA34" s="678"/>
      <c r="TEB34" s="678"/>
      <c r="TEC34" s="678"/>
      <c r="TED34" s="678"/>
      <c r="TEE34" s="678"/>
      <c r="TEF34" s="678"/>
      <c r="TEG34" s="678"/>
      <c r="TEH34" s="678"/>
      <c r="TEI34" s="678"/>
      <c r="TEJ34" s="678"/>
      <c r="TEK34" s="678"/>
      <c r="TEL34" s="678"/>
      <c r="TEM34" s="678"/>
      <c r="TEN34" s="678"/>
      <c r="TEO34" s="678"/>
      <c r="TEP34" s="678"/>
      <c r="TEQ34" s="678"/>
      <c r="TER34" s="678"/>
      <c r="TES34" s="678"/>
      <c r="TET34" s="678"/>
      <c r="TEU34" s="678"/>
      <c r="TEV34" s="678"/>
      <c r="TEW34" s="678"/>
      <c r="TEX34" s="678"/>
      <c r="TEY34" s="678"/>
      <c r="TEZ34" s="678"/>
      <c r="TFA34" s="678"/>
      <c r="TFB34" s="678"/>
      <c r="TFC34" s="678"/>
      <c r="TFD34" s="678"/>
      <c r="TFE34" s="678"/>
      <c r="TFF34" s="678"/>
      <c r="TFG34" s="678"/>
      <c r="TFH34" s="678"/>
      <c r="TFI34" s="678"/>
      <c r="TFJ34" s="678"/>
      <c r="TFK34" s="678"/>
      <c r="TFL34" s="678"/>
      <c r="TFM34" s="678"/>
      <c r="TFN34" s="678"/>
      <c r="TFO34" s="678"/>
      <c r="TFP34" s="678"/>
      <c r="TFQ34" s="678"/>
      <c r="TFR34" s="678"/>
      <c r="TFS34" s="678"/>
      <c r="TFT34" s="678"/>
      <c r="TFU34" s="678"/>
      <c r="TFV34" s="678"/>
      <c r="TFW34" s="678"/>
      <c r="TFX34" s="678"/>
      <c r="TFY34" s="678"/>
      <c r="TFZ34" s="678"/>
      <c r="TGA34" s="678"/>
      <c r="TGB34" s="678"/>
      <c r="TGC34" s="678"/>
      <c r="TGD34" s="678"/>
      <c r="TGE34" s="678"/>
      <c r="TGF34" s="678"/>
      <c r="TGG34" s="678"/>
      <c r="TGH34" s="678"/>
      <c r="TGI34" s="678"/>
      <c r="TGJ34" s="678"/>
      <c r="TGK34" s="678"/>
      <c r="TGL34" s="678"/>
      <c r="TGM34" s="678"/>
      <c r="TGN34" s="678"/>
      <c r="TGO34" s="678"/>
      <c r="TGP34" s="678"/>
      <c r="TGQ34" s="678"/>
      <c r="TGR34" s="678"/>
      <c r="TGS34" s="678"/>
      <c r="TGT34" s="678"/>
      <c r="TGU34" s="678"/>
      <c r="TGV34" s="678"/>
      <c r="TGW34" s="678"/>
      <c r="TGX34" s="678"/>
      <c r="TGY34" s="678"/>
      <c r="TGZ34" s="678"/>
      <c r="THA34" s="678"/>
      <c r="THB34" s="678"/>
      <c r="THC34" s="678"/>
      <c r="THD34" s="678"/>
      <c r="THE34" s="678"/>
      <c r="THF34" s="678"/>
      <c r="THG34" s="678"/>
      <c r="THH34" s="678"/>
      <c r="THI34" s="678"/>
      <c r="THJ34" s="678"/>
      <c r="THK34" s="678"/>
      <c r="THL34" s="678"/>
      <c r="THM34" s="678"/>
      <c r="THN34" s="678"/>
      <c r="THO34" s="678"/>
      <c r="THP34" s="678"/>
      <c r="THQ34" s="678"/>
      <c r="THR34" s="678"/>
      <c r="THS34" s="678"/>
      <c r="THT34" s="678"/>
      <c r="THU34" s="678"/>
      <c r="THV34" s="678"/>
      <c r="THW34" s="678"/>
      <c r="THX34" s="678"/>
      <c r="THY34" s="678"/>
      <c r="THZ34" s="678"/>
      <c r="TIA34" s="678"/>
      <c r="TIB34" s="678"/>
      <c r="TIC34" s="678"/>
      <c r="TID34" s="678"/>
      <c r="TIE34" s="678"/>
      <c r="TIF34" s="678"/>
      <c r="TIG34" s="678"/>
      <c r="TIH34" s="678"/>
      <c r="TII34" s="678"/>
      <c r="TIJ34" s="678"/>
      <c r="TIK34" s="678"/>
      <c r="TIL34" s="678"/>
      <c r="TIM34" s="678"/>
      <c r="TIN34" s="678"/>
      <c r="TIO34" s="678"/>
      <c r="TIP34" s="678"/>
      <c r="TIQ34" s="678"/>
      <c r="TIR34" s="678"/>
      <c r="TIS34" s="678"/>
      <c r="TIT34" s="678"/>
      <c r="TIU34" s="678"/>
      <c r="TIV34" s="678"/>
      <c r="TIW34" s="678"/>
      <c r="TIX34" s="678"/>
      <c r="TIY34" s="678"/>
      <c r="TIZ34" s="678"/>
      <c r="TJA34" s="678"/>
      <c r="TJB34" s="678"/>
      <c r="TJC34" s="678"/>
      <c r="TJD34" s="678"/>
      <c r="TJE34" s="678"/>
      <c r="TJF34" s="678"/>
      <c r="TJG34" s="678"/>
      <c r="TJH34" s="678"/>
      <c r="TJI34" s="678"/>
      <c r="TJJ34" s="678"/>
      <c r="TJK34" s="678"/>
      <c r="TJL34" s="678"/>
      <c r="TJM34" s="678"/>
      <c r="TJN34" s="678"/>
      <c r="TJO34" s="678"/>
      <c r="TJP34" s="678"/>
      <c r="TJQ34" s="678"/>
      <c r="TJR34" s="678"/>
      <c r="TJS34" s="678"/>
      <c r="TJT34" s="678"/>
      <c r="TJU34" s="678"/>
      <c r="TJV34" s="678"/>
      <c r="TJW34" s="678"/>
      <c r="TJX34" s="678"/>
      <c r="TJY34" s="678"/>
      <c r="TJZ34" s="678"/>
      <c r="TKA34" s="678"/>
      <c r="TKB34" s="678"/>
      <c r="TKC34" s="678"/>
      <c r="TKD34" s="678"/>
      <c r="TKE34" s="678"/>
      <c r="TKF34" s="678"/>
      <c r="TKG34" s="678"/>
      <c r="TKH34" s="678"/>
      <c r="TKI34" s="678"/>
      <c r="TKJ34" s="678"/>
      <c r="TKK34" s="678"/>
      <c r="TKL34" s="678"/>
      <c r="TKM34" s="678"/>
      <c r="TKN34" s="678"/>
      <c r="TKO34" s="678"/>
      <c r="TKP34" s="678"/>
      <c r="TKQ34" s="678"/>
      <c r="TKR34" s="678"/>
      <c r="TKS34" s="678"/>
      <c r="TKT34" s="678"/>
      <c r="TKU34" s="678"/>
      <c r="TKV34" s="678"/>
      <c r="TKW34" s="678"/>
      <c r="TKX34" s="678"/>
      <c r="TKY34" s="678"/>
      <c r="TKZ34" s="678"/>
      <c r="TLA34" s="678"/>
      <c r="TLB34" s="678"/>
      <c r="TLC34" s="678"/>
      <c r="TLD34" s="678"/>
      <c r="TLE34" s="678"/>
      <c r="TLF34" s="678"/>
      <c r="TLG34" s="678"/>
      <c r="TLH34" s="678"/>
      <c r="TLI34" s="678"/>
      <c r="TLJ34" s="678"/>
      <c r="TLK34" s="678"/>
      <c r="TLL34" s="678"/>
      <c r="TLM34" s="678"/>
      <c r="TLN34" s="678"/>
      <c r="TLO34" s="678"/>
      <c r="TLP34" s="678"/>
      <c r="TLQ34" s="678"/>
      <c r="TLR34" s="678"/>
      <c r="TLS34" s="678"/>
      <c r="TLT34" s="678"/>
      <c r="TLU34" s="678"/>
      <c r="TLV34" s="678"/>
      <c r="TLW34" s="678"/>
      <c r="TLX34" s="678"/>
      <c r="TLY34" s="678"/>
      <c r="TLZ34" s="678"/>
      <c r="TMA34" s="678"/>
      <c r="TMB34" s="678"/>
      <c r="TMC34" s="678"/>
      <c r="TMD34" s="678"/>
      <c r="TME34" s="678"/>
      <c r="TMF34" s="678"/>
      <c r="TMG34" s="678"/>
      <c r="TMH34" s="678"/>
      <c r="TMI34" s="678"/>
      <c r="TMJ34" s="678"/>
      <c r="TMK34" s="678"/>
      <c r="TML34" s="678"/>
      <c r="TMM34" s="678"/>
      <c r="TMN34" s="678"/>
      <c r="TMO34" s="678"/>
      <c r="TMP34" s="678"/>
      <c r="TMQ34" s="678"/>
      <c r="TMR34" s="678"/>
      <c r="TMS34" s="678"/>
      <c r="TMT34" s="678"/>
      <c r="TMU34" s="678"/>
      <c r="TMV34" s="678"/>
      <c r="TMW34" s="678"/>
      <c r="TMX34" s="678"/>
      <c r="TMY34" s="678"/>
      <c r="TMZ34" s="678"/>
      <c r="TNA34" s="678"/>
      <c r="TNB34" s="678"/>
      <c r="TNC34" s="678"/>
      <c r="TND34" s="678"/>
      <c r="TNE34" s="678"/>
      <c r="TNF34" s="678"/>
      <c r="TNG34" s="678"/>
      <c r="TNH34" s="678"/>
      <c r="TNI34" s="678"/>
      <c r="TNJ34" s="678"/>
      <c r="TNK34" s="678"/>
      <c r="TNL34" s="678"/>
      <c r="TNM34" s="678"/>
      <c r="TNN34" s="678"/>
      <c r="TNO34" s="678"/>
      <c r="TNP34" s="678"/>
      <c r="TNQ34" s="678"/>
      <c r="TNR34" s="678"/>
      <c r="TNS34" s="678"/>
      <c r="TNT34" s="678"/>
      <c r="TNU34" s="678"/>
      <c r="TNV34" s="678"/>
      <c r="TNW34" s="678"/>
      <c r="TNX34" s="678"/>
      <c r="TNY34" s="678"/>
      <c r="TNZ34" s="678"/>
      <c r="TOA34" s="678"/>
      <c r="TOB34" s="678"/>
      <c r="TOC34" s="678"/>
      <c r="TOD34" s="678"/>
      <c r="TOE34" s="678"/>
      <c r="TOF34" s="678"/>
      <c r="TOG34" s="678"/>
      <c r="TOH34" s="678"/>
      <c r="TOI34" s="678"/>
      <c r="TOJ34" s="678"/>
      <c r="TOK34" s="678"/>
      <c r="TOL34" s="678"/>
      <c r="TOM34" s="678"/>
      <c r="TON34" s="678"/>
      <c r="TOO34" s="678"/>
      <c r="TOP34" s="678"/>
      <c r="TOQ34" s="678"/>
      <c r="TOR34" s="678"/>
      <c r="TOS34" s="678"/>
      <c r="TOT34" s="678"/>
      <c r="TOU34" s="678"/>
      <c r="TOV34" s="678"/>
      <c r="TOW34" s="678"/>
      <c r="TOX34" s="678"/>
      <c r="TOY34" s="678"/>
      <c r="TOZ34" s="678"/>
      <c r="TPA34" s="678"/>
      <c r="TPB34" s="678"/>
      <c r="TPC34" s="678"/>
      <c r="TPD34" s="678"/>
      <c r="TPE34" s="678"/>
      <c r="TPF34" s="678"/>
      <c r="TPG34" s="678"/>
      <c r="TPH34" s="678"/>
      <c r="TPI34" s="678"/>
      <c r="TPJ34" s="678"/>
      <c r="TPK34" s="678"/>
      <c r="TPL34" s="678"/>
      <c r="TPM34" s="678"/>
      <c r="TPN34" s="678"/>
      <c r="TPO34" s="678"/>
      <c r="TPP34" s="678"/>
      <c r="TPQ34" s="678"/>
      <c r="TPR34" s="678"/>
      <c r="TPS34" s="678"/>
      <c r="TPT34" s="678"/>
      <c r="TPU34" s="678"/>
      <c r="TPV34" s="678"/>
      <c r="TPW34" s="678"/>
      <c r="TPX34" s="678"/>
      <c r="TPY34" s="678"/>
      <c r="TPZ34" s="678"/>
      <c r="TQA34" s="678"/>
      <c r="TQB34" s="678"/>
      <c r="TQC34" s="678"/>
      <c r="TQD34" s="678"/>
      <c r="TQE34" s="678"/>
      <c r="TQF34" s="678"/>
      <c r="TQG34" s="678"/>
      <c r="TQH34" s="678"/>
      <c r="TQI34" s="678"/>
      <c r="TQJ34" s="678"/>
      <c r="TQK34" s="678"/>
      <c r="TQL34" s="678"/>
      <c r="TQM34" s="678"/>
      <c r="TQN34" s="678"/>
      <c r="TQO34" s="678"/>
      <c r="TQP34" s="678"/>
      <c r="TQQ34" s="678"/>
      <c r="TQR34" s="678"/>
      <c r="TQS34" s="678"/>
      <c r="TQT34" s="678"/>
      <c r="TQU34" s="678"/>
      <c r="TQV34" s="678"/>
      <c r="TQW34" s="678"/>
      <c r="TQX34" s="678"/>
      <c r="TQY34" s="678"/>
      <c r="TQZ34" s="678"/>
      <c r="TRA34" s="678"/>
      <c r="TRB34" s="678"/>
      <c r="TRC34" s="678"/>
      <c r="TRD34" s="678"/>
      <c r="TRE34" s="678"/>
      <c r="TRF34" s="678"/>
      <c r="TRG34" s="678"/>
      <c r="TRH34" s="678"/>
      <c r="TRI34" s="678"/>
      <c r="TRJ34" s="678"/>
      <c r="TRK34" s="678"/>
      <c r="TRL34" s="678"/>
      <c r="TRM34" s="678"/>
      <c r="TRN34" s="678"/>
      <c r="TRO34" s="678"/>
      <c r="TRP34" s="678"/>
      <c r="TRQ34" s="678"/>
      <c r="TRR34" s="678"/>
      <c r="TRS34" s="678"/>
      <c r="TRT34" s="678"/>
      <c r="TRU34" s="678"/>
      <c r="TRV34" s="678"/>
      <c r="TRW34" s="678"/>
      <c r="TRX34" s="678"/>
      <c r="TRY34" s="678"/>
      <c r="TRZ34" s="678"/>
      <c r="TSA34" s="678"/>
      <c r="TSB34" s="678"/>
      <c r="TSC34" s="678"/>
      <c r="TSD34" s="678"/>
      <c r="TSE34" s="678"/>
      <c r="TSF34" s="678"/>
      <c r="TSG34" s="678"/>
      <c r="TSH34" s="678"/>
      <c r="TSI34" s="678"/>
      <c r="TSJ34" s="678"/>
      <c r="TSK34" s="678"/>
      <c r="TSL34" s="678"/>
      <c r="TSM34" s="678"/>
      <c r="TSN34" s="678"/>
      <c r="TSO34" s="678"/>
      <c r="TSP34" s="678"/>
      <c r="TSQ34" s="678"/>
      <c r="TSR34" s="678"/>
      <c r="TSS34" s="678"/>
      <c r="TST34" s="678"/>
      <c r="TSU34" s="678"/>
      <c r="TSV34" s="678"/>
      <c r="TSW34" s="678"/>
      <c r="TSX34" s="678"/>
      <c r="TSY34" s="678"/>
      <c r="TSZ34" s="678"/>
      <c r="TTA34" s="678"/>
      <c r="TTB34" s="678"/>
      <c r="TTC34" s="678"/>
      <c r="TTD34" s="678"/>
      <c r="TTE34" s="678"/>
      <c r="TTF34" s="678"/>
      <c r="TTG34" s="678"/>
      <c r="TTH34" s="678"/>
      <c r="TTI34" s="678"/>
      <c r="TTJ34" s="678"/>
      <c r="TTK34" s="678"/>
      <c r="TTL34" s="678"/>
      <c r="TTM34" s="678"/>
      <c r="TTN34" s="678"/>
      <c r="TTO34" s="678"/>
      <c r="TTP34" s="678"/>
      <c r="TTQ34" s="678"/>
      <c r="TTR34" s="678"/>
      <c r="TTS34" s="678"/>
      <c r="TTT34" s="678"/>
      <c r="TTU34" s="678"/>
      <c r="TTV34" s="678"/>
      <c r="TTW34" s="678"/>
      <c r="TTX34" s="678"/>
      <c r="TTY34" s="678"/>
      <c r="TTZ34" s="678"/>
      <c r="TUA34" s="678"/>
      <c r="TUB34" s="678"/>
      <c r="TUC34" s="678"/>
      <c r="TUD34" s="678"/>
      <c r="TUE34" s="678"/>
      <c r="TUF34" s="678"/>
      <c r="TUG34" s="678"/>
      <c r="TUH34" s="678"/>
      <c r="TUI34" s="678"/>
      <c r="TUJ34" s="678"/>
      <c r="TUK34" s="678"/>
      <c r="TUL34" s="678"/>
      <c r="TUM34" s="678"/>
      <c r="TUN34" s="678"/>
      <c r="TUO34" s="678"/>
      <c r="TUP34" s="678"/>
      <c r="TUQ34" s="678"/>
      <c r="TUR34" s="678"/>
      <c r="TUS34" s="678"/>
      <c r="TUT34" s="678"/>
      <c r="TUU34" s="678"/>
      <c r="TUV34" s="678"/>
      <c r="TUW34" s="678"/>
      <c r="TUX34" s="678"/>
      <c r="TUY34" s="678"/>
      <c r="TUZ34" s="678"/>
      <c r="TVA34" s="678"/>
      <c r="TVB34" s="678"/>
      <c r="TVC34" s="678"/>
      <c r="TVD34" s="678"/>
      <c r="TVE34" s="678"/>
      <c r="TVF34" s="678"/>
      <c r="TVG34" s="678"/>
      <c r="TVH34" s="678"/>
      <c r="TVI34" s="678"/>
      <c r="TVJ34" s="678"/>
      <c r="TVK34" s="678"/>
      <c r="TVL34" s="678"/>
      <c r="TVM34" s="678"/>
      <c r="TVN34" s="678"/>
      <c r="TVO34" s="678"/>
      <c r="TVP34" s="678"/>
      <c r="TVQ34" s="678"/>
      <c r="TVR34" s="678"/>
      <c r="TVS34" s="678"/>
      <c r="TVT34" s="678"/>
      <c r="TVU34" s="678"/>
      <c r="TVV34" s="678"/>
      <c r="TVW34" s="678"/>
      <c r="TVX34" s="678"/>
      <c r="TVY34" s="678"/>
      <c r="TVZ34" s="678"/>
      <c r="TWA34" s="678"/>
      <c r="TWB34" s="678"/>
      <c r="TWC34" s="678"/>
      <c r="TWD34" s="678"/>
      <c r="TWE34" s="678"/>
      <c r="TWF34" s="678"/>
      <c r="TWG34" s="678"/>
      <c r="TWH34" s="678"/>
      <c r="TWI34" s="678"/>
      <c r="TWJ34" s="678"/>
      <c r="TWK34" s="678"/>
      <c r="TWL34" s="678"/>
      <c r="TWM34" s="678"/>
      <c r="TWN34" s="678"/>
      <c r="TWO34" s="678"/>
      <c r="TWP34" s="678"/>
      <c r="TWQ34" s="678"/>
      <c r="TWR34" s="678"/>
      <c r="TWS34" s="678"/>
      <c r="TWT34" s="678"/>
      <c r="TWU34" s="678"/>
      <c r="TWV34" s="678"/>
      <c r="TWW34" s="678"/>
      <c r="TWX34" s="678"/>
      <c r="TWY34" s="678"/>
      <c r="TWZ34" s="678"/>
      <c r="TXA34" s="678"/>
      <c r="TXB34" s="678"/>
      <c r="TXC34" s="678"/>
      <c r="TXD34" s="678"/>
      <c r="TXE34" s="678"/>
      <c r="TXF34" s="678"/>
      <c r="TXG34" s="678"/>
      <c r="TXH34" s="678"/>
      <c r="TXI34" s="678"/>
      <c r="TXJ34" s="678"/>
      <c r="TXK34" s="678"/>
      <c r="TXL34" s="678"/>
      <c r="TXM34" s="678"/>
      <c r="TXN34" s="678"/>
      <c r="TXO34" s="678"/>
      <c r="TXP34" s="678"/>
      <c r="TXQ34" s="678"/>
      <c r="TXR34" s="678"/>
      <c r="TXS34" s="678"/>
      <c r="TXT34" s="678"/>
      <c r="TXU34" s="678"/>
      <c r="TXV34" s="678"/>
      <c r="TXW34" s="678"/>
      <c r="TXX34" s="678"/>
      <c r="TXY34" s="678"/>
      <c r="TXZ34" s="678"/>
      <c r="TYA34" s="678"/>
      <c r="TYB34" s="678"/>
      <c r="TYC34" s="678"/>
      <c r="TYD34" s="678"/>
      <c r="TYE34" s="678"/>
      <c r="TYF34" s="678"/>
      <c r="TYG34" s="678"/>
      <c r="TYH34" s="678"/>
      <c r="TYI34" s="678"/>
      <c r="TYJ34" s="678"/>
      <c r="TYK34" s="678"/>
      <c r="TYL34" s="678"/>
      <c r="TYM34" s="678"/>
      <c r="TYN34" s="678"/>
      <c r="TYO34" s="678"/>
      <c r="TYP34" s="678"/>
      <c r="TYQ34" s="678"/>
      <c r="TYR34" s="678"/>
      <c r="TYS34" s="678"/>
      <c r="TYT34" s="678"/>
      <c r="TYU34" s="678"/>
      <c r="TYV34" s="678"/>
      <c r="TYW34" s="678"/>
      <c r="TYX34" s="678"/>
      <c r="TYY34" s="678"/>
      <c r="TYZ34" s="678"/>
      <c r="TZA34" s="678"/>
      <c r="TZB34" s="678"/>
      <c r="TZC34" s="678"/>
      <c r="TZD34" s="678"/>
      <c r="TZE34" s="678"/>
      <c r="TZF34" s="678"/>
      <c r="TZG34" s="678"/>
      <c r="TZH34" s="678"/>
      <c r="TZI34" s="678"/>
      <c r="TZJ34" s="678"/>
      <c r="TZK34" s="678"/>
      <c r="TZL34" s="678"/>
      <c r="TZM34" s="678"/>
      <c r="TZN34" s="678"/>
      <c r="TZO34" s="678"/>
      <c r="TZP34" s="678"/>
      <c r="TZQ34" s="678"/>
      <c r="TZR34" s="678"/>
      <c r="TZS34" s="678"/>
      <c r="TZT34" s="678"/>
      <c r="TZU34" s="678"/>
      <c r="TZV34" s="678"/>
      <c r="TZW34" s="678"/>
      <c r="TZX34" s="678"/>
      <c r="TZY34" s="678"/>
      <c r="TZZ34" s="678"/>
      <c r="UAA34" s="678"/>
      <c r="UAB34" s="678"/>
      <c r="UAC34" s="678"/>
      <c r="UAD34" s="678"/>
      <c r="UAE34" s="678"/>
      <c r="UAF34" s="678"/>
      <c r="UAG34" s="678"/>
      <c r="UAH34" s="678"/>
      <c r="UAI34" s="678"/>
      <c r="UAJ34" s="678"/>
      <c r="UAK34" s="678"/>
      <c r="UAL34" s="678"/>
      <c r="UAM34" s="678"/>
      <c r="UAN34" s="678"/>
      <c r="UAO34" s="678"/>
      <c r="UAP34" s="678"/>
      <c r="UAQ34" s="678"/>
      <c r="UAR34" s="678"/>
      <c r="UAS34" s="678"/>
      <c r="UAT34" s="678"/>
      <c r="UAU34" s="678"/>
      <c r="UAV34" s="678"/>
      <c r="UAW34" s="678"/>
      <c r="UAX34" s="678"/>
      <c r="UAY34" s="678"/>
      <c r="UAZ34" s="678"/>
      <c r="UBA34" s="678"/>
      <c r="UBB34" s="678"/>
      <c r="UBC34" s="678"/>
      <c r="UBD34" s="678"/>
      <c r="UBE34" s="678"/>
      <c r="UBF34" s="678"/>
      <c r="UBG34" s="678"/>
      <c r="UBH34" s="678"/>
      <c r="UBI34" s="678"/>
      <c r="UBJ34" s="678"/>
      <c r="UBK34" s="678"/>
      <c r="UBL34" s="678"/>
      <c r="UBM34" s="678"/>
      <c r="UBN34" s="678"/>
      <c r="UBO34" s="678"/>
      <c r="UBP34" s="678"/>
      <c r="UBQ34" s="678"/>
      <c r="UBR34" s="678"/>
      <c r="UBS34" s="678"/>
      <c r="UBT34" s="678"/>
      <c r="UBU34" s="678"/>
      <c r="UBV34" s="678"/>
      <c r="UBW34" s="678"/>
      <c r="UBX34" s="678"/>
      <c r="UBY34" s="678"/>
      <c r="UBZ34" s="678"/>
      <c r="UCA34" s="678"/>
      <c r="UCB34" s="678"/>
      <c r="UCC34" s="678"/>
      <c r="UCD34" s="678"/>
      <c r="UCE34" s="678"/>
      <c r="UCF34" s="678"/>
      <c r="UCG34" s="678"/>
      <c r="UCH34" s="678"/>
      <c r="UCI34" s="678"/>
      <c r="UCJ34" s="678"/>
      <c r="UCK34" s="678"/>
      <c r="UCL34" s="678"/>
      <c r="UCM34" s="678"/>
      <c r="UCN34" s="678"/>
      <c r="UCO34" s="678"/>
      <c r="UCP34" s="678"/>
      <c r="UCQ34" s="678"/>
      <c r="UCR34" s="678"/>
      <c r="UCS34" s="678"/>
      <c r="UCT34" s="678"/>
      <c r="UCU34" s="678"/>
      <c r="UCV34" s="678"/>
      <c r="UCW34" s="678"/>
      <c r="UCX34" s="678"/>
      <c r="UCY34" s="678"/>
      <c r="UCZ34" s="678"/>
      <c r="UDA34" s="678"/>
      <c r="UDB34" s="678"/>
      <c r="UDC34" s="678"/>
      <c r="UDD34" s="678"/>
      <c r="UDE34" s="678"/>
      <c r="UDF34" s="678"/>
      <c r="UDG34" s="678"/>
      <c r="UDH34" s="678"/>
      <c r="UDI34" s="678"/>
      <c r="UDJ34" s="678"/>
      <c r="UDK34" s="678"/>
      <c r="UDL34" s="678"/>
      <c r="UDM34" s="678"/>
      <c r="UDN34" s="678"/>
      <c r="UDO34" s="678"/>
      <c r="UDP34" s="678"/>
      <c r="UDQ34" s="678"/>
      <c r="UDR34" s="678"/>
      <c r="UDS34" s="678"/>
      <c r="UDT34" s="678"/>
      <c r="UDU34" s="678"/>
      <c r="UDV34" s="678"/>
      <c r="UDW34" s="678"/>
      <c r="UDX34" s="678"/>
      <c r="UDY34" s="678"/>
      <c r="UDZ34" s="678"/>
      <c r="UEA34" s="678"/>
      <c r="UEB34" s="678"/>
      <c r="UEC34" s="678"/>
      <c r="UED34" s="678"/>
      <c r="UEE34" s="678"/>
      <c r="UEF34" s="678"/>
      <c r="UEG34" s="678"/>
      <c r="UEH34" s="678"/>
      <c r="UEI34" s="678"/>
      <c r="UEJ34" s="678"/>
      <c r="UEK34" s="678"/>
      <c r="UEL34" s="678"/>
      <c r="UEM34" s="678"/>
      <c r="UEN34" s="678"/>
      <c r="UEO34" s="678"/>
      <c r="UEP34" s="678"/>
      <c r="UEQ34" s="678"/>
      <c r="UER34" s="678"/>
      <c r="UES34" s="678"/>
      <c r="UET34" s="678"/>
      <c r="UEU34" s="678"/>
      <c r="UEV34" s="678"/>
      <c r="UEW34" s="678"/>
      <c r="UEX34" s="678"/>
      <c r="UEY34" s="678"/>
      <c r="UEZ34" s="678"/>
      <c r="UFA34" s="678"/>
      <c r="UFB34" s="678"/>
      <c r="UFC34" s="678"/>
      <c r="UFD34" s="678"/>
      <c r="UFE34" s="678"/>
      <c r="UFF34" s="678"/>
      <c r="UFG34" s="678"/>
      <c r="UFH34" s="678"/>
      <c r="UFI34" s="678"/>
      <c r="UFJ34" s="678"/>
      <c r="UFK34" s="678"/>
      <c r="UFL34" s="678"/>
      <c r="UFM34" s="678"/>
      <c r="UFN34" s="678"/>
      <c r="UFO34" s="678"/>
      <c r="UFP34" s="678"/>
      <c r="UFQ34" s="678"/>
      <c r="UFR34" s="678"/>
      <c r="UFS34" s="678"/>
      <c r="UFT34" s="678"/>
      <c r="UFU34" s="678"/>
      <c r="UFV34" s="678"/>
      <c r="UFW34" s="678"/>
      <c r="UFX34" s="678"/>
      <c r="UFY34" s="678"/>
      <c r="UFZ34" s="678"/>
      <c r="UGA34" s="678"/>
      <c r="UGB34" s="678"/>
      <c r="UGC34" s="678"/>
      <c r="UGD34" s="678"/>
      <c r="UGE34" s="678"/>
      <c r="UGF34" s="678"/>
      <c r="UGG34" s="678"/>
      <c r="UGH34" s="678"/>
      <c r="UGI34" s="678"/>
      <c r="UGJ34" s="678"/>
      <c r="UGK34" s="678"/>
      <c r="UGL34" s="678"/>
      <c r="UGM34" s="678"/>
      <c r="UGN34" s="678"/>
      <c r="UGO34" s="678"/>
      <c r="UGP34" s="678"/>
      <c r="UGQ34" s="678"/>
      <c r="UGR34" s="678"/>
      <c r="UGS34" s="678"/>
      <c r="UGT34" s="678"/>
      <c r="UGU34" s="678"/>
      <c r="UGV34" s="678"/>
      <c r="UGW34" s="678"/>
      <c r="UGX34" s="678"/>
      <c r="UGY34" s="678"/>
      <c r="UGZ34" s="678"/>
      <c r="UHA34" s="678"/>
      <c r="UHB34" s="678"/>
      <c r="UHC34" s="678"/>
      <c r="UHD34" s="678"/>
      <c r="UHE34" s="678"/>
      <c r="UHF34" s="678"/>
      <c r="UHG34" s="678"/>
      <c r="UHH34" s="678"/>
      <c r="UHI34" s="678"/>
      <c r="UHJ34" s="678"/>
      <c r="UHK34" s="678"/>
      <c r="UHL34" s="678"/>
      <c r="UHM34" s="678"/>
      <c r="UHN34" s="678"/>
      <c r="UHO34" s="678"/>
      <c r="UHP34" s="678"/>
      <c r="UHQ34" s="678"/>
      <c r="UHR34" s="678"/>
      <c r="UHS34" s="678"/>
      <c r="UHT34" s="678"/>
      <c r="UHU34" s="678"/>
      <c r="UHV34" s="678"/>
      <c r="UHW34" s="678"/>
      <c r="UHX34" s="678"/>
      <c r="UHY34" s="678"/>
      <c r="UHZ34" s="678"/>
      <c r="UIA34" s="678"/>
      <c r="UIB34" s="678"/>
      <c r="UIC34" s="678"/>
      <c r="UID34" s="678"/>
      <c r="UIE34" s="678"/>
      <c r="UIF34" s="678"/>
      <c r="UIG34" s="678"/>
      <c r="UIH34" s="678"/>
      <c r="UII34" s="678"/>
      <c r="UIJ34" s="678"/>
      <c r="UIK34" s="678"/>
      <c r="UIL34" s="678"/>
      <c r="UIM34" s="678"/>
      <c r="UIN34" s="678"/>
      <c r="UIO34" s="678"/>
      <c r="UIP34" s="678"/>
      <c r="UIQ34" s="678"/>
      <c r="UIR34" s="678"/>
      <c r="UIS34" s="678"/>
      <c r="UIT34" s="678"/>
      <c r="UIU34" s="678"/>
      <c r="UIV34" s="678"/>
      <c r="UIW34" s="678"/>
      <c r="UIX34" s="678"/>
      <c r="UIY34" s="678"/>
      <c r="UIZ34" s="678"/>
      <c r="UJA34" s="678"/>
      <c r="UJB34" s="678"/>
      <c r="UJC34" s="678"/>
      <c r="UJD34" s="678"/>
      <c r="UJE34" s="678"/>
      <c r="UJF34" s="678"/>
      <c r="UJG34" s="678"/>
      <c r="UJH34" s="678"/>
      <c r="UJI34" s="678"/>
      <c r="UJJ34" s="678"/>
      <c r="UJK34" s="678"/>
      <c r="UJL34" s="678"/>
      <c r="UJM34" s="678"/>
      <c r="UJN34" s="678"/>
      <c r="UJO34" s="678"/>
      <c r="UJP34" s="678"/>
      <c r="UJQ34" s="678"/>
      <c r="UJR34" s="678"/>
      <c r="UJS34" s="678"/>
      <c r="UJT34" s="678"/>
      <c r="UJU34" s="678"/>
      <c r="UJV34" s="678"/>
      <c r="UJW34" s="678"/>
      <c r="UJX34" s="678"/>
      <c r="UJY34" s="678"/>
      <c r="UJZ34" s="678"/>
      <c r="UKA34" s="678"/>
      <c r="UKB34" s="678"/>
      <c r="UKC34" s="678"/>
      <c r="UKD34" s="678"/>
      <c r="UKE34" s="678"/>
      <c r="UKF34" s="678"/>
      <c r="UKG34" s="678"/>
      <c r="UKH34" s="678"/>
      <c r="UKI34" s="678"/>
      <c r="UKJ34" s="678"/>
      <c r="UKK34" s="678"/>
      <c r="UKL34" s="678"/>
      <c r="UKM34" s="678"/>
      <c r="UKN34" s="678"/>
      <c r="UKO34" s="678"/>
      <c r="UKP34" s="678"/>
      <c r="UKQ34" s="678"/>
      <c r="UKR34" s="678"/>
      <c r="UKS34" s="678"/>
      <c r="UKT34" s="678"/>
      <c r="UKU34" s="678"/>
      <c r="UKV34" s="678"/>
      <c r="UKW34" s="678"/>
      <c r="UKX34" s="678"/>
      <c r="UKY34" s="678"/>
      <c r="UKZ34" s="678"/>
      <c r="ULA34" s="678"/>
      <c r="ULB34" s="678"/>
      <c r="ULC34" s="678"/>
      <c r="ULD34" s="678"/>
      <c r="ULE34" s="678"/>
      <c r="ULF34" s="678"/>
      <c r="ULG34" s="678"/>
      <c r="ULH34" s="678"/>
      <c r="ULI34" s="678"/>
      <c r="ULJ34" s="678"/>
      <c r="ULK34" s="678"/>
      <c r="ULL34" s="678"/>
      <c r="ULM34" s="678"/>
      <c r="ULN34" s="678"/>
      <c r="ULO34" s="678"/>
      <c r="ULP34" s="678"/>
      <c r="ULQ34" s="678"/>
      <c r="ULR34" s="678"/>
      <c r="ULS34" s="678"/>
      <c r="ULT34" s="678"/>
      <c r="ULU34" s="678"/>
      <c r="ULV34" s="678"/>
      <c r="ULW34" s="678"/>
      <c r="ULX34" s="678"/>
      <c r="ULY34" s="678"/>
      <c r="ULZ34" s="678"/>
      <c r="UMA34" s="678"/>
      <c r="UMB34" s="678"/>
      <c r="UMC34" s="678"/>
      <c r="UMD34" s="678"/>
      <c r="UME34" s="678"/>
      <c r="UMF34" s="678"/>
      <c r="UMG34" s="678"/>
      <c r="UMH34" s="678"/>
      <c r="UMI34" s="678"/>
      <c r="UMJ34" s="678"/>
      <c r="UMK34" s="678"/>
      <c r="UML34" s="678"/>
      <c r="UMM34" s="678"/>
      <c r="UMN34" s="678"/>
      <c r="UMO34" s="678"/>
      <c r="UMP34" s="678"/>
      <c r="UMQ34" s="678"/>
      <c r="UMR34" s="678"/>
      <c r="UMS34" s="678"/>
      <c r="UMT34" s="678"/>
      <c r="UMU34" s="678"/>
      <c r="UMV34" s="678"/>
      <c r="UMW34" s="678"/>
      <c r="UMX34" s="678"/>
      <c r="UMY34" s="678"/>
      <c r="UMZ34" s="678"/>
      <c r="UNA34" s="678"/>
      <c r="UNB34" s="678"/>
      <c r="UNC34" s="678"/>
      <c r="UND34" s="678"/>
      <c r="UNE34" s="678"/>
      <c r="UNF34" s="678"/>
      <c r="UNG34" s="678"/>
      <c r="UNH34" s="678"/>
      <c r="UNI34" s="678"/>
      <c r="UNJ34" s="678"/>
      <c r="UNK34" s="678"/>
      <c r="UNL34" s="678"/>
      <c r="UNM34" s="678"/>
      <c r="UNN34" s="678"/>
      <c r="UNO34" s="678"/>
      <c r="UNP34" s="678"/>
      <c r="UNQ34" s="678"/>
      <c r="UNR34" s="678"/>
      <c r="UNS34" s="678"/>
      <c r="UNT34" s="678"/>
      <c r="UNU34" s="678"/>
      <c r="UNV34" s="678"/>
      <c r="UNW34" s="678"/>
      <c r="UNX34" s="678"/>
      <c r="UNY34" s="678"/>
      <c r="UNZ34" s="678"/>
      <c r="UOA34" s="678"/>
      <c r="UOB34" s="678"/>
      <c r="UOC34" s="678"/>
      <c r="UOD34" s="678"/>
      <c r="UOE34" s="678"/>
      <c r="UOF34" s="678"/>
      <c r="UOG34" s="678"/>
      <c r="UOH34" s="678"/>
      <c r="UOI34" s="678"/>
      <c r="UOJ34" s="678"/>
      <c r="UOK34" s="678"/>
      <c r="UOL34" s="678"/>
      <c r="UOM34" s="678"/>
      <c r="UON34" s="678"/>
      <c r="UOO34" s="678"/>
      <c r="UOP34" s="678"/>
      <c r="UOQ34" s="678"/>
      <c r="UOR34" s="678"/>
      <c r="UOS34" s="678"/>
      <c r="UOT34" s="678"/>
      <c r="UOU34" s="678"/>
      <c r="UOV34" s="678"/>
      <c r="UOW34" s="678"/>
      <c r="UOX34" s="678"/>
      <c r="UOY34" s="678"/>
      <c r="UOZ34" s="678"/>
      <c r="UPA34" s="678"/>
      <c r="UPB34" s="678"/>
      <c r="UPC34" s="678"/>
      <c r="UPD34" s="678"/>
      <c r="UPE34" s="678"/>
      <c r="UPF34" s="678"/>
      <c r="UPG34" s="678"/>
      <c r="UPH34" s="678"/>
      <c r="UPI34" s="678"/>
      <c r="UPJ34" s="678"/>
      <c r="UPK34" s="678"/>
      <c r="UPL34" s="678"/>
      <c r="UPM34" s="678"/>
      <c r="UPN34" s="678"/>
      <c r="UPO34" s="678"/>
      <c r="UPP34" s="678"/>
      <c r="UPQ34" s="678"/>
      <c r="UPR34" s="678"/>
      <c r="UPS34" s="678"/>
      <c r="UPT34" s="678"/>
      <c r="UPU34" s="678"/>
      <c r="UPV34" s="678"/>
      <c r="UPW34" s="678"/>
      <c r="UPX34" s="678"/>
      <c r="UPY34" s="678"/>
      <c r="UPZ34" s="678"/>
      <c r="UQA34" s="678"/>
      <c r="UQB34" s="678"/>
      <c r="UQC34" s="678"/>
      <c r="UQD34" s="678"/>
      <c r="UQE34" s="678"/>
      <c r="UQF34" s="678"/>
      <c r="UQG34" s="678"/>
      <c r="UQH34" s="678"/>
      <c r="UQI34" s="678"/>
      <c r="UQJ34" s="678"/>
      <c r="UQK34" s="678"/>
      <c r="UQL34" s="678"/>
      <c r="UQM34" s="678"/>
      <c r="UQN34" s="678"/>
      <c r="UQO34" s="678"/>
      <c r="UQP34" s="678"/>
      <c r="UQQ34" s="678"/>
      <c r="UQR34" s="678"/>
      <c r="UQS34" s="678"/>
      <c r="UQT34" s="678"/>
      <c r="UQU34" s="678"/>
      <c r="UQV34" s="678"/>
      <c r="UQW34" s="678"/>
      <c r="UQX34" s="678"/>
      <c r="UQY34" s="678"/>
      <c r="UQZ34" s="678"/>
      <c r="URA34" s="678"/>
      <c r="URB34" s="678"/>
      <c r="URC34" s="678"/>
      <c r="URD34" s="678"/>
      <c r="URE34" s="678"/>
      <c r="URF34" s="678"/>
      <c r="URG34" s="678"/>
      <c r="URH34" s="678"/>
      <c r="URI34" s="678"/>
      <c r="URJ34" s="678"/>
      <c r="URK34" s="678"/>
      <c r="URL34" s="678"/>
      <c r="URM34" s="678"/>
      <c r="URN34" s="678"/>
      <c r="URO34" s="678"/>
      <c r="URP34" s="678"/>
      <c r="URQ34" s="678"/>
      <c r="URR34" s="678"/>
      <c r="URS34" s="678"/>
      <c r="URT34" s="678"/>
      <c r="URU34" s="678"/>
      <c r="URV34" s="678"/>
      <c r="URW34" s="678"/>
      <c r="URX34" s="678"/>
      <c r="URY34" s="678"/>
      <c r="URZ34" s="678"/>
      <c r="USA34" s="678"/>
      <c r="USB34" s="678"/>
      <c r="USC34" s="678"/>
      <c r="USD34" s="678"/>
      <c r="USE34" s="678"/>
      <c r="USF34" s="678"/>
      <c r="USG34" s="678"/>
      <c r="USH34" s="678"/>
      <c r="USI34" s="678"/>
      <c r="USJ34" s="678"/>
      <c r="USK34" s="678"/>
      <c r="USL34" s="678"/>
      <c r="USM34" s="678"/>
      <c r="USN34" s="678"/>
      <c r="USO34" s="678"/>
      <c r="USP34" s="678"/>
      <c r="USQ34" s="678"/>
      <c r="USR34" s="678"/>
      <c r="USS34" s="678"/>
      <c r="UST34" s="678"/>
      <c r="USU34" s="678"/>
      <c r="USV34" s="678"/>
      <c r="USW34" s="678"/>
      <c r="USX34" s="678"/>
      <c r="USY34" s="678"/>
      <c r="USZ34" s="678"/>
      <c r="UTA34" s="678"/>
      <c r="UTB34" s="678"/>
      <c r="UTC34" s="678"/>
      <c r="UTD34" s="678"/>
      <c r="UTE34" s="678"/>
      <c r="UTF34" s="678"/>
      <c r="UTG34" s="678"/>
      <c r="UTH34" s="678"/>
      <c r="UTI34" s="678"/>
      <c r="UTJ34" s="678"/>
      <c r="UTK34" s="678"/>
      <c r="UTL34" s="678"/>
      <c r="UTM34" s="678"/>
      <c r="UTN34" s="678"/>
      <c r="UTO34" s="678"/>
      <c r="UTP34" s="678"/>
      <c r="UTQ34" s="678"/>
      <c r="UTR34" s="678"/>
      <c r="UTS34" s="678"/>
      <c r="UTT34" s="678"/>
      <c r="UTU34" s="678"/>
      <c r="UTV34" s="678"/>
      <c r="UTW34" s="678"/>
      <c r="UTX34" s="678"/>
      <c r="UTY34" s="678"/>
      <c r="UTZ34" s="678"/>
      <c r="UUA34" s="678"/>
      <c r="UUB34" s="678"/>
      <c r="UUC34" s="678"/>
      <c r="UUD34" s="678"/>
      <c r="UUE34" s="678"/>
      <c r="UUF34" s="678"/>
      <c r="UUG34" s="678"/>
      <c r="UUH34" s="678"/>
      <c r="UUI34" s="678"/>
      <c r="UUJ34" s="678"/>
      <c r="UUK34" s="678"/>
      <c r="UUL34" s="678"/>
      <c r="UUM34" s="678"/>
      <c r="UUN34" s="678"/>
      <c r="UUO34" s="678"/>
      <c r="UUP34" s="678"/>
      <c r="UUQ34" s="678"/>
      <c r="UUR34" s="678"/>
      <c r="UUS34" s="678"/>
      <c r="UUT34" s="678"/>
      <c r="UUU34" s="678"/>
      <c r="UUV34" s="678"/>
      <c r="UUW34" s="678"/>
      <c r="UUX34" s="678"/>
      <c r="UUY34" s="678"/>
      <c r="UUZ34" s="678"/>
      <c r="UVA34" s="678"/>
      <c r="UVB34" s="678"/>
      <c r="UVC34" s="678"/>
      <c r="UVD34" s="678"/>
      <c r="UVE34" s="678"/>
      <c r="UVF34" s="678"/>
      <c r="UVG34" s="678"/>
      <c r="UVH34" s="678"/>
      <c r="UVI34" s="678"/>
      <c r="UVJ34" s="678"/>
      <c r="UVK34" s="678"/>
      <c r="UVL34" s="678"/>
      <c r="UVM34" s="678"/>
      <c r="UVN34" s="678"/>
      <c r="UVO34" s="678"/>
      <c r="UVP34" s="678"/>
      <c r="UVQ34" s="678"/>
      <c r="UVR34" s="678"/>
      <c r="UVS34" s="678"/>
      <c r="UVT34" s="678"/>
      <c r="UVU34" s="678"/>
      <c r="UVV34" s="678"/>
      <c r="UVW34" s="678"/>
      <c r="UVX34" s="678"/>
      <c r="UVY34" s="678"/>
      <c r="UVZ34" s="678"/>
      <c r="UWA34" s="678"/>
      <c r="UWB34" s="678"/>
      <c r="UWC34" s="678"/>
      <c r="UWD34" s="678"/>
      <c r="UWE34" s="678"/>
      <c r="UWF34" s="678"/>
      <c r="UWG34" s="678"/>
      <c r="UWH34" s="678"/>
      <c r="UWI34" s="678"/>
      <c r="UWJ34" s="678"/>
      <c r="UWK34" s="678"/>
      <c r="UWL34" s="678"/>
      <c r="UWM34" s="678"/>
      <c r="UWN34" s="678"/>
      <c r="UWO34" s="678"/>
      <c r="UWP34" s="678"/>
      <c r="UWQ34" s="678"/>
      <c r="UWR34" s="678"/>
      <c r="UWS34" s="678"/>
      <c r="UWT34" s="678"/>
      <c r="UWU34" s="678"/>
      <c r="UWV34" s="678"/>
      <c r="UWW34" s="678"/>
      <c r="UWX34" s="678"/>
      <c r="UWY34" s="678"/>
      <c r="UWZ34" s="678"/>
      <c r="UXA34" s="678"/>
      <c r="UXB34" s="678"/>
      <c r="UXC34" s="678"/>
      <c r="UXD34" s="678"/>
      <c r="UXE34" s="678"/>
      <c r="UXF34" s="678"/>
      <c r="UXG34" s="678"/>
      <c r="UXH34" s="678"/>
      <c r="UXI34" s="678"/>
      <c r="UXJ34" s="678"/>
      <c r="UXK34" s="678"/>
      <c r="UXL34" s="678"/>
      <c r="UXM34" s="678"/>
      <c r="UXN34" s="678"/>
      <c r="UXO34" s="678"/>
      <c r="UXP34" s="678"/>
      <c r="UXQ34" s="678"/>
      <c r="UXR34" s="678"/>
      <c r="UXS34" s="678"/>
      <c r="UXT34" s="678"/>
      <c r="UXU34" s="678"/>
      <c r="UXV34" s="678"/>
      <c r="UXW34" s="678"/>
      <c r="UXX34" s="678"/>
      <c r="UXY34" s="678"/>
      <c r="UXZ34" s="678"/>
      <c r="UYA34" s="678"/>
      <c r="UYB34" s="678"/>
      <c r="UYC34" s="678"/>
      <c r="UYD34" s="678"/>
      <c r="UYE34" s="678"/>
      <c r="UYF34" s="678"/>
      <c r="UYG34" s="678"/>
      <c r="UYH34" s="678"/>
      <c r="UYI34" s="678"/>
      <c r="UYJ34" s="678"/>
      <c r="UYK34" s="678"/>
      <c r="UYL34" s="678"/>
      <c r="UYM34" s="678"/>
      <c r="UYN34" s="678"/>
      <c r="UYO34" s="678"/>
      <c r="UYP34" s="678"/>
      <c r="UYQ34" s="678"/>
      <c r="UYR34" s="678"/>
      <c r="UYS34" s="678"/>
      <c r="UYT34" s="678"/>
      <c r="UYU34" s="678"/>
      <c r="UYV34" s="678"/>
      <c r="UYW34" s="678"/>
      <c r="UYX34" s="678"/>
      <c r="UYY34" s="678"/>
      <c r="UYZ34" s="678"/>
      <c r="UZA34" s="678"/>
      <c r="UZB34" s="678"/>
      <c r="UZC34" s="678"/>
      <c r="UZD34" s="678"/>
      <c r="UZE34" s="678"/>
      <c r="UZF34" s="678"/>
      <c r="UZG34" s="678"/>
      <c r="UZH34" s="678"/>
      <c r="UZI34" s="678"/>
      <c r="UZJ34" s="678"/>
      <c r="UZK34" s="678"/>
      <c r="UZL34" s="678"/>
      <c r="UZM34" s="678"/>
      <c r="UZN34" s="678"/>
      <c r="UZO34" s="678"/>
      <c r="UZP34" s="678"/>
      <c r="UZQ34" s="678"/>
      <c r="UZR34" s="678"/>
      <c r="UZS34" s="678"/>
      <c r="UZT34" s="678"/>
      <c r="UZU34" s="678"/>
      <c r="UZV34" s="678"/>
      <c r="UZW34" s="678"/>
      <c r="UZX34" s="678"/>
      <c r="UZY34" s="678"/>
      <c r="UZZ34" s="678"/>
      <c r="VAA34" s="678"/>
      <c r="VAB34" s="678"/>
      <c r="VAC34" s="678"/>
      <c r="VAD34" s="678"/>
      <c r="VAE34" s="678"/>
      <c r="VAF34" s="678"/>
      <c r="VAG34" s="678"/>
      <c r="VAH34" s="678"/>
      <c r="VAI34" s="678"/>
      <c r="VAJ34" s="678"/>
      <c r="VAK34" s="678"/>
      <c r="VAL34" s="678"/>
      <c r="VAM34" s="678"/>
      <c r="VAN34" s="678"/>
      <c r="VAO34" s="678"/>
      <c r="VAP34" s="678"/>
      <c r="VAQ34" s="678"/>
      <c r="VAR34" s="678"/>
      <c r="VAS34" s="678"/>
      <c r="VAT34" s="678"/>
      <c r="VAU34" s="678"/>
      <c r="VAV34" s="678"/>
      <c r="VAW34" s="678"/>
      <c r="VAX34" s="678"/>
      <c r="VAY34" s="678"/>
      <c r="VAZ34" s="678"/>
      <c r="VBA34" s="678"/>
      <c r="VBB34" s="678"/>
      <c r="VBC34" s="678"/>
      <c r="VBD34" s="678"/>
      <c r="VBE34" s="678"/>
      <c r="VBF34" s="678"/>
      <c r="VBG34" s="678"/>
      <c r="VBH34" s="678"/>
      <c r="VBI34" s="678"/>
      <c r="VBJ34" s="678"/>
      <c r="VBK34" s="678"/>
      <c r="VBL34" s="678"/>
      <c r="VBM34" s="678"/>
      <c r="VBN34" s="678"/>
      <c r="VBO34" s="678"/>
      <c r="VBP34" s="678"/>
      <c r="VBQ34" s="678"/>
      <c r="VBR34" s="678"/>
      <c r="VBS34" s="678"/>
      <c r="VBT34" s="678"/>
      <c r="VBU34" s="678"/>
      <c r="VBV34" s="678"/>
      <c r="VBW34" s="678"/>
      <c r="VBX34" s="678"/>
      <c r="VBY34" s="678"/>
      <c r="VBZ34" s="678"/>
      <c r="VCA34" s="678"/>
      <c r="VCB34" s="678"/>
      <c r="VCC34" s="678"/>
      <c r="VCD34" s="678"/>
      <c r="VCE34" s="678"/>
      <c r="VCF34" s="678"/>
      <c r="VCG34" s="678"/>
      <c r="VCH34" s="678"/>
      <c r="VCI34" s="678"/>
      <c r="VCJ34" s="678"/>
      <c r="VCK34" s="678"/>
      <c r="VCL34" s="678"/>
      <c r="VCM34" s="678"/>
      <c r="VCN34" s="678"/>
      <c r="VCO34" s="678"/>
      <c r="VCP34" s="678"/>
      <c r="VCQ34" s="678"/>
      <c r="VCR34" s="678"/>
      <c r="VCS34" s="678"/>
      <c r="VCT34" s="678"/>
      <c r="VCU34" s="678"/>
      <c r="VCV34" s="678"/>
      <c r="VCW34" s="678"/>
      <c r="VCX34" s="678"/>
      <c r="VCY34" s="678"/>
      <c r="VCZ34" s="678"/>
      <c r="VDA34" s="678"/>
      <c r="VDB34" s="678"/>
      <c r="VDC34" s="678"/>
      <c r="VDD34" s="678"/>
      <c r="VDE34" s="678"/>
      <c r="VDF34" s="678"/>
      <c r="VDG34" s="678"/>
      <c r="VDH34" s="678"/>
      <c r="VDI34" s="678"/>
      <c r="VDJ34" s="678"/>
      <c r="VDK34" s="678"/>
      <c r="VDL34" s="678"/>
      <c r="VDM34" s="678"/>
      <c r="VDN34" s="678"/>
      <c r="VDO34" s="678"/>
      <c r="VDP34" s="678"/>
      <c r="VDQ34" s="678"/>
      <c r="VDR34" s="678"/>
      <c r="VDS34" s="678"/>
      <c r="VDT34" s="678"/>
      <c r="VDU34" s="678"/>
      <c r="VDV34" s="678"/>
      <c r="VDW34" s="678"/>
      <c r="VDX34" s="678"/>
      <c r="VDY34" s="678"/>
      <c r="VDZ34" s="678"/>
      <c r="VEA34" s="678"/>
      <c r="VEB34" s="678"/>
      <c r="VEC34" s="678"/>
      <c r="VED34" s="678"/>
      <c r="VEE34" s="678"/>
      <c r="VEF34" s="678"/>
      <c r="VEG34" s="678"/>
      <c r="VEH34" s="678"/>
      <c r="VEI34" s="678"/>
      <c r="VEJ34" s="678"/>
      <c r="VEK34" s="678"/>
      <c r="VEL34" s="678"/>
      <c r="VEM34" s="678"/>
      <c r="VEN34" s="678"/>
      <c r="VEO34" s="678"/>
      <c r="VEP34" s="678"/>
      <c r="VEQ34" s="678"/>
      <c r="VER34" s="678"/>
      <c r="VES34" s="678"/>
      <c r="VET34" s="678"/>
      <c r="VEU34" s="678"/>
      <c r="VEV34" s="678"/>
      <c r="VEW34" s="678"/>
      <c r="VEX34" s="678"/>
      <c r="VEY34" s="678"/>
      <c r="VEZ34" s="678"/>
      <c r="VFA34" s="678"/>
      <c r="VFB34" s="678"/>
      <c r="VFC34" s="678"/>
      <c r="VFD34" s="678"/>
      <c r="VFE34" s="678"/>
      <c r="VFF34" s="678"/>
      <c r="VFG34" s="678"/>
      <c r="VFH34" s="678"/>
      <c r="VFI34" s="678"/>
      <c r="VFJ34" s="678"/>
      <c r="VFK34" s="678"/>
      <c r="VFL34" s="678"/>
      <c r="VFM34" s="678"/>
      <c r="VFN34" s="678"/>
      <c r="VFO34" s="678"/>
      <c r="VFP34" s="678"/>
      <c r="VFQ34" s="678"/>
      <c r="VFR34" s="678"/>
      <c r="VFS34" s="678"/>
      <c r="VFT34" s="678"/>
      <c r="VFU34" s="678"/>
      <c r="VFV34" s="678"/>
      <c r="VFW34" s="678"/>
      <c r="VFX34" s="678"/>
      <c r="VFY34" s="678"/>
      <c r="VFZ34" s="678"/>
      <c r="VGA34" s="678"/>
      <c r="VGB34" s="678"/>
      <c r="VGC34" s="678"/>
      <c r="VGD34" s="678"/>
      <c r="VGE34" s="678"/>
      <c r="VGF34" s="678"/>
      <c r="VGG34" s="678"/>
      <c r="VGH34" s="678"/>
      <c r="VGI34" s="678"/>
      <c r="VGJ34" s="678"/>
      <c r="VGK34" s="678"/>
      <c r="VGL34" s="678"/>
      <c r="VGM34" s="678"/>
      <c r="VGN34" s="678"/>
      <c r="VGO34" s="678"/>
      <c r="VGP34" s="678"/>
      <c r="VGQ34" s="678"/>
      <c r="VGR34" s="678"/>
      <c r="VGS34" s="678"/>
      <c r="VGT34" s="678"/>
      <c r="VGU34" s="678"/>
      <c r="VGV34" s="678"/>
      <c r="VGW34" s="678"/>
      <c r="VGX34" s="678"/>
      <c r="VGY34" s="678"/>
      <c r="VGZ34" s="678"/>
      <c r="VHA34" s="678"/>
      <c r="VHB34" s="678"/>
      <c r="VHC34" s="678"/>
      <c r="VHD34" s="678"/>
      <c r="VHE34" s="678"/>
      <c r="VHF34" s="678"/>
      <c r="VHG34" s="678"/>
      <c r="VHH34" s="678"/>
      <c r="VHI34" s="678"/>
      <c r="VHJ34" s="678"/>
      <c r="VHK34" s="678"/>
      <c r="VHL34" s="678"/>
      <c r="VHM34" s="678"/>
      <c r="VHN34" s="678"/>
      <c r="VHO34" s="678"/>
      <c r="VHP34" s="678"/>
      <c r="VHQ34" s="678"/>
      <c r="VHR34" s="678"/>
      <c r="VHS34" s="678"/>
      <c r="VHT34" s="678"/>
      <c r="VHU34" s="678"/>
      <c r="VHV34" s="678"/>
      <c r="VHW34" s="678"/>
      <c r="VHX34" s="678"/>
      <c r="VHY34" s="678"/>
      <c r="VHZ34" s="678"/>
      <c r="VIA34" s="678"/>
      <c r="VIB34" s="678"/>
      <c r="VIC34" s="678"/>
      <c r="VID34" s="678"/>
      <c r="VIE34" s="678"/>
      <c r="VIF34" s="678"/>
      <c r="VIG34" s="678"/>
      <c r="VIH34" s="678"/>
      <c r="VII34" s="678"/>
      <c r="VIJ34" s="678"/>
      <c r="VIK34" s="678"/>
      <c r="VIL34" s="678"/>
      <c r="VIM34" s="678"/>
      <c r="VIN34" s="678"/>
      <c r="VIO34" s="678"/>
      <c r="VIP34" s="678"/>
      <c r="VIQ34" s="678"/>
      <c r="VIR34" s="678"/>
      <c r="VIS34" s="678"/>
      <c r="VIT34" s="678"/>
      <c r="VIU34" s="678"/>
      <c r="VIV34" s="678"/>
      <c r="VIW34" s="678"/>
      <c r="VIX34" s="678"/>
      <c r="VIY34" s="678"/>
      <c r="VIZ34" s="678"/>
      <c r="VJA34" s="678"/>
      <c r="VJB34" s="678"/>
      <c r="VJC34" s="678"/>
      <c r="VJD34" s="678"/>
      <c r="VJE34" s="678"/>
      <c r="VJF34" s="678"/>
      <c r="VJG34" s="678"/>
      <c r="VJH34" s="678"/>
      <c r="VJI34" s="678"/>
      <c r="VJJ34" s="678"/>
      <c r="VJK34" s="678"/>
      <c r="VJL34" s="678"/>
      <c r="VJM34" s="678"/>
      <c r="VJN34" s="678"/>
      <c r="VJO34" s="678"/>
      <c r="VJP34" s="678"/>
      <c r="VJQ34" s="678"/>
      <c r="VJR34" s="678"/>
      <c r="VJS34" s="678"/>
      <c r="VJT34" s="678"/>
      <c r="VJU34" s="678"/>
      <c r="VJV34" s="678"/>
      <c r="VJW34" s="678"/>
      <c r="VJX34" s="678"/>
      <c r="VJY34" s="678"/>
      <c r="VJZ34" s="678"/>
      <c r="VKA34" s="678"/>
      <c r="VKB34" s="678"/>
      <c r="VKC34" s="678"/>
      <c r="VKD34" s="678"/>
      <c r="VKE34" s="678"/>
      <c r="VKF34" s="678"/>
      <c r="VKG34" s="678"/>
      <c r="VKH34" s="678"/>
      <c r="VKI34" s="678"/>
      <c r="VKJ34" s="678"/>
      <c r="VKK34" s="678"/>
      <c r="VKL34" s="678"/>
      <c r="VKM34" s="678"/>
      <c r="VKN34" s="678"/>
      <c r="VKO34" s="678"/>
      <c r="VKP34" s="678"/>
      <c r="VKQ34" s="678"/>
      <c r="VKR34" s="678"/>
      <c r="VKS34" s="678"/>
      <c r="VKT34" s="678"/>
      <c r="VKU34" s="678"/>
      <c r="VKV34" s="678"/>
      <c r="VKW34" s="678"/>
      <c r="VKX34" s="678"/>
      <c r="VKY34" s="678"/>
      <c r="VKZ34" s="678"/>
      <c r="VLA34" s="678"/>
      <c r="VLB34" s="678"/>
      <c r="VLC34" s="678"/>
      <c r="VLD34" s="678"/>
      <c r="VLE34" s="678"/>
      <c r="VLF34" s="678"/>
      <c r="VLG34" s="678"/>
      <c r="VLH34" s="678"/>
      <c r="VLI34" s="678"/>
      <c r="VLJ34" s="678"/>
      <c r="VLK34" s="678"/>
      <c r="VLL34" s="678"/>
      <c r="VLM34" s="678"/>
      <c r="VLN34" s="678"/>
      <c r="VLO34" s="678"/>
      <c r="VLP34" s="678"/>
      <c r="VLQ34" s="678"/>
      <c r="VLR34" s="678"/>
      <c r="VLS34" s="678"/>
      <c r="VLT34" s="678"/>
      <c r="VLU34" s="678"/>
      <c r="VLV34" s="678"/>
      <c r="VLW34" s="678"/>
      <c r="VLX34" s="678"/>
      <c r="VLY34" s="678"/>
      <c r="VLZ34" s="678"/>
      <c r="VMA34" s="678"/>
      <c r="VMB34" s="678"/>
      <c r="VMC34" s="678"/>
      <c r="VMD34" s="678"/>
      <c r="VME34" s="678"/>
      <c r="VMF34" s="678"/>
      <c r="VMG34" s="678"/>
      <c r="VMH34" s="678"/>
      <c r="VMI34" s="678"/>
      <c r="VMJ34" s="678"/>
      <c r="VMK34" s="678"/>
      <c r="VML34" s="678"/>
      <c r="VMM34" s="678"/>
      <c r="VMN34" s="678"/>
      <c r="VMO34" s="678"/>
      <c r="VMP34" s="678"/>
      <c r="VMQ34" s="678"/>
      <c r="VMR34" s="678"/>
      <c r="VMS34" s="678"/>
      <c r="VMT34" s="678"/>
      <c r="VMU34" s="678"/>
      <c r="VMV34" s="678"/>
      <c r="VMW34" s="678"/>
      <c r="VMX34" s="678"/>
      <c r="VMY34" s="678"/>
      <c r="VMZ34" s="678"/>
      <c r="VNA34" s="678"/>
      <c r="VNB34" s="678"/>
      <c r="VNC34" s="678"/>
      <c r="VND34" s="678"/>
      <c r="VNE34" s="678"/>
      <c r="VNF34" s="678"/>
      <c r="VNG34" s="678"/>
      <c r="VNH34" s="678"/>
      <c r="VNI34" s="678"/>
      <c r="VNJ34" s="678"/>
      <c r="VNK34" s="678"/>
      <c r="VNL34" s="678"/>
      <c r="VNM34" s="678"/>
      <c r="VNN34" s="678"/>
      <c r="VNO34" s="678"/>
      <c r="VNP34" s="678"/>
      <c r="VNQ34" s="678"/>
      <c r="VNR34" s="678"/>
      <c r="VNS34" s="678"/>
      <c r="VNT34" s="678"/>
      <c r="VNU34" s="678"/>
      <c r="VNV34" s="678"/>
      <c r="VNW34" s="678"/>
      <c r="VNX34" s="678"/>
      <c r="VNY34" s="678"/>
      <c r="VNZ34" s="678"/>
      <c r="VOA34" s="678"/>
      <c r="VOB34" s="678"/>
      <c r="VOC34" s="678"/>
      <c r="VOD34" s="678"/>
      <c r="VOE34" s="678"/>
      <c r="VOF34" s="678"/>
      <c r="VOG34" s="678"/>
      <c r="VOH34" s="678"/>
      <c r="VOI34" s="678"/>
      <c r="VOJ34" s="678"/>
      <c r="VOK34" s="678"/>
      <c r="VOL34" s="678"/>
      <c r="VOM34" s="678"/>
      <c r="VON34" s="678"/>
      <c r="VOO34" s="678"/>
      <c r="VOP34" s="678"/>
      <c r="VOQ34" s="678"/>
      <c r="VOR34" s="678"/>
      <c r="VOS34" s="678"/>
      <c r="VOT34" s="678"/>
      <c r="VOU34" s="678"/>
      <c r="VOV34" s="678"/>
      <c r="VOW34" s="678"/>
      <c r="VOX34" s="678"/>
      <c r="VOY34" s="678"/>
      <c r="VOZ34" s="678"/>
      <c r="VPA34" s="678"/>
      <c r="VPB34" s="678"/>
      <c r="VPC34" s="678"/>
      <c r="VPD34" s="678"/>
      <c r="VPE34" s="678"/>
      <c r="VPF34" s="678"/>
      <c r="VPG34" s="678"/>
      <c r="VPH34" s="678"/>
      <c r="VPI34" s="678"/>
      <c r="VPJ34" s="678"/>
      <c r="VPK34" s="678"/>
      <c r="VPL34" s="678"/>
      <c r="VPM34" s="678"/>
      <c r="VPN34" s="678"/>
      <c r="VPO34" s="678"/>
      <c r="VPP34" s="678"/>
      <c r="VPQ34" s="678"/>
      <c r="VPR34" s="678"/>
      <c r="VPS34" s="678"/>
      <c r="VPT34" s="678"/>
      <c r="VPU34" s="678"/>
      <c r="VPV34" s="678"/>
      <c r="VPW34" s="678"/>
      <c r="VPX34" s="678"/>
      <c r="VPY34" s="678"/>
      <c r="VPZ34" s="678"/>
      <c r="VQA34" s="678"/>
      <c r="VQB34" s="678"/>
      <c r="VQC34" s="678"/>
      <c r="VQD34" s="678"/>
      <c r="VQE34" s="678"/>
      <c r="VQF34" s="678"/>
      <c r="VQG34" s="678"/>
      <c r="VQH34" s="678"/>
      <c r="VQI34" s="678"/>
      <c r="VQJ34" s="678"/>
      <c r="VQK34" s="678"/>
      <c r="VQL34" s="678"/>
      <c r="VQM34" s="678"/>
      <c r="VQN34" s="678"/>
      <c r="VQO34" s="678"/>
      <c r="VQP34" s="678"/>
      <c r="VQQ34" s="678"/>
      <c r="VQR34" s="678"/>
      <c r="VQS34" s="678"/>
      <c r="VQT34" s="678"/>
      <c r="VQU34" s="678"/>
      <c r="VQV34" s="678"/>
      <c r="VQW34" s="678"/>
      <c r="VQX34" s="678"/>
      <c r="VQY34" s="678"/>
      <c r="VQZ34" s="678"/>
      <c r="VRA34" s="678"/>
      <c r="VRB34" s="678"/>
      <c r="VRC34" s="678"/>
      <c r="VRD34" s="678"/>
      <c r="VRE34" s="678"/>
      <c r="VRF34" s="678"/>
      <c r="VRG34" s="678"/>
      <c r="VRH34" s="678"/>
      <c r="VRI34" s="678"/>
      <c r="VRJ34" s="678"/>
      <c r="VRK34" s="678"/>
      <c r="VRL34" s="678"/>
      <c r="VRM34" s="678"/>
      <c r="VRN34" s="678"/>
      <c r="VRO34" s="678"/>
      <c r="VRP34" s="678"/>
      <c r="VRQ34" s="678"/>
      <c r="VRR34" s="678"/>
      <c r="VRS34" s="678"/>
      <c r="VRT34" s="678"/>
      <c r="VRU34" s="678"/>
      <c r="VRV34" s="678"/>
      <c r="VRW34" s="678"/>
      <c r="VRX34" s="678"/>
      <c r="VRY34" s="678"/>
      <c r="VRZ34" s="678"/>
      <c r="VSA34" s="678"/>
      <c r="VSB34" s="678"/>
      <c r="VSC34" s="678"/>
      <c r="VSD34" s="678"/>
      <c r="VSE34" s="678"/>
      <c r="VSF34" s="678"/>
      <c r="VSG34" s="678"/>
      <c r="VSH34" s="678"/>
      <c r="VSI34" s="678"/>
      <c r="VSJ34" s="678"/>
      <c r="VSK34" s="678"/>
      <c r="VSL34" s="678"/>
      <c r="VSM34" s="678"/>
      <c r="VSN34" s="678"/>
      <c r="VSO34" s="678"/>
      <c r="VSP34" s="678"/>
      <c r="VSQ34" s="678"/>
      <c r="VSR34" s="678"/>
      <c r="VSS34" s="678"/>
      <c r="VST34" s="678"/>
      <c r="VSU34" s="678"/>
      <c r="VSV34" s="678"/>
      <c r="VSW34" s="678"/>
      <c r="VSX34" s="678"/>
      <c r="VSY34" s="678"/>
      <c r="VSZ34" s="678"/>
      <c r="VTA34" s="678"/>
      <c r="VTB34" s="678"/>
      <c r="VTC34" s="678"/>
      <c r="VTD34" s="678"/>
      <c r="VTE34" s="678"/>
      <c r="VTF34" s="678"/>
      <c r="VTG34" s="678"/>
      <c r="VTH34" s="678"/>
      <c r="VTI34" s="678"/>
      <c r="VTJ34" s="678"/>
      <c r="VTK34" s="678"/>
      <c r="VTL34" s="678"/>
      <c r="VTM34" s="678"/>
      <c r="VTN34" s="678"/>
      <c r="VTO34" s="678"/>
      <c r="VTP34" s="678"/>
      <c r="VTQ34" s="678"/>
      <c r="VTR34" s="678"/>
      <c r="VTS34" s="678"/>
      <c r="VTT34" s="678"/>
      <c r="VTU34" s="678"/>
      <c r="VTV34" s="678"/>
      <c r="VTW34" s="678"/>
      <c r="VTX34" s="678"/>
      <c r="VTY34" s="678"/>
      <c r="VTZ34" s="678"/>
      <c r="VUA34" s="678"/>
      <c r="VUB34" s="678"/>
      <c r="VUC34" s="678"/>
      <c r="VUD34" s="678"/>
      <c r="VUE34" s="678"/>
      <c r="VUF34" s="678"/>
      <c r="VUG34" s="678"/>
      <c r="VUH34" s="678"/>
      <c r="VUI34" s="678"/>
      <c r="VUJ34" s="678"/>
      <c r="VUK34" s="678"/>
      <c r="VUL34" s="678"/>
      <c r="VUM34" s="678"/>
      <c r="VUN34" s="678"/>
      <c r="VUO34" s="678"/>
      <c r="VUP34" s="678"/>
      <c r="VUQ34" s="678"/>
      <c r="VUR34" s="678"/>
      <c r="VUS34" s="678"/>
      <c r="VUT34" s="678"/>
      <c r="VUU34" s="678"/>
      <c r="VUV34" s="678"/>
      <c r="VUW34" s="678"/>
      <c r="VUX34" s="678"/>
      <c r="VUY34" s="678"/>
      <c r="VUZ34" s="678"/>
      <c r="VVA34" s="678"/>
      <c r="VVB34" s="678"/>
      <c r="VVC34" s="678"/>
      <c r="VVD34" s="678"/>
      <c r="VVE34" s="678"/>
      <c r="VVF34" s="678"/>
      <c r="VVG34" s="678"/>
      <c r="VVH34" s="678"/>
      <c r="VVI34" s="678"/>
      <c r="VVJ34" s="678"/>
      <c r="VVK34" s="678"/>
      <c r="VVL34" s="678"/>
      <c r="VVM34" s="678"/>
      <c r="VVN34" s="678"/>
      <c r="VVO34" s="678"/>
      <c r="VVP34" s="678"/>
      <c r="VVQ34" s="678"/>
      <c r="VVR34" s="678"/>
      <c r="VVS34" s="678"/>
      <c r="VVT34" s="678"/>
      <c r="VVU34" s="678"/>
      <c r="VVV34" s="678"/>
      <c r="VVW34" s="678"/>
      <c r="VVX34" s="678"/>
      <c r="VVY34" s="678"/>
      <c r="VVZ34" s="678"/>
      <c r="VWA34" s="678"/>
      <c r="VWB34" s="678"/>
      <c r="VWC34" s="678"/>
      <c r="VWD34" s="678"/>
      <c r="VWE34" s="678"/>
      <c r="VWF34" s="678"/>
      <c r="VWG34" s="678"/>
      <c r="VWH34" s="678"/>
      <c r="VWI34" s="678"/>
      <c r="VWJ34" s="678"/>
      <c r="VWK34" s="678"/>
      <c r="VWL34" s="678"/>
      <c r="VWM34" s="678"/>
      <c r="VWN34" s="678"/>
      <c r="VWO34" s="678"/>
      <c r="VWP34" s="678"/>
      <c r="VWQ34" s="678"/>
      <c r="VWR34" s="678"/>
      <c r="VWS34" s="678"/>
      <c r="VWT34" s="678"/>
      <c r="VWU34" s="678"/>
      <c r="VWV34" s="678"/>
      <c r="VWW34" s="678"/>
      <c r="VWX34" s="678"/>
      <c r="VWY34" s="678"/>
      <c r="VWZ34" s="678"/>
      <c r="VXA34" s="678"/>
      <c r="VXB34" s="678"/>
      <c r="VXC34" s="678"/>
      <c r="VXD34" s="678"/>
      <c r="VXE34" s="678"/>
      <c r="VXF34" s="678"/>
      <c r="VXG34" s="678"/>
      <c r="VXH34" s="678"/>
      <c r="VXI34" s="678"/>
      <c r="VXJ34" s="678"/>
      <c r="VXK34" s="678"/>
      <c r="VXL34" s="678"/>
      <c r="VXM34" s="678"/>
      <c r="VXN34" s="678"/>
      <c r="VXO34" s="678"/>
      <c r="VXP34" s="678"/>
      <c r="VXQ34" s="678"/>
      <c r="VXR34" s="678"/>
      <c r="VXS34" s="678"/>
      <c r="VXT34" s="678"/>
      <c r="VXU34" s="678"/>
      <c r="VXV34" s="678"/>
      <c r="VXW34" s="678"/>
      <c r="VXX34" s="678"/>
      <c r="VXY34" s="678"/>
      <c r="VXZ34" s="678"/>
      <c r="VYA34" s="678"/>
      <c r="VYB34" s="678"/>
      <c r="VYC34" s="678"/>
      <c r="VYD34" s="678"/>
      <c r="VYE34" s="678"/>
      <c r="VYF34" s="678"/>
      <c r="VYG34" s="678"/>
      <c r="VYH34" s="678"/>
      <c r="VYI34" s="678"/>
      <c r="VYJ34" s="678"/>
      <c r="VYK34" s="678"/>
      <c r="VYL34" s="678"/>
      <c r="VYM34" s="678"/>
      <c r="VYN34" s="678"/>
      <c r="VYO34" s="678"/>
      <c r="VYP34" s="678"/>
      <c r="VYQ34" s="678"/>
      <c r="VYR34" s="678"/>
      <c r="VYS34" s="678"/>
      <c r="VYT34" s="678"/>
      <c r="VYU34" s="678"/>
      <c r="VYV34" s="678"/>
      <c r="VYW34" s="678"/>
      <c r="VYX34" s="678"/>
      <c r="VYY34" s="678"/>
      <c r="VYZ34" s="678"/>
      <c r="VZA34" s="678"/>
      <c r="VZB34" s="678"/>
      <c r="VZC34" s="678"/>
      <c r="VZD34" s="678"/>
      <c r="VZE34" s="678"/>
      <c r="VZF34" s="678"/>
      <c r="VZG34" s="678"/>
      <c r="VZH34" s="678"/>
      <c r="VZI34" s="678"/>
      <c r="VZJ34" s="678"/>
      <c r="VZK34" s="678"/>
      <c r="VZL34" s="678"/>
      <c r="VZM34" s="678"/>
      <c r="VZN34" s="678"/>
      <c r="VZO34" s="678"/>
      <c r="VZP34" s="678"/>
      <c r="VZQ34" s="678"/>
      <c r="VZR34" s="678"/>
      <c r="VZS34" s="678"/>
      <c r="VZT34" s="678"/>
      <c r="VZU34" s="678"/>
      <c r="VZV34" s="678"/>
      <c r="VZW34" s="678"/>
      <c r="VZX34" s="678"/>
      <c r="VZY34" s="678"/>
      <c r="VZZ34" s="678"/>
      <c r="WAA34" s="678"/>
      <c r="WAB34" s="678"/>
      <c r="WAC34" s="678"/>
      <c r="WAD34" s="678"/>
      <c r="WAE34" s="678"/>
      <c r="WAF34" s="678"/>
      <c r="WAG34" s="678"/>
      <c r="WAH34" s="678"/>
      <c r="WAI34" s="678"/>
      <c r="WAJ34" s="678"/>
      <c r="WAK34" s="678"/>
      <c r="WAL34" s="678"/>
      <c r="WAM34" s="678"/>
      <c r="WAN34" s="678"/>
      <c r="WAO34" s="678"/>
      <c r="WAP34" s="678"/>
      <c r="WAQ34" s="678"/>
      <c r="WAR34" s="678"/>
      <c r="WAS34" s="678"/>
      <c r="WAT34" s="678"/>
      <c r="WAU34" s="678"/>
      <c r="WAV34" s="678"/>
      <c r="WAW34" s="678"/>
      <c r="WAX34" s="678"/>
      <c r="WAY34" s="678"/>
      <c r="WAZ34" s="678"/>
      <c r="WBA34" s="678"/>
      <c r="WBB34" s="678"/>
      <c r="WBC34" s="678"/>
      <c r="WBD34" s="678"/>
      <c r="WBE34" s="678"/>
      <c r="WBF34" s="678"/>
      <c r="WBG34" s="678"/>
      <c r="WBH34" s="678"/>
      <c r="WBI34" s="678"/>
      <c r="WBJ34" s="678"/>
      <c r="WBK34" s="678"/>
      <c r="WBL34" s="678"/>
      <c r="WBM34" s="678"/>
      <c r="WBN34" s="678"/>
      <c r="WBO34" s="678"/>
      <c r="WBP34" s="678"/>
      <c r="WBQ34" s="678"/>
      <c r="WBR34" s="678"/>
      <c r="WBS34" s="678"/>
      <c r="WBT34" s="678"/>
      <c r="WBU34" s="678"/>
      <c r="WBV34" s="678"/>
      <c r="WBW34" s="678"/>
      <c r="WBX34" s="678"/>
      <c r="WBY34" s="678"/>
      <c r="WBZ34" s="678"/>
      <c r="WCA34" s="678"/>
      <c r="WCB34" s="678"/>
      <c r="WCC34" s="678"/>
      <c r="WCD34" s="678"/>
      <c r="WCE34" s="678"/>
      <c r="WCF34" s="678"/>
      <c r="WCG34" s="678"/>
      <c r="WCH34" s="678"/>
      <c r="WCI34" s="678"/>
      <c r="WCJ34" s="678"/>
      <c r="WCK34" s="678"/>
      <c r="WCL34" s="678"/>
      <c r="WCM34" s="678"/>
      <c r="WCN34" s="678"/>
      <c r="WCO34" s="678"/>
      <c r="WCP34" s="678"/>
      <c r="WCQ34" s="678"/>
      <c r="WCR34" s="678"/>
      <c r="WCS34" s="678"/>
      <c r="WCT34" s="678"/>
      <c r="WCU34" s="678"/>
      <c r="WCV34" s="678"/>
      <c r="WCW34" s="678"/>
      <c r="WCX34" s="678"/>
      <c r="WCY34" s="678"/>
      <c r="WCZ34" s="678"/>
      <c r="WDA34" s="678"/>
      <c r="WDB34" s="678"/>
      <c r="WDC34" s="678"/>
      <c r="WDD34" s="678"/>
      <c r="WDE34" s="678"/>
      <c r="WDF34" s="678"/>
      <c r="WDG34" s="678"/>
      <c r="WDH34" s="678"/>
      <c r="WDI34" s="678"/>
      <c r="WDJ34" s="678"/>
      <c r="WDK34" s="678"/>
      <c r="WDL34" s="678"/>
      <c r="WDM34" s="678"/>
      <c r="WDN34" s="678"/>
      <c r="WDO34" s="678"/>
      <c r="WDP34" s="678"/>
      <c r="WDQ34" s="678"/>
      <c r="WDR34" s="678"/>
      <c r="WDS34" s="678"/>
      <c r="WDT34" s="678"/>
      <c r="WDU34" s="678"/>
      <c r="WDV34" s="678"/>
      <c r="WDW34" s="678"/>
      <c r="WDX34" s="678"/>
      <c r="WDY34" s="678"/>
      <c r="WDZ34" s="678"/>
      <c r="WEA34" s="678"/>
      <c r="WEB34" s="678"/>
      <c r="WEC34" s="678"/>
      <c r="WED34" s="678"/>
      <c r="WEE34" s="678"/>
      <c r="WEF34" s="678"/>
      <c r="WEG34" s="678"/>
      <c r="WEH34" s="678"/>
      <c r="WEI34" s="678"/>
      <c r="WEJ34" s="678"/>
      <c r="WEK34" s="678"/>
      <c r="WEL34" s="678"/>
      <c r="WEM34" s="678"/>
      <c r="WEN34" s="678"/>
      <c r="WEO34" s="678"/>
      <c r="WEP34" s="678"/>
      <c r="WEQ34" s="678"/>
      <c r="WER34" s="678"/>
      <c r="WES34" s="678"/>
      <c r="WET34" s="678"/>
      <c r="WEU34" s="678"/>
      <c r="WEV34" s="678"/>
      <c r="WEW34" s="678"/>
      <c r="WEX34" s="678"/>
      <c r="WEY34" s="678"/>
      <c r="WEZ34" s="678"/>
      <c r="WFA34" s="678"/>
      <c r="WFB34" s="678"/>
      <c r="WFC34" s="678"/>
      <c r="WFD34" s="678"/>
      <c r="WFE34" s="678"/>
      <c r="WFF34" s="678"/>
      <c r="WFG34" s="678"/>
      <c r="WFH34" s="678"/>
      <c r="WFI34" s="678"/>
      <c r="WFJ34" s="678"/>
      <c r="WFK34" s="678"/>
      <c r="WFL34" s="678"/>
      <c r="WFM34" s="678"/>
      <c r="WFN34" s="678"/>
      <c r="WFO34" s="678"/>
      <c r="WFP34" s="678"/>
      <c r="WFQ34" s="678"/>
      <c r="WFR34" s="678"/>
      <c r="WFS34" s="678"/>
      <c r="WFT34" s="678"/>
      <c r="WFU34" s="678"/>
      <c r="WFV34" s="678"/>
      <c r="WFW34" s="678"/>
      <c r="WFX34" s="678"/>
      <c r="WFY34" s="678"/>
      <c r="WFZ34" s="678"/>
      <c r="WGA34" s="678"/>
      <c r="WGB34" s="678"/>
      <c r="WGC34" s="678"/>
      <c r="WGD34" s="678"/>
      <c r="WGE34" s="678"/>
      <c r="WGF34" s="678"/>
      <c r="WGG34" s="678"/>
      <c r="WGH34" s="678"/>
      <c r="WGI34" s="678"/>
      <c r="WGJ34" s="678"/>
      <c r="WGK34" s="678"/>
      <c r="WGL34" s="678"/>
      <c r="WGM34" s="678"/>
      <c r="WGN34" s="678"/>
      <c r="WGO34" s="678"/>
      <c r="WGP34" s="678"/>
      <c r="WGQ34" s="678"/>
      <c r="WGR34" s="678"/>
      <c r="WGS34" s="678"/>
      <c r="WGT34" s="678"/>
      <c r="WGU34" s="678"/>
      <c r="WGV34" s="678"/>
      <c r="WGW34" s="678"/>
      <c r="WGX34" s="678"/>
      <c r="WGY34" s="678"/>
      <c r="WGZ34" s="678"/>
      <c r="WHA34" s="678"/>
      <c r="WHB34" s="678"/>
      <c r="WHC34" s="678"/>
      <c r="WHD34" s="678"/>
      <c r="WHE34" s="678"/>
      <c r="WHF34" s="678"/>
      <c r="WHG34" s="678"/>
      <c r="WHH34" s="678"/>
      <c r="WHI34" s="678"/>
      <c r="WHJ34" s="678"/>
      <c r="WHK34" s="678"/>
      <c r="WHL34" s="678"/>
      <c r="WHM34" s="678"/>
      <c r="WHN34" s="678"/>
      <c r="WHO34" s="678"/>
      <c r="WHP34" s="678"/>
      <c r="WHQ34" s="678"/>
      <c r="WHR34" s="678"/>
      <c r="WHS34" s="678"/>
      <c r="WHT34" s="678"/>
      <c r="WHU34" s="678"/>
      <c r="WHV34" s="678"/>
      <c r="WHW34" s="678"/>
      <c r="WHX34" s="678"/>
      <c r="WHY34" s="678"/>
      <c r="WHZ34" s="678"/>
      <c r="WIA34" s="678"/>
      <c r="WIB34" s="678"/>
      <c r="WIC34" s="678"/>
      <c r="WID34" s="678"/>
      <c r="WIE34" s="678"/>
      <c r="WIF34" s="678"/>
      <c r="WIG34" s="678"/>
      <c r="WIH34" s="678"/>
      <c r="WII34" s="678"/>
      <c r="WIJ34" s="678"/>
      <c r="WIK34" s="678"/>
      <c r="WIL34" s="678"/>
      <c r="WIM34" s="678"/>
      <c r="WIN34" s="678"/>
      <c r="WIO34" s="678"/>
      <c r="WIP34" s="678"/>
      <c r="WIQ34" s="678"/>
      <c r="WIR34" s="678"/>
      <c r="WIS34" s="678"/>
      <c r="WIT34" s="678"/>
      <c r="WIU34" s="678"/>
      <c r="WIV34" s="678"/>
      <c r="WIW34" s="678"/>
      <c r="WIX34" s="678"/>
      <c r="WIY34" s="678"/>
      <c r="WIZ34" s="678"/>
      <c r="WJA34" s="678"/>
      <c r="WJB34" s="678"/>
      <c r="WJC34" s="678"/>
      <c r="WJD34" s="678"/>
      <c r="WJE34" s="678"/>
      <c r="WJF34" s="678"/>
      <c r="WJG34" s="678"/>
      <c r="WJH34" s="678"/>
      <c r="WJI34" s="678"/>
      <c r="WJJ34" s="678"/>
      <c r="WJK34" s="678"/>
      <c r="WJL34" s="678"/>
      <c r="WJM34" s="678"/>
      <c r="WJN34" s="678"/>
      <c r="WJO34" s="678"/>
      <c r="WJP34" s="678"/>
      <c r="WJQ34" s="678"/>
      <c r="WJR34" s="678"/>
      <c r="WJS34" s="678"/>
      <c r="WJT34" s="678"/>
      <c r="WJU34" s="678"/>
      <c r="WJV34" s="678"/>
      <c r="WJW34" s="678"/>
      <c r="WJX34" s="678"/>
      <c r="WJY34" s="678"/>
      <c r="WJZ34" s="678"/>
      <c r="WKA34" s="678"/>
      <c r="WKB34" s="678"/>
      <c r="WKC34" s="678"/>
      <c r="WKD34" s="678"/>
      <c r="WKE34" s="678"/>
      <c r="WKF34" s="678"/>
      <c r="WKG34" s="678"/>
      <c r="WKH34" s="678"/>
      <c r="WKI34" s="678"/>
      <c r="WKJ34" s="678"/>
      <c r="WKK34" s="678"/>
      <c r="WKL34" s="678"/>
      <c r="WKM34" s="678"/>
      <c r="WKN34" s="678"/>
      <c r="WKO34" s="678"/>
      <c r="WKP34" s="678"/>
      <c r="WKQ34" s="678"/>
      <c r="WKR34" s="678"/>
      <c r="WKS34" s="678"/>
      <c r="WKT34" s="678"/>
      <c r="WKU34" s="678"/>
      <c r="WKV34" s="678"/>
      <c r="WKW34" s="678"/>
      <c r="WKX34" s="678"/>
      <c r="WKY34" s="678"/>
      <c r="WKZ34" s="678"/>
      <c r="WLA34" s="678"/>
      <c r="WLB34" s="678"/>
      <c r="WLC34" s="678"/>
      <c r="WLD34" s="678"/>
      <c r="WLE34" s="678"/>
      <c r="WLF34" s="678"/>
      <c r="WLG34" s="678"/>
      <c r="WLH34" s="678"/>
      <c r="WLI34" s="678"/>
      <c r="WLJ34" s="678"/>
      <c r="WLK34" s="678"/>
      <c r="WLL34" s="678"/>
      <c r="WLM34" s="678"/>
      <c r="WLN34" s="678"/>
      <c r="WLO34" s="678"/>
      <c r="WLP34" s="678"/>
      <c r="WLQ34" s="678"/>
      <c r="WLR34" s="678"/>
      <c r="WLS34" s="678"/>
      <c r="WLT34" s="678"/>
      <c r="WLU34" s="678"/>
      <c r="WLV34" s="678"/>
      <c r="WLW34" s="678"/>
      <c r="WLX34" s="678"/>
      <c r="WLY34" s="678"/>
      <c r="WLZ34" s="678"/>
      <c r="WMA34" s="678"/>
      <c r="WMB34" s="678"/>
      <c r="WMC34" s="678"/>
      <c r="WMD34" s="678"/>
      <c r="WME34" s="678"/>
      <c r="WMF34" s="678"/>
      <c r="WMG34" s="678"/>
      <c r="WMH34" s="678"/>
      <c r="WMI34" s="678"/>
      <c r="WMJ34" s="678"/>
      <c r="WMK34" s="678"/>
      <c r="WML34" s="678"/>
      <c r="WMM34" s="678"/>
      <c r="WMN34" s="678"/>
      <c r="WMO34" s="678"/>
      <c r="WMP34" s="678"/>
      <c r="WMQ34" s="678"/>
      <c r="WMR34" s="678"/>
      <c r="WMS34" s="678"/>
      <c r="WMT34" s="678"/>
      <c r="WMU34" s="678"/>
      <c r="WMV34" s="678"/>
      <c r="WMW34" s="678"/>
      <c r="WMX34" s="678"/>
      <c r="WMY34" s="678"/>
      <c r="WMZ34" s="678"/>
      <c r="WNA34" s="678"/>
      <c r="WNB34" s="678"/>
      <c r="WNC34" s="678"/>
      <c r="WND34" s="678"/>
      <c r="WNE34" s="678"/>
      <c r="WNF34" s="678"/>
      <c r="WNG34" s="678"/>
      <c r="WNH34" s="678"/>
      <c r="WNI34" s="678"/>
      <c r="WNJ34" s="678"/>
      <c r="WNK34" s="678"/>
      <c r="WNL34" s="678"/>
      <c r="WNM34" s="678"/>
      <c r="WNN34" s="678"/>
      <c r="WNO34" s="678"/>
      <c r="WNP34" s="678"/>
      <c r="WNQ34" s="678"/>
      <c r="WNR34" s="678"/>
      <c r="WNS34" s="678"/>
      <c r="WNT34" s="678"/>
      <c r="WNU34" s="678"/>
      <c r="WNV34" s="678"/>
      <c r="WNW34" s="678"/>
      <c r="WNX34" s="678"/>
      <c r="WNY34" s="678"/>
      <c r="WNZ34" s="678"/>
      <c r="WOA34" s="678"/>
      <c r="WOB34" s="678"/>
      <c r="WOC34" s="678"/>
      <c r="WOD34" s="678"/>
      <c r="WOE34" s="678"/>
      <c r="WOF34" s="678"/>
      <c r="WOG34" s="678"/>
      <c r="WOH34" s="678"/>
      <c r="WOI34" s="678"/>
      <c r="WOJ34" s="678"/>
      <c r="WOK34" s="678"/>
      <c r="WOL34" s="678"/>
      <c r="WOM34" s="678"/>
      <c r="WON34" s="678"/>
      <c r="WOO34" s="678"/>
      <c r="WOP34" s="678"/>
      <c r="WOQ34" s="678"/>
      <c r="WOR34" s="678"/>
      <c r="WOS34" s="678"/>
      <c r="WOT34" s="678"/>
      <c r="WOU34" s="678"/>
      <c r="WOV34" s="678"/>
      <c r="WOW34" s="678"/>
      <c r="WOX34" s="678"/>
      <c r="WOY34" s="678"/>
      <c r="WOZ34" s="678"/>
      <c r="WPA34" s="678"/>
      <c r="WPB34" s="678"/>
      <c r="WPC34" s="678"/>
      <c r="WPD34" s="678"/>
      <c r="WPE34" s="678"/>
      <c r="WPF34" s="678"/>
      <c r="WPG34" s="678"/>
      <c r="WPH34" s="678"/>
      <c r="WPI34" s="678"/>
      <c r="WPJ34" s="678"/>
      <c r="WPK34" s="678"/>
      <c r="WPL34" s="678"/>
      <c r="WPM34" s="678"/>
      <c r="WPN34" s="678"/>
      <c r="WPO34" s="678"/>
      <c r="WPP34" s="678"/>
      <c r="WPQ34" s="678"/>
      <c r="WPR34" s="678"/>
      <c r="WPS34" s="678"/>
      <c r="WPT34" s="678"/>
      <c r="WPU34" s="678"/>
      <c r="WPV34" s="678"/>
      <c r="WPW34" s="678"/>
      <c r="WPX34" s="678"/>
      <c r="WPY34" s="678"/>
      <c r="WPZ34" s="678"/>
      <c r="WQA34" s="678"/>
      <c r="WQB34" s="678"/>
      <c r="WQC34" s="678"/>
      <c r="WQD34" s="678"/>
      <c r="WQE34" s="678"/>
      <c r="WQF34" s="678"/>
      <c r="WQG34" s="678"/>
      <c r="WQH34" s="678"/>
      <c r="WQI34" s="678"/>
      <c r="WQJ34" s="678"/>
      <c r="WQK34" s="678"/>
      <c r="WQL34" s="678"/>
      <c r="WQM34" s="678"/>
      <c r="WQN34" s="678"/>
      <c r="WQO34" s="678"/>
      <c r="WQP34" s="678"/>
      <c r="WQQ34" s="678"/>
      <c r="WQR34" s="678"/>
      <c r="WQS34" s="678"/>
      <c r="WQT34" s="678"/>
      <c r="WQU34" s="678"/>
      <c r="WQV34" s="678"/>
      <c r="WQW34" s="678"/>
      <c r="WQX34" s="678"/>
      <c r="WQY34" s="678"/>
      <c r="WQZ34" s="678"/>
      <c r="WRA34" s="678"/>
      <c r="WRB34" s="678"/>
      <c r="WRC34" s="678"/>
      <c r="WRD34" s="678"/>
      <c r="WRE34" s="678"/>
      <c r="WRF34" s="678"/>
      <c r="WRG34" s="678"/>
      <c r="WRH34" s="678"/>
      <c r="WRI34" s="678"/>
      <c r="WRJ34" s="678"/>
      <c r="WRK34" s="678"/>
      <c r="WRL34" s="678"/>
      <c r="WRM34" s="678"/>
      <c r="WRN34" s="678"/>
      <c r="WRO34" s="678"/>
      <c r="WRP34" s="678"/>
      <c r="WRQ34" s="678"/>
      <c r="WRR34" s="678"/>
      <c r="WRS34" s="678"/>
      <c r="WRT34" s="678"/>
      <c r="WRU34" s="678"/>
      <c r="WRV34" s="678"/>
      <c r="WRW34" s="678"/>
      <c r="WRX34" s="678"/>
      <c r="WRY34" s="678"/>
      <c r="WRZ34" s="678"/>
      <c r="WSA34" s="678"/>
      <c r="WSB34" s="678"/>
      <c r="WSC34" s="678"/>
      <c r="WSD34" s="678"/>
      <c r="WSE34" s="678"/>
      <c r="WSF34" s="678"/>
      <c r="WSG34" s="678"/>
      <c r="WSH34" s="678"/>
      <c r="WSI34" s="678"/>
      <c r="WSJ34" s="678"/>
      <c r="WSK34" s="678"/>
      <c r="WSL34" s="678"/>
      <c r="WSM34" s="678"/>
      <c r="WSN34" s="678"/>
      <c r="WSO34" s="678"/>
      <c r="WSP34" s="678"/>
      <c r="WSQ34" s="678"/>
      <c r="WSR34" s="678"/>
      <c r="WSS34" s="678"/>
      <c r="WST34" s="678"/>
      <c r="WSU34" s="678"/>
      <c r="WSV34" s="678"/>
      <c r="WSW34" s="678"/>
      <c r="WSX34" s="678"/>
      <c r="WSY34" s="678"/>
      <c r="WSZ34" s="678"/>
      <c r="WTA34" s="678"/>
      <c r="WTB34" s="678"/>
      <c r="WTC34" s="678"/>
      <c r="WTD34" s="678"/>
      <c r="WTE34" s="678"/>
      <c r="WTF34" s="678"/>
      <c r="WTG34" s="678"/>
      <c r="WTH34" s="678"/>
      <c r="WTI34" s="678"/>
      <c r="WTJ34" s="678"/>
      <c r="WTK34" s="678"/>
      <c r="WTL34" s="678"/>
      <c r="WTM34" s="678"/>
      <c r="WTN34" s="678"/>
      <c r="WTO34" s="678"/>
      <c r="WTP34" s="678"/>
      <c r="WTQ34" s="678"/>
      <c r="WTR34" s="678"/>
      <c r="WTS34" s="678"/>
      <c r="WTT34" s="678"/>
      <c r="WTU34" s="678"/>
      <c r="WTV34" s="678"/>
      <c r="WTW34" s="678"/>
      <c r="WTX34" s="678"/>
      <c r="WTY34" s="678"/>
      <c r="WTZ34" s="678"/>
      <c r="WUA34" s="678"/>
      <c r="WUB34" s="678"/>
      <c r="WUC34" s="678"/>
      <c r="WUD34" s="678"/>
      <c r="WUE34" s="678"/>
      <c r="WUF34" s="678"/>
      <c r="WUG34" s="678"/>
      <c r="WUH34" s="678"/>
      <c r="WUI34" s="678"/>
      <c r="WUJ34" s="678"/>
      <c r="WUK34" s="678"/>
      <c r="WUL34" s="678"/>
      <c r="WUM34" s="678"/>
      <c r="WUN34" s="678"/>
      <c r="WUO34" s="678"/>
      <c r="WUP34" s="678"/>
      <c r="WUQ34" s="678"/>
      <c r="WUR34" s="678"/>
      <c r="WUS34" s="678"/>
      <c r="WUT34" s="678"/>
      <c r="WUU34" s="678"/>
      <c r="WUV34" s="678"/>
      <c r="WUW34" s="678"/>
      <c r="WUX34" s="678"/>
      <c r="WUY34" s="678"/>
      <c r="WUZ34" s="678"/>
      <c r="WVA34" s="678"/>
      <c r="WVB34" s="678"/>
      <c r="WVC34" s="678"/>
      <c r="WVD34" s="678"/>
      <c r="WVE34" s="678"/>
      <c r="WVF34" s="678"/>
      <c r="WVG34" s="678"/>
      <c r="WVH34" s="678"/>
      <c r="WVI34" s="678"/>
      <c r="WVJ34" s="678"/>
      <c r="WVK34" s="678"/>
      <c r="WVL34" s="678"/>
      <c r="WVM34" s="678"/>
      <c r="WVN34" s="678"/>
      <c r="WVO34" s="678"/>
      <c r="WVP34" s="678"/>
      <c r="WVQ34" s="678"/>
      <c r="WVR34" s="678"/>
      <c r="WVS34" s="678"/>
      <c r="WVT34" s="678"/>
      <c r="WVU34" s="678"/>
      <c r="WVV34" s="678"/>
      <c r="WVW34" s="678"/>
      <c r="WVX34" s="678"/>
      <c r="WVY34" s="678"/>
      <c r="WVZ34" s="678"/>
      <c r="WWA34" s="678"/>
      <c r="WWB34" s="678"/>
      <c r="WWC34" s="678"/>
      <c r="WWD34" s="678"/>
      <c r="WWE34" s="678"/>
      <c r="WWF34" s="678"/>
      <c r="WWG34" s="678"/>
      <c r="WWH34" s="678"/>
      <c r="WWI34" s="678"/>
      <c r="WWJ34" s="678"/>
      <c r="WWK34" s="678"/>
      <c r="WWL34" s="678"/>
      <c r="WWM34" s="678"/>
      <c r="WWN34" s="678"/>
      <c r="WWO34" s="678"/>
      <c r="WWP34" s="678"/>
      <c r="WWQ34" s="678"/>
      <c r="WWR34" s="678"/>
      <c r="WWS34" s="678"/>
      <c r="WWT34" s="678"/>
      <c r="WWU34" s="678"/>
      <c r="WWV34" s="678"/>
      <c r="WWW34" s="678"/>
      <c r="WWX34" s="678"/>
      <c r="WWY34" s="678"/>
      <c r="WWZ34" s="678"/>
      <c r="WXA34" s="678"/>
      <c r="WXB34" s="678"/>
      <c r="WXC34" s="678"/>
      <c r="WXD34" s="678"/>
      <c r="WXE34" s="678"/>
      <c r="WXF34" s="678"/>
      <c r="WXG34" s="678"/>
      <c r="WXH34" s="678"/>
      <c r="WXI34" s="678"/>
      <c r="WXJ34" s="678"/>
      <c r="WXK34" s="678"/>
      <c r="WXL34" s="678"/>
      <c r="WXM34" s="678"/>
      <c r="WXN34" s="678"/>
      <c r="WXO34" s="678"/>
      <c r="WXP34" s="678"/>
      <c r="WXQ34" s="678"/>
      <c r="WXR34" s="678"/>
      <c r="WXS34" s="678"/>
      <c r="WXT34" s="678"/>
      <c r="WXU34" s="678"/>
      <c r="WXV34" s="678"/>
      <c r="WXW34" s="678"/>
      <c r="WXX34" s="678"/>
      <c r="WXY34" s="678"/>
      <c r="WXZ34" s="678"/>
      <c r="WYA34" s="678"/>
      <c r="WYB34" s="678"/>
      <c r="WYC34" s="678"/>
      <c r="WYD34" s="678"/>
      <c r="WYE34" s="678"/>
      <c r="WYF34" s="678"/>
      <c r="WYG34" s="678"/>
      <c r="WYH34" s="678"/>
      <c r="WYI34" s="678"/>
      <c r="WYJ34" s="678"/>
      <c r="WYK34" s="678"/>
      <c r="WYL34" s="678"/>
      <c r="WYM34" s="678"/>
      <c r="WYN34" s="678"/>
      <c r="WYO34" s="678"/>
      <c r="WYP34" s="678"/>
      <c r="WYQ34" s="678"/>
      <c r="WYR34" s="678"/>
      <c r="WYS34" s="678"/>
      <c r="WYT34" s="678"/>
      <c r="WYU34" s="678"/>
      <c r="WYV34" s="678"/>
      <c r="WYW34" s="678"/>
      <c r="WYX34" s="678"/>
      <c r="WYY34" s="678"/>
      <c r="WYZ34" s="678"/>
      <c r="WZA34" s="678"/>
      <c r="WZB34" s="678"/>
      <c r="WZC34" s="678"/>
      <c r="WZD34" s="678"/>
      <c r="WZE34" s="678"/>
      <c r="WZF34" s="678"/>
      <c r="WZG34" s="678"/>
      <c r="WZH34" s="678"/>
      <c r="WZI34" s="678"/>
      <c r="WZJ34" s="678"/>
      <c r="WZK34" s="678"/>
      <c r="WZL34" s="678"/>
      <c r="WZM34" s="678"/>
      <c r="WZN34" s="678"/>
      <c r="WZO34" s="678"/>
      <c r="WZP34" s="678"/>
      <c r="WZQ34" s="678"/>
      <c r="WZR34" s="678"/>
      <c r="WZS34" s="678"/>
      <c r="WZT34" s="678"/>
      <c r="WZU34" s="678"/>
      <c r="WZV34" s="678"/>
      <c r="WZW34" s="678"/>
      <c r="WZX34" s="678"/>
      <c r="WZY34" s="678"/>
      <c r="WZZ34" s="678"/>
      <c r="XAA34" s="678"/>
      <c r="XAB34" s="678"/>
      <c r="XAC34" s="678"/>
      <c r="XAD34" s="678"/>
      <c r="XAE34" s="678"/>
      <c r="XAF34" s="678"/>
      <c r="XAG34" s="678"/>
      <c r="XAH34" s="678"/>
      <c r="XAI34" s="678"/>
      <c r="XAJ34" s="678"/>
      <c r="XAK34" s="678"/>
      <c r="XAL34" s="678"/>
      <c r="XAM34" s="678"/>
      <c r="XAN34" s="678"/>
      <c r="XAO34" s="678"/>
      <c r="XAP34" s="678"/>
      <c r="XAQ34" s="678"/>
      <c r="XAR34" s="678"/>
      <c r="XAS34" s="678"/>
      <c r="XAT34" s="678"/>
      <c r="XAU34" s="678"/>
      <c r="XAV34" s="678"/>
      <c r="XAW34" s="678"/>
      <c r="XAX34" s="678"/>
      <c r="XAY34" s="678"/>
      <c r="XAZ34" s="678"/>
      <c r="XBA34" s="678"/>
      <c r="XBB34" s="678"/>
      <c r="XBC34" s="678"/>
      <c r="XBD34" s="678"/>
      <c r="XBE34" s="678"/>
      <c r="XBF34" s="678"/>
      <c r="XBG34" s="678"/>
      <c r="XBH34" s="678"/>
      <c r="XBI34" s="678"/>
      <c r="XBJ34" s="678"/>
      <c r="XBK34" s="678"/>
      <c r="XBL34" s="678"/>
      <c r="XBM34" s="678"/>
      <c r="XBN34" s="678"/>
      <c r="XBO34" s="678"/>
      <c r="XBP34" s="678"/>
      <c r="XBQ34" s="678"/>
      <c r="XBR34" s="678"/>
      <c r="XBS34" s="678"/>
      <c r="XBT34" s="678"/>
      <c r="XBU34" s="678"/>
      <c r="XBV34" s="678"/>
      <c r="XBW34" s="678"/>
      <c r="XBX34" s="678"/>
      <c r="XBY34" s="678"/>
      <c r="XBZ34" s="678"/>
      <c r="XCA34" s="678"/>
      <c r="XCB34" s="678"/>
      <c r="XCC34" s="678"/>
      <c r="XCD34" s="678"/>
      <c r="XCE34" s="678"/>
      <c r="XCF34" s="678"/>
      <c r="XCG34" s="678"/>
      <c r="XCH34" s="678"/>
      <c r="XCI34" s="678"/>
      <c r="XCJ34" s="678"/>
      <c r="XCK34" s="678"/>
      <c r="XCL34" s="678"/>
      <c r="XCM34" s="678"/>
      <c r="XCN34" s="678"/>
      <c r="XCO34" s="678"/>
      <c r="XCP34" s="678"/>
      <c r="XCQ34" s="678"/>
      <c r="XCR34" s="678"/>
      <c r="XCS34" s="678"/>
      <c r="XCT34" s="678"/>
      <c r="XCU34" s="678"/>
      <c r="XCV34" s="678"/>
      <c r="XCW34" s="678"/>
      <c r="XCX34" s="678"/>
      <c r="XCY34" s="678"/>
      <c r="XCZ34" s="678"/>
      <c r="XDA34" s="678"/>
      <c r="XDB34" s="678"/>
      <c r="XDC34" s="678"/>
      <c r="XDD34" s="678"/>
      <c r="XDE34" s="678"/>
      <c r="XDF34" s="678"/>
      <c r="XDG34" s="678"/>
      <c r="XDH34" s="678"/>
      <c r="XDI34" s="678"/>
      <c r="XDJ34" s="678"/>
      <c r="XDK34" s="678"/>
      <c r="XDL34" s="678"/>
      <c r="XDM34" s="678"/>
      <c r="XDN34" s="678"/>
      <c r="XDO34" s="678"/>
      <c r="XDP34" s="678"/>
      <c r="XDQ34" s="678"/>
      <c r="XDR34" s="678"/>
      <c r="XDS34" s="678"/>
      <c r="XDT34" s="678"/>
      <c r="XDU34" s="678"/>
      <c r="XDV34" s="678"/>
      <c r="XDW34" s="678"/>
      <c r="XDX34" s="678"/>
      <c r="XDY34" s="678"/>
      <c r="XDZ34" s="678"/>
      <c r="XEA34" s="678"/>
      <c r="XEB34" s="678"/>
      <c r="XEC34" s="678"/>
      <c r="XED34" s="678"/>
      <c r="XEE34" s="678"/>
      <c r="XEF34" s="678"/>
      <c r="XEG34" s="678"/>
      <c r="XEH34" s="678"/>
      <c r="XEI34" s="678"/>
      <c r="XEJ34" s="678"/>
      <c r="XEK34" s="678"/>
      <c r="XEL34" s="678"/>
      <c r="XEM34" s="678"/>
      <c r="XEN34" s="678"/>
      <c r="XEO34" s="678"/>
      <c r="XEP34" s="678"/>
      <c r="XEQ34" s="678"/>
      <c r="XER34" s="678"/>
      <c r="XES34" s="678"/>
      <c r="XET34" s="678"/>
      <c r="XEU34" s="678"/>
      <c r="XEV34" s="678"/>
      <c r="XEW34" s="678"/>
      <c r="XEX34" s="678"/>
      <c r="XEY34" s="678"/>
      <c r="XEZ34" s="678"/>
      <c r="XFA34" s="678"/>
      <c r="XFB34" s="678"/>
    </row>
    <row r="35" spans="1:16382" ht="20.100000000000001" customHeight="1">
      <c r="A35" s="678" t="s">
        <v>248</v>
      </c>
      <c r="B35" s="678"/>
      <c r="C35" s="678"/>
      <c r="D35" s="678"/>
      <c r="E35" s="678"/>
      <c r="F35" s="678"/>
      <c r="G35" s="678"/>
      <c r="H35" s="678"/>
      <c r="I35" s="678"/>
      <c r="J35" s="678"/>
      <c r="K35" s="678"/>
      <c r="L35" s="678"/>
      <c r="M35" s="678"/>
      <c r="N35" s="678"/>
      <c r="O35" s="678"/>
      <c r="P35" s="678"/>
      <c r="Q35" s="678"/>
      <c r="R35" s="678"/>
      <c r="S35" s="678"/>
      <c r="T35" s="678"/>
      <c r="U35" s="678"/>
      <c r="V35" s="678"/>
      <c r="W35" s="678"/>
      <c r="X35" s="678"/>
      <c r="Y35" s="678"/>
      <c r="Z35" s="678"/>
      <c r="AA35" s="678"/>
      <c r="AB35" s="678"/>
      <c r="AC35" s="678"/>
      <c r="AD35" s="678"/>
      <c r="AE35" s="678"/>
      <c r="AF35" s="678"/>
      <c r="AG35" s="10"/>
      <c r="AH35" s="285"/>
      <c r="AI35" s="10"/>
      <c r="AJ35" s="646"/>
      <c r="AK35" s="7"/>
      <c r="AL35" s="434"/>
      <c r="AM35" s="434"/>
      <c r="AN35" s="434"/>
      <c r="AO35" s="434"/>
      <c r="AP35" s="434"/>
      <c r="AQ35" s="649"/>
      <c r="AR35" s="649"/>
      <c r="AS35" s="649"/>
      <c r="AT35" s="649"/>
      <c r="AU35" s="649"/>
      <c r="AV35" s="434"/>
      <c r="AW35" s="649"/>
      <c r="AX35" s="678"/>
      <c r="AY35" s="678"/>
      <c r="AZ35" s="678"/>
      <c r="BA35" s="678"/>
      <c r="BB35" s="678"/>
      <c r="BC35" s="678"/>
      <c r="BD35" s="678"/>
      <c r="BE35" s="678"/>
      <c r="BF35" s="678"/>
      <c r="BG35" s="678"/>
      <c r="BH35" s="678"/>
      <c r="BI35" s="678"/>
      <c r="BJ35" s="678"/>
      <c r="BK35" s="678"/>
      <c r="BL35" s="678"/>
      <c r="BM35" s="678"/>
      <c r="BN35" s="678"/>
      <c r="BO35" s="678"/>
      <c r="BP35" s="678"/>
      <c r="BQ35" s="678"/>
      <c r="BR35" s="678"/>
      <c r="BS35" s="678"/>
      <c r="BT35" s="678"/>
      <c r="BU35" s="678"/>
      <c r="BV35" s="678"/>
      <c r="BW35" s="678"/>
      <c r="BX35" s="678"/>
      <c r="BY35" s="678"/>
      <c r="BZ35" s="678"/>
      <c r="CA35" s="678"/>
      <c r="CB35" s="678"/>
      <c r="CC35" s="678"/>
      <c r="CD35" s="678"/>
      <c r="CE35" s="678"/>
      <c r="CF35" s="678"/>
      <c r="CG35" s="678"/>
      <c r="CH35" s="678"/>
      <c r="CI35" s="678"/>
      <c r="CJ35" s="678"/>
      <c r="CK35" s="678"/>
      <c r="CL35" s="678"/>
      <c r="CM35" s="678"/>
      <c r="CN35" s="678"/>
      <c r="CO35" s="678"/>
      <c r="CP35" s="678"/>
      <c r="CQ35" s="678"/>
      <c r="CR35" s="678"/>
      <c r="CS35" s="678"/>
      <c r="CT35" s="678"/>
      <c r="CU35" s="678"/>
      <c r="CV35" s="678"/>
      <c r="CW35" s="678"/>
      <c r="CX35" s="678"/>
      <c r="CY35" s="678"/>
      <c r="CZ35" s="678"/>
      <c r="DA35" s="678"/>
      <c r="DB35" s="678"/>
      <c r="DC35" s="678"/>
      <c r="DD35" s="678"/>
      <c r="DE35" s="678"/>
      <c r="DF35" s="678"/>
      <c r="DG35" s="678"/>
      <c r="DH35" s="678"/>
      <c r="DI35" s="678"/>
      <c r="DJ35" s="678"/>
      <c r="DK35" s="678"/>
      <c r="DL35" s="678"/>
      <c r="DM35" s="678"/>
      <c r="DN35" s="678"/>
      <c r="DO35" s="678"/>
      <c r="DP35" s="678"/>
      <c r="DQ35" s="678"/>
      <c r="DR35" s="678"/>
      <c r="DS35" s="678"/>
      <c r="DT35" s="678"/>
      <c r="DU35" s="678"/>
      <c r="DV35" s="678"/>
      <c r="DW35" s="678"/>
      <c r="DX35" s="678"/>
      <c r="DY35" s="678"/>
      <c r="DZ35" s="678"/>
      <c r="EA35" s="678"/>
      <c r="EB35" s="678"/>
      <c r="EC35" s="678"/>
      <c r="ED35" s="678"/>
      <c r="EE35" s="678"/>
      <c r="EF35" s="678"/>
      <c r="EG35" s="678"/>
      <c r="EH35" s="678"/>
      <c r="EI35" s="678"/>
      <c r="EJ35" s="678"/>
      <c r="EK35" s="678"/>
      <c r="EL35" s="678"/>
      <c r="EM35" s="678"/>
      <c r="EN35" s="678"/>
      <c r="EO35" s="678"/>
      <c r="EP35" s="678"/>
      <c r="EQ35" s="678"/>
      <c r="ER35" s="678"/>
      <c r="ES35" s="678"/>
      <c r="ET35" s="678"/>
      <c r="EU35" s="678"/>
      <c r="EV35" s="678"/>
      <c r="EW35" s="678"/>
      <c r="EX35" s="678"/>
      <c r="EY35" s="678"/>
      <c r="EZ35" s="678"/>
      <c r="FA35" s="678"/>
      <c r="FB35" s="678"/>
      <c r="FC35" s="678"/>
      <c r="FD35" s="678"/>
      <c r="FE35" s="678"/>
      <c r="FF35" s="678"/>
      <c r="FG35" s="678"/>
      <c r="FH35" s="678"/>
      <c r="FI35" s="678"/>
      <c r="FJ35" s="678"/>
      <c r="FK35" s="678"/>
      <c r="FL35" s="678"/>
      <c r="FM35" s="678"/>
      <c r="FN35" s="678"/>
      <c r="FO35" s="678"/>
      <c r="FP35" s="678"/>
      <c r="FQ35" s="678"/>
      <c r="FR35" s="678"/>
      <c r="FS35" s="678"/>
      <c r="FT35" s="678"/>
      <c r="FU35" s="678"/>
      <c r="FV35" s="678"/>
      <c r="FW35" s="678"/>
      <c r="FX35" s="678"/>
      <c r="FY35" s="678"/>
      <c r="FZ35" s="678"/>
      <c r="GA35" s="678"/>
      <c r="GB35" s="678"/>
      <c r="GC35" s="678"/>
      <c r="GD35" s="678"/>
      <c r="GE35" s="678"/>
      <c r="GF35" s="678"/>
      <c r="GG35" s="678"/>
      <c r="GH35" s="678"/>
      <c r="GI35" s="678"/>
      <c r="GJ35" s="678"/>
      <c r="GK35" s="678"/>
      <c r="GL35" s="678"/>
      <c r="GM35" s="678"/>
      <c r="GN35" s="678"/>
      <c r="GO35" s="678"/>
      <c r="GP35" s="678"/>
      <c r="GQ35" s="678"/>
      <c r="GR35" s="678"/>
      <c r="GS35" s="678"/>
      <c r="GT35" s="678"/>
      <c r="GU35" s="678"/>
      <c r="GV35" s="678"/>
      <c r="GW35" s="678"/>
      <c r="GX35" s="678"/>
      <c r="GY35" s="678"/>
      <c r="GZ35" s="678"/>
      <c r="HA35" s="678"/>
      <c r="HB35" s="678"/>
      <c r="HC35" s="678"/>
      <c r="HD35" s="678"/>
      <c r="HE35" s="678"/>
      <c r="HF35" s="678"/>
      <c r="HG35" s="678"/>
      <c r="HH35" s="678"/>
      <c r="HI35" s="678"/>
      <c r="HJ35" s="678"/>
      <c r="HK35" s="678"/>
      <c r="HL35" s="678"/>
      <c r="HM35" s="678"/>
      <c r="HN35" s="678"/>
      <c r="HO35" s="678"/>
      <c r="HP35" s="678"/>
      <c r="HQ35" s="678"/>
      <c r="HR35" s="678"/>
      <c r="HS35" s="678"/>
      <c r="HT35" s="678"/>
      <c r="HU35" s="678"/>
      <c r="HV35" s="678"/>
      <c r="HW35" s="678"/>
      <c r="HX35" s="678"/>
      <c r="HY35" s="678"/>
      <c r="HZ35" s="678"/>
      <c r="IA35" s="678"/>
      <c r="IB35" s="678"/>
      <c r="IC35" s="678"/>
      <c r="ID35" s="678"/>
      <c r="IE35" s="678"/>
      <c r="IF35" s="678"/>
      <c r="IG35" s="678"/>
      <c r="IH35" s="678"/>
      <c r="II35" s="678"/>
      <c r="IJ35" s="678"/>
      <c r="IK35" s="678"/>
      <c r="IL35" s="678"/>
      <c r="IM35" s="678"/>
      <c r="IN35" s="678"/>
      <c r="IO35" s="678"/>
      <c r="IP35" s="678"/>
      <c r="IQ35" s="678"/>
      <c r="IR35" s="678"/>
      <c r="IS35" s="678"/>
      <c r="IT35" s="678"/>
      <c r="IU35" s="678"/>
      <c r="IV35" s="678"/>
      <c r="IW35" s="678"/>
      <c r="IX35" s="678"/>
      <c r="IY35" s="678"/>
      <c r="IZ35" s="678"/>
      <c r="JA35" s="678"/>
      <c r="JB35" s="678"/>
      <c r="JC35" s="678"/>
      <c r="JD35" s="678"/>
      <c r="JE35" s="678"/>
      <c r="JF35" s="678"/>
      <c r="JG35" s="678"/>
      <c r="JH35" s="678"/>
      <c r="JI35" s="678"/>
      <c r="JJ35" s="678"/>
      <c r="JK35" s="678"/>
      <c r="JL35" s="678"/>
      <c r="JM35" s="678"/>
      <c r="JN35" s="678"/>
      <c r="JO35" s="678"/>
      <c r="JP35" s="678"/>
      <c r="JQ35" s="678"/>
      <c r="JR35" s="678"/>
      <c r="JS35" s="678"/>
      <c r="JT35" s="678"/>
      <c r="JU35" s="678"/>
      <c r="JV35" s="678"/>
      <c r="JW35" s="678"/>
      <c r="JX35" s="678"/>
      <c r="JY35" s="678"/>
      <c r="JZ35" s="678"/>
      <c r="KA35" s="678"/>
      <c r="KB35" s="678"/>
      <c r="KC35" s="678"/>
      <c r="KD35" s="678"/>
      <c r="KE35" s="678"/>
      <c r="KF35" s="678"/>
      <c r="KG35" s="678"/>
      <c r="KH35" s="678"/>
      <c r="KI35" s="678"/>
      <c r="KJ35" s="678"/>
      <c r="KK35" s="678"/>
      <c r="KL35" s="678"/>
      <c r="KM35" s="678"/>
      <c r="KN35" s="678"/>
      <c r="KO35" s="678"/>
      <c r="KP35" s="678"/>
      <c r="KQ35" s="678"/>
      <c r="KR35" s="678"/>
      <c r="KS35" s="678"/>
      <c r="KT35" s="678"/>
      <c r="KU35" s="678"/>
      <c r="KV35" s="678"/>
      <c r="KW35" s="678"/>
      <c r="KX35" s="678"/>
      <c r="KY35" s="678"/>
      <c r="KZ35" s="678"/>
      <c r="LA35" s="678"/>
      <c r="LB35" s="678"/>
      <c r="LC35" s="678"/>
      <c r="LD35" s="678"/>
      <c r="LE35" s="678"/>
      <c r="LF35" s="678"/>
      <c r="LG35" s="678"/>
      <c r="LH35" s="678"/>
      <c r="LI35" s="678"/>
      <c r="LJ35" s="678"/>
      <c r="LK35" s="678"/>
      <c r="LL35" s="678"/>
      <c r="LM35" s="678"/>
      <c r="LN35" s="678"/>
      <c r="LO35" s="678"/>
      <c r="LP35" s="678"/>
      <c r="LQ35" s="678"/>
      <c r="LR35" s="678"/>
      <c r="LS35" s="678"/>
      <c r="LT35" s="678"/>
      <c r="LU35" s="678"/>
      <c r="LV35" s="678"/>
      <c r="LW35" s="678"/>
      <c r="LX35" s="678"/>
      <c r="LY35" s="678"/>
      <c r="LZ35" s="678"/>
      <c r="MA35" s="678"/>
      <c r="MB35" s="678"/>
      <c r="MC35" s="678"/>
      <c r="MD35" s="678"/>
      <c r="ME35" s="678"/>
      <c r="MF35" s="678"/>
      <c r="MG35" s="678"/>
      <c r="MH35" s="678"/>
      <c r="MI35" s="678"/>
      <c r="MJ35" s="678"/>
      <c r="MK35" s="678"/>
      <c r="ML35" s="678"/>
      <c r="MM35" s="678"/>
      <c r="MN35" s="678"/>
      <c r="MO35" s="678"/>
      <c r="MP35" s="678"/>
      <c r="MQ35" s="678"/>
      <c r="MR35" s="678"/>
      <c r="MS35" s="678"/>
      <c r="MT35" s="678"/>
      <c r="MU35" s="678"/>
      <c r="MV35" s="678"/>
      <c r="MW35" s="678"/>
      <c r="MX35" s="678"/>
      <c r="MY35" s="678"/>
      <c r="MZ35" s="678"/>
      <c r="NA35" s="678"/>
      <c r="NB35" s="678"/>
      <c r="NC35" s="678"/>
      <c r="ND35" s="678"/>
      <c r="NE35" s="678"/>
      <c r="NF35" s="678"/>
      <c r="NG35" s="678"/>
      <c r="NH35" s="678"/>
      <c r="NI35" s="678"/>
      <c r="NJ35" s="678"/>
      <c r="NK35" s="678"/>
      <c r="NL35" s="678"/>
      <c r="NM35" s="678"/>
      <c r="NN35" s="678"/>
      <c r="NO35" s="678"/>
      <c r="NP35" s="678"/>
      <c r="NQ35" s="678"/>
      <c r="NR35" s="678"/>
      <c r="NS35" s="678"/>
      <c r="NT35" s="678"/>
      <c r="NU35" s="678"/>
      <c r="NV35" s="678"/>
      <c r="NW35" s="678"/>
      <c r="NX35" s="678"/>
      <c r="NY35" s="678"/>
      <c r="NZ35" s="678"/>
      <c r="OA35" s="678"/>
      <c r="OB35" s="678"/>
      <c r="OC35" s="678"/>
      <c r="OD35" s="678"/>
      <c r="OE35" s="678"/>
      <c r="OF35" s="678"/>
      <c r="OG35" s="678"/>
      <c r="OH35" s="678"/>
      <c r="OI35" s="678"/>
      <c r="OJ35" s="678"/>
      <c r="OK35" s="678"/>
      <c r="OL35" s="678"/>
      <c r="OM35" s="678"/>
      <c r="ON35" s="678"/>
      <c r="OO35" s="678"/>
      <c r="OP35" s="678"/>
      <c r="OQ35" s="678"/>
      <c r="OR35" s="678"/>
      <c r="OS35" s="678"/>
      <c r="OT35" s="678"/>
      <c r="OU35" s="678"/>
      <c r="OV35" s="678"/>
      <c r="OW35" s="678"/>
      <c r="OX35" s="678"/>
      <c r="OY35" s="678"/>
      <c r="OZ35" s="678"/>
      <c r="PA35" s="678"/>
      <c r="PB35" s="678"/>
      <c r="PC35" s="678"/>
      <c r="PD35" s="678"/>
      <c r="PE35" s="678"/>
      <c r="PF35" s="678"/>
      <c r="PG35" s="678"/>
      <c r="PH35" s="678"/>
      <c r="PI35" s="678"/>
      <c r="PJ35" s="678"/>
      <c r="PK35" s="678"/>
      <c r="PL35" s="678"/>
      <c r="PM35" s="678"/>
      <c r="PN35" s="678"/>
      <c r="PO35" s="678"/>
      <c r="PP35" s="678"/>
      <c r="PQ35" s="678"/>
      <c r="PR35" s="678"/>
      <c r="PS35" s="678"/>
      <c r="PT35" s="678"/>
      <c r="PU35" s="678"/>
      <c r="PV35" s="678"/>
      <c r="PW35" s="678"/>
      <c r="PX35" s="678"/>
      <c r="PY35" s="678"/>
      <c r="PZ35" s="678"/>
      <c r="QA35" s="678"/>
      <c r="QB35" s="678"/>
      <c r="QC35" s="678"/>
      <c r="QD35" s="678"/>
      <c r="QE35" s="678"/>
      <c r="QF35" s="678"/>
      <c r="QG35" s="678"/>
      <c r="QH35" s="678"/>
      <c r="QI35" s="678"/>
      <c r="QJ35" s="678"/>
      <c r="QK35" s="678"/>
      <c r="QL35" s="678"/>
      <c r="QM35" s="678"/>
      <c r="QN35" s="678"/>
      <c r="QO35" s="678"/>
      <c r="QP35" s="678"/>
      <c r="QQ35" s="678"/>
      <c r="QR35" s="678"/>
      <c r="QS35" s="678"/>
      <c r="QT35" s="678"/>
      <c r="QU35" s="678"/>
      <c r="QV35" s="678"/>
      <c r="QW35" s="678"/>
      <c r="QX35" s="678"/>
      <c r="QY35" s="678"/>
      <c r="QZ35" s="678"/>
      <c r="RA35" s="678"/>
      <c r="RB35" s="678"/>
      <c r="RC35" s="678"/>
      <c r="RD35" s="678"/>
      <c r="RE35" s="678"/>
      <c r="RF35" s="678"/>
      <c r="RG35" s="678"/>
      <c r="RH35" s="678"/>
      <c r="RI35" s="678"/>
      <c r="RJ35" s="678"/>
      <c r="RK35" s="678"/>
      <c r="RL35" s="678"/>
      <c r="RM35" s="678"/>
      <c r="RN35" s="678"/>
      <c r="RO35" s="678"/>
      <c r="RP35" s="678"/>
      <c r="RQ35" s="678"/>
      <c r="RR35" s="678"/>
      <c r="RS35" s="678"/>
      <c r="RT35" s="678"/>
      <c r="RU35" s="678"/>
      <c r="RV35" s="678"/>
      <c r="RW35" s="678"/>
      <c r="RX35" s="678"/>
      <c r="RY35" s="678"/>
      <c r="RZ35" s="678"/>
      <c r="SA35" s="678"/>
      <c r="SB35" s="678"/>
      <c r="SC35" s="678"/>
      <c r="SD35" s="678"/>
      <c r="SE35" s="678"/>
      <c r="SF35" s="678"/>
      <c r="SG35" s="678"/>
      <c r="SH35" s="678"/>
      <c r="SI35" s="678"/>
      <c r="SJ35" s="678"/>
      <c r="SK35" s="678"/>
      <c r="SL35" s="678"/>
      <c r="SM35" s="678"/>
      <c r="SN35" s="678"/>
      <c r="SO35" s="678"/>
      <c r="SP35" s="678"/>
      <c r="SQ35" s="678"/>
      <c r="SR35" s="678"/>
      <c r="SS35" s="678"/>
      <c r="ST35" s="678"/>
      <c r="SU35" s="678"/>
      <c r="SV35" s="678"/>
      <c r="SW35" s="678"/>
      <c r="SX35" s="678"/>
      <c r="SY35" s="678"/>
      <c r="SZ35" s="678"/>
      <c r="TA35" s="678"/>
      <c r="TB35" s="678"/>
      <c r="TC35" s="678"/>
      <c r="TD35" s="678"/>
      <c r="TE35" s="678"/>
      <c r="TF35" s="678"/>
      <c r="TG35" s="678"/>
      <c r="TH35" s="678"/>
      <c r="TI35" s="678"/>
      <c r="TJ35" s="678"/>
      <c r="TK35" s="678"/>
      <c r="TL35" s="678"/>
      <c r="TM35" s="678"/>
      <c r="TN35" s="678"/>
      <c r="TO35" s="678"/>
      <c r="TP35" s="678"/>
      <c r="TQ35" s="678"/>
      <c r="TR35" s="678"/>
      <c r="TS35" s="678"/>
      <c r="TT35" s="678"/>
      <c r="TU35" s="678"/>
      <c r="TV35" s="678"/>
      <c r="TW35" s="678"/>
      <c r="TX35" s="678"/>
      <c r="TY35" s="678"/>
      <c r="TZ35" s="678"/>
      <c r="UA35" s="678"/>
      <c r="UB35" s="678"/>
      <c r="UC35" s="678"/>
      <c r="UD35" s="678"/>
      <c r="UE35" s="678"/>
      <c r="UF35" s="678"/>
      <c r="UG35" s="678"/>
      <c r="UH35" s="678"/>
      <c r="UI35" s="678"/>
      <c r="UJ35" s="678"/>
      <c r="UK35" s="678"/>
      <c r="UL35" s="678"/>
      <c r="UM35" s="678"/>
      <c r="UN35" s="678"/>
      <c r="UO35" s="678"/>
      <c r="UP35" s="678"/>
      <c r="UQ35" s="678"/>
      <c r="UR35" s="678"/>
      <c r="US35" s="678"/>
      <c r="UT35" s="678"/>
      <c r="UU35" s="678"/>
      <c r="UV35" s="678"/>
      <c r="UW35" s="678"/>
      <c r="UX35" s="678"/>
      <c r="UY35" s="678"/>
      <c r="UZ35" s="678"/>
      <c r="VA35" s="678"/>
      <c r="VB35" s="678"/>
      <c r="VC35" s="678"/>
      <c r="VD35" s="678"/>
      <c r="VE35" s="678"/>
      <c r="VF35" s="678"/>
      <c r="VG35" s="678"/>
      <c r="VH35" s="678"/>
      <c r="VI35" s="678"/>
      <c r="VJ35" s="678"/>
      <c r="VK35" s="678"/>
      <c r="VL35" s="678"/>
      <c r="VM35" s="678"/>
      <c r="VN35" s="678"/>
      <c r="VO35" s="678"/>
      <c r="VP35" s="678"/>
      <c r="VQ35" s="678"/>
      <c r="VR35" s="678"/>
      <c r="VS35" s="678"/>
      <c r="VT35" s="678"/>
      <c r="VU35" s="678"/>
      <c r="VV35" s="678"/>
      <c r="VW35" s="678"/>
      <c r="VX35" s="678"/>
      <c r="VY35" s="678"/>
      <c r="VZ35" s="678"/>
      <c r="WA35" s="678"/>
      <c r="WB35" s="678"/>
      <c r="WC35" s="678"/>
      <c r="WD35" s="678"/>
      <c r="WE35" s="678"/>
      <c r="WF35" s="678"/>
      <c r="WG35" s="678"/>
      <c r="WH35" s="678"/>
      <c r="WI35" s="678"/>
      <c r="WJ35" s="678"/>
      <c r="WK35" s="678"/>
      <c r="WL35" s="678"/>
      <c r="WM35" s="678"/>
      <c r="WN35" s="678"/>
      <c r="WO35" s="678"/>
      <c r="WP35" s="678"/>
      <c r="WQ35" s="678"/>
      <c r="WR35" s="678"/>
      <c r="WS35" s="678"/>
      <c r="WT35" s="678"/>
      <c r="WU35" s="678"/>
      <c r="WV35" s="678"/>
      <c r="WW35" s="678"/>
      <c r="WX35" s="678"/>
      <c r="WY35" s="678"/>
      <c r="WZ35" s="678"/>
      <c r="XA35" s="678"/>
      <c r="XB35" s="678"/>
      <c r="XC35" s="678"/>
      <c r="XD35" s="678"/>
      <c r="XE35" s="678"/>
      <c r="XF35" s="678"/>
      <c r="XG35" s="678"/>
      <c r="XH35" s="678"/>
      <c r="XI35" s="678"/>
      <c r="XJ35" s="678"/>
      <c r="XK35" s="678"/>
      <c r="XL35" s="678"/>
      <c r="XM35" s="678"/>
      <c r="XN35" s="678"/>
      <c r="XO35" s="678"/>
      <c r="XP35" s="678"/>
      <c r="XQ35" s="678"/>
      <c r="XR35" s="678"/>
      <c r="XS35" s="678"/>
      <c r="XT35" s="678"/>
      <c r="XU35" s="678"/>
      <c r="XV35" s="678"/>
      <c r="XW35" s="678"/>
      <c r="XX35" s="678"/>
      <c r="XY35" s="678"/>
      <c r="XZ35" s="678"/>
      <c r="YA35" s="678"/>
      <c r="YB35" s="678"/>
      <c r="YC35" s="678"/>
      <c r="YD35" s="678"/>
      <c r="YE35" s="678"/>
      <c r="YF35" s="678"/>
      <c r="YG35" s="678"/>
      <c r="YH35" s="678"/>
      <c r="YI35" s="678"/>
      <c r="YJ35" s="678"/>
      <c r="YK35" s="678"/>
      <c r="YL35" s="678"/>
      <c r="YM35" s="678"/>
      <c r="YN35" s="678"/>
      <c r="YO35" s="678"/>
      <c r="YP35" s="678"/>
      <c r="YQ35" s="678"/>
      <c r="YR35" s="678"/>
      <c r="YS35" s="678"/>
      <c r="YT35" s="678"/>
      <c r="YU35" s="678"/>
      <c r="YV35" s="678"/>
      <c r="YW35" s="678"/>
      <c r="YX35" s="678"/>
      <c r="YY35" s="678"/>
      <c r="YZ35" s="678"/>
      <c r="ZA35" s="678"/>
      <c r="ZB35" s="678"/>
      <c r="ZC35" s="678"/>
      <c r="ZD35" s="678"/>
      <c r="ZE35" s="678"/>
      <c r="ZF35" s="678"/>
      <c r="ZG35" s="678"/>
      <c r="ZH35" s="678"/>
      <c r="ZI35" s="678"/>
      <c r="ZJ35" s="678"/>
      <c r="ZK35" s="678"/>
      <c r="ZL35" s="678"/>
      <c r="ZM35" s="678"/>
      <c r="ZN35" s="678"/>
      <c r="ZO35" s="678"/>
      <c r="ZP35" s="678"/>
      <c r="ZQ35" s="678"/>
      <c r="ZR35" s="678"/>
      <c r="ZS35" s="678"/>
      <c r="ZT35" s="678"/>
      <c r="ZU35" s="678"/>
      <c r="ZV35" s="678"/>
      <c r="ZW35" s="678"/>
      <c r="ZX35" s="678"/>
      <c r="ZY35" s="678"/>
      <c r="ZZ35" s="678"/>
      <c r="AAA35" s="678"/>
      <c r="AAB35" s="678"/>
      <c r="AAC35" s="678"/>
      <c r="AAD35" s="678"/>
      <c r="AAE35" s="678"/>
      <c r="AAF35" s="678"/>
      <c r="AAG35" s="678"/>
      <c r="AAH35" s="678"/>
      <c r="AAI35" s="678"/>
      <c r="AAJ35" s="678"/>
      <c r="AAK35" s="678"/>
      <c r="AAL35" s="678"/>
      <c r="AAM35" s="678"/>
      <c r="AAN35" s="678"/>
      <c r="AAO35" s="678"/>
      <c r="AAP35" s="678"/>
      <c r="AAQ35" s="678"/>
      <c r="AAR35" s="678"/>
      <c r="AAS35" s="678"/>
      <c r="AAT35" s="678"/>
      <c r="AAU35" s="678"/>
      <c r="AAV35" s="678"/>
      <c r="AAW35" s="678"/>
      <c r="AAX35" s="678"/>
      <c r="AAY35" s="678"/>
      <c r="AAZ35" s="678"/>
      <c r="ABA35" s="678"/>
      <c r="ABB35" s="678"/>
      <c r="ABC35" s="678"/>
      <c r="ABD35" s="678"/>
      <c r="ABE35" s="678"/>
      <c r="ABF35" s="678"/>
      <c r="ABG35" s="678"/>
      <c r="ABH35" s="678"/>
      <c r="ABI35" s="678"/>
      <c r="ABJ35" s="678"/>
      <c r="ABK35" s="678"/>
      <c r="ABL35" s="678"/>
      <c r="ABM35" s="678"/>
      <c r="ABN35" s="678"/>
      <c r="ABO35" s="678"/>
      <c r="ABP35" s="678"/>
      <c r="ABQ35" s="678"/>
      <c r="ABR35" s="678"/>
      <c r="ABS35" s="678"/>
      <c r="ABT35" s="678"/>
      <c r="ABU35" s="678"/>
      <c r="ABV35" s="678"/>
      <c r="ABW35" s="678"/>
      <c r="ABX35" s="678"/>
      <c r="ABY35" s="678"/>
      <c r="ABZ35" s="678"/>
      <c r="ACA35" s="678"/>
      <c r="ACB35" s="678"/>
      <c r="ACC35" s="678"/>
      <c r="ACD35" s="678"/>
      <c r="ACE35" s="678"/>
      <c r="ACF35" s="678"/>
      <c r="ACG35" s="678"/>
      <c r="ACH35" s="678"/>
      <c r="ACI35" s="678"/>
      <c r="ACJ35" s="678"/>
      <c r="ACK35" s="678"/>
      <c r="ACL35" s="678"/>
      <c r="ACM35" s="678"/>
      <c r="ACN35" s="678"/>
      <c r="ACO35" s="678"/>
      <c r="ACP35" s="678"/>
      <c r="ACQ35" s="678"/>
      <c r="ACR35" s="678"/>
      <c r="ACS35" s="678"/>
      <c r="ACT35" s="678"/>
      <c r="ACU35" s="678"/>
      <c r="ACV35" s="678"/>
      <c r="ACW35" s="678"/>
      <c r="ACX35" s="678"/>
      <c r="ACY35" s="678"/>
      <c r="ACZ35" s="678"/>
      <c r="ADA35" s="678"/>
      <c r="ADB35" s="678"/>
      <c r="ADC35" s="678"/>
      <c r="ADD35" s="678"/>
      <c r="ADE35" s="678"/>
      <c r="ADF35" s="678"/>
      <c r="ADG35" s="678"/>
      <c r="ADH35" s="678"/>
      <c r="ADI35" s="678"/>
      <c r="ADJ35" s="678"/>
      <c r="ADK35" s="678"/>
      <c r="ADL35" s="678"/>
      <c r="ADM35" s="678"/>
      <c r="ADN35" s="678"/>
      <c r="ADO35" s="678"/>
      <c r="ADP35" s="678"/>
      <c r="ADQ35" s="678"/>
      <c r="ADR35" s="678"/>
      <c r="ADS35" s="678"/>
      <c r="ADT35" s="678"/>
      <c r="ADU35" s="678"/>
      <c r="ADV35" s="678"/>
      <c r="ADW35" s="678"/>
      <c r="ADX35" s="678"/>
      <c r="ADY35" s="678"/>
      <c r="ADZ35" s="678"/>
      <c r="AEA35" s="678"/>
      <c r="AEB35" s="678"/>
      <c r="AEC35" s="678"/>
      <c r="AED35" s="678"/>
      <c r="AEE35" s="678"/>
      <c r="AEF35" s="678"/>
      <c r="AEG35" s="678"/>
      <c r="AEH35" s="678"/>
      <c r="AEI35" s="678"/>
      <c r="AEJ35" s="678"/>
      <c r="AEK35" s="678"/>
      <c r="AEL35" s="678"/>
      <c r="AEM35" s="678"/>
      <c r="AEN35" s="678"/>
      <c r="AEO35" s="678"/>
      <c r="AEP35" s="678"/>
      <c r="AEQ35" s="678"/>
      <c r="AER35" s="678"/>
      <c r="AES35" s="678"/>
      <c r="AET35" s="678"/>
      <c r="AEU35" s="678"/>
      <c r="AEV35" s="678"/>
      <c r="AEW35" s="678"/>
      <c r="AEX35" s="678"/>
      <c r="AEY35" s="678"/>
      <c r="AEZ35" s="678"/>
      <c r="AFA35" s="678"/>
      <c r="AFB35" s="678"/>
      <c r="AFC35" s="678"/>
      <c r="AFD35" s="678"/>
      <c r="AFE35" s="678"/>
      <c r="AFF35" s="678"/>
      <c r="AFG35" s="678"/>
      <c r="AFH35" s="678"/>
      <c r="AFI35" s="678"/>
      <c r="AFJ35" s="678"/>
      <c r="AFK35" s="678"/>
      <c r="AFL35" s="678"/>
      <c r="AFM35" s="678"/>
      <c r="AFN35" s="678"/>
      <c r="AFO35" s="678"/>
      <c r="AFP35" s="678"/>
      <c r="AFQ35" s="678"/>
      <c r="AFR35" s="678"/>
      <c r="AFS35" s="678"/>
      <c r="AFT35" s="678"/>
      <c r="AFU35" s="678"/>
      <c r="AFV35" s="678"/>
      <c r="AFW35" s="678"/>
      <c r="AFX35" s="678"/>
      <c r="AFY35" s="678"/>
      <c r="AFZ35" s="678"/>
      <c r="AGA35" s="678"/>
      <c r="AGB35" s="678"/>
      <c r="AGC35" s="678"/>
      <c r="AGD35" s="678"/>
      <c r="AGE35" s="678"/>
      <c r="AGF35" s="678"/>
      <c r="AGG35" s="678"/>
      <c r="AGH35" s="678"/>
      <c r="AGI35" s="678"/>
      <c r="AGJ35" s="678"/>
      <c r="AGK35" s="678"/>
      <c r="AGL35" s="678"/>
      <c r="AGM35" s="678"/>
      <c r="AGN35" s="678"/>
      <c r="AGO35" s="678"/>
      <c r="AGP35" s="678"/>
      <c r="AGQ35" s="678"/>
      <c r="AGR35" s="678"/>
      <c r="AGS35" s="678"/>
      <c r="AGT35" s="678"/>
      <c r="AGU35" s="678"/>
      <c r="AGV35" s="678"/>
      <c r="AGW35" s="678"/>
      <c r="AGX35" s="678"/>
      <c r="AGY35" s="678"/>
      <c r="AGZ35" s="678"/>
      <c r="AHA35" s="678"/>
      <c r="AHB35" s="678"/>
      <c r="AHC35" s="678"/>
      <c r="AHD35" s="678"/>
      <c r="AHE35" s="678"/>
      <c r="AHF35" s="678"/>
      <c r="AHG35" s="678"/>
      <c r="AHH35" s="678"/>
      <c r="AHI35" s="678"/>
      <c r="AHJ35" s="678"/>
      <c r="AHK35" s="678"/>
      <c r="AHL35" s="678"/>
      <c r="AHM35" s="678"/>
      <c r="AHN35" s="678"/>
      <c r="AHO35" s="678"/>
      <c r="AHP35" s="678"/>
      <c r="AHQ35" s="678"/>
      <c r="AHR35" s="678"/>
      <c r="AHS35" s="678"/>
      <c r="AHT35" s="678"/>
      <c r="AHU35" s="678"/>
      <c r="AHV35" s="678"/>
      <c r="AHW35" s="678"/>
      <c r="AHX35" s="678"/>
      <c r="AHY35" s="678"/>
      <c r="AHZ35" s="678"/>
      <c r="AIA35" s="678"/>
      <c r="AIB35" s="678"/>
      <c r="AIC35" s="678"/>
      <c r="AID35" s="678"/>
      <c r="AIE35" s="678"/>
      <c r="AIF35" s="678"/>
      <c r="AIG35" s="678"/>
      <c r="AIH35" s="678"/>
      <c r="AII35" s="678"/>
      <c r="AIJ35" s="678"/>
      <c r="AIK35" s="678"/>
      <c r="AIL35" s="678"/>
      <c r="AIM35" s="678"/>
      <c r="AIN35" s="678"/>
      <c r="AIO35" s="678"/>
      <c r="AIP35" s="678"/>
      <c r="AIQ35" s="678"/>
      <c r="AIR35" s="678"/>
      <c r="AIS35" s="678"/>
      <c r="AIT35" s="678"/>
      <c r="AIU35" s="678"/>
      <c r="AIV35" s="678"/>
      <c r="AIW35" s="678"/>
      <c r="AIX35" s="678"/>
      <c r="AIY35" s="678"/>
      <c r="AIZ35" s="678"/>
      <c r="AJA35" s="678"/>
      <c r="AJB35" s="678"/>
      <c r="AJC35" s="678"/>
      <c r="AJD35" s="678"/>
      <c r="AJE35" s="678"/>
      <c r="AJF35" s="678"/>
      <c r="AJG35" s="678"/>
      <c r="AJH35" s="678"/>
      <c r="AJI35" s="678"/>
      <c r="AJJ35" s="678"/>
      <c r="AJK35" s="678"/>
      <c r="AJL35" s="678"/>
      <c r="AJM35" s="678"/>
      <c r="AJN35" s="678"/>
      <c r="AJO35" s="678"/>
      <c r="AJP35" s="678"/>
      <c r="AJQ35" s="678"/>
      <c r="AJR35" s="678"/>
      <c r="AJS35" s="678"/>
      <c r="AJT35" s="678"/>
      <c r="AJU35" s="678"/>
      <c r="AJV35" s="678"/>
      <c r="AJW35" s="678"/>
      <c r="AJX35" s="678"/>
      <c r="AJY35" s="678"/>
      <c r="AJZ35" s="678"/>
      <c r="AKA35" s="678"/>
      <c r="AKB35" s="678"/>
      <c r="AKC35" s="678"/>
      <c r="AKD35" s="678"/>
      <c r="AKE35" s="678"/>
      <c r="AKF35" s="678"/>
      <c r="AKG35" s="678"/>
      <c r="AKH35" s="678"/>
      <c r="AKI35" s="678"/>
      <c r="AKJ35" s="678"/>
      <c r="AKK35" s="678"/>
      <c r="AKL35" s="678"/>
      <c r="AKM35" s="678"/>
      <c r="AKN35" s="678"/>
      <c r="AKO35" s="678"/>
      <c r="AKP35" s="678"/>
      <c r="AKQ35" s="678"/>
      <c r="AKR35" s="678"/>
      <c r="AKS35" s="678"/>
      <c r="AKT35" s="678"/>
      <c r="AKU35" s="678"/>
      <c r="AKV35" s="678"/>
      <c r="AKW35" s="678"/>
      <c r="AKX35" s="678"/>
      <c r="AKY35" s="678"/>
      <c r="AKZ35" s="678"/>
      <c r="ALA35" s="678"/>
      <c r="ALB35" s="678"/>
      <c r="ALC35" s="678"/>
      <c r="ALD35" s="678"/>
      <c r="ALE35" s="678"/>
      <c r="ALF35" s="678"/>
      <c r="ALG35" s="678"/>
      <c r="ALH35" s="678"/>
      <c r="ALI35" s="678"/>
      <c r="ALJ35" s="678"/>
      <c r="ALK35" s="678"/>
      <c r="ALL35" s="678"/>
      <c r="ALM35" s="678"/>
      <c r="ALN35" s="678"/>
      <c r="ALO35" s="678"/>
      <c r="ALP35" s="678"/>
      <c r="ALQ35" s="678"/>
      <c r="ALR35" s="678"/>
      <c r="ALS35" s="678"/>
      <c r="ALT35" s="678"/>
      <c r="ALU35" s="678"/>
      <c r="ALV35" s="678"/>
      <c r="ALW35" s="678"/>
      <c r="ALX35" s="678"/>
      <c r="ALY35" s="678"/>
      <c r="ALZ35" s="678"/>
      <c r="AMA35" s="678"/>
      <c r="AMB35" s="678"/>
      <c r="AMC35" s="678"/>
      <c r="AMD35" s="678"/>
      <c r="AME35" s="678"/>
      <c r="AMF35" s="678"/>
      <c r="AMG35" s="678"/>
      <c r="AMH35" s="678"/>
      <c r="AMI35" s="678"/>
      <c r="AMJ35" s="678"/>
      <c r="AMK35" s="678"/>
      <c r="AML35" s="678"/>
      <c r="AMM35" s="678"/>
      <c r="AMN35" s="678"/>
      <c r="AMO35" s="678"/>
      <c r="AMP35" s="678"/>
      <c r="AMQ35" s="678"/>
      <c r="AMR35" s="678"/>
      <c r="AMS35" s="678"/>
      <c r="AMT35" s="678"/>
      <c r="AMU35" s="678"/>
      <c r="AMV35" s="678"/>
      <c r="AMW35" s="678"/>
      <c r="AMX35" s="678"/>
      <c r="AMY35" s="678"/>
      <c r="AMZ35" s="678"/>
      <c r="ANA35" s="678"/>
      <c r="ANB35" s="678"/>
      <c r="ANC35" s="678"/>
      <c r="AND35" s="678"/>
      <c r="ANE35" s="678"/>
      <c r="ANF35" s="678"/>
      <c r="ANG35" s="678"/>
      <c r="ANH35" s="678"/>
      <c r="ANI35" s="678"/>
      <c r="ANJ35" s="678"/>
      <c r="ANK35" s="678"/>
      <c r="ANL35" s="678"/>
      <c r="ANM35" s="678"/>
      <c r="ANN35" s="678"/>
      <c r="ANO35" s="678"/>
      <c r="ANP35" s="678"/>
      <c r="ANQ35" s="678"/>
      <c r="ANR35" s="678"/>
      <c r="ANS35" s="678"/>
      <c r="ANT35" s="678"/>
      <c r="ANU35" s="678"/>
      <c r="ANV35" s="678"/>
      <c r="ANW35" s="678"/>
      <c r="ANX35" s="678"/>
      <c r="ANY35" s="678"/>
      <c r="ANZ35" s="678"/>
      <c r="AOA35" s="678"/>
      <c r="AOB35" s="678"/>
      <c r="AOC35" s="678"/>
      <c r="AOD35" s="678"/>
      <c r="AOE35" s="678"/>
      <c r="AOF35" s="678"/>
      <c r="AOG35" s="678"/>
      <c r="AOH35" s="678"/>
      <c r="AOI35" s="678"/>
      <c r="AOJ35" s="678"/>
      <c r="AOK35" s="678"/>
      <c r="AOL35" s="678"/>
      <c r="AOM35" s="678"/>
      <c r="AON35" s="678"/>
      <c r="AOO35" s="678"/>
      <c r="AOP35" s="678"/>
      <c r="AOQ35" s="678"/>
      <c r="AOR35" s="678"/>
      <c r="AOS35" s="678"/>
      <c r="AOT35" s="678"/>
      <c r="AOU35" s="678"/>
      <c r="AOV35" s="678"/>
      <c r="AOW35" s="678"/>
      <c r="AOX35" s="678"/>
      <c r="AOY35" s="678"/>
      <c r="AOZ35" s="678"/>
      <c r="APA35" s="678"/>
      <c r="APB35" s="678"/>
      <c r="APC35" s="678"/>
      <c r="APD35" s="678"/>
      <c r="APE35" s="678"/>
      <c r="APF35" s="678"/>
      <c r="APG35" s="678"/>
      <c r="APH35" s="678"/>
      <c r="API35" s="678"/>
      <c r="APJ35" s="678"/>
      <c r="APK35" s="678"/>
      <c r="APL35" s="678"/>
      <c r="APM35" s="678"/>
      <c r="APN35" s="678"/>
      <c r="APO35" s="678"/>
      <c r="APP35" s="678"/>
      <c r="APQ35" s="678"/>
      <c r="APR35" s="678"/>
      <c r="APS35" s="678"/>
      <c r="APT35" s="678"/>
      <c r="APU35" s="678"/>
      <c r="APV35" s="678"/>
      <c r="APW35" s="678"/>
      <c r="APX35" s="678"/>
      <c r="APY35" s="678"/>
      <c r="APZ35" s="678"/>
      <c r="AQA35" s="678"/>
      <c r="AQB35" s="678"/>
      <c r="AQC35" s="678"/>
      <c r="AQD35" s="678"/>
      <c r="AQE35" s="678"/>
      <c r="AQF35" s="678"/>
      <c r="AQG35" s="678"/>
      <c r="AQH35" s="678"/>
      <c r="AQI35" s="678"/>
      <c r="AQJ35" s="678"/>
      <c r="AQK35" s="678"/>
      <c r="AQL35" s="678"/>
      <c r="AQM35" s="678"/>
      <c r="AQN35" s="678"/>
      <c r="AQO35" s="678"/>
      <c r="AQP35" s="678"/>
      <c r="AQQ35" s="678"/>
      <c r="AQR35" s="678"/>
      <c r="AQS35" s="678"/>
      <c r="AQT35" s="678"/>
      <c r="AQU35" s="678"/>
      <c r="AQV35" s="678"/>
      <c r="AQW35" s="678"/>
      <c r="AQX35" s="678"/>
      <c r="AQY35" s="678"/>
      <c r="AQZ35" s="678"/>
      <c r="ARA35" s="678"/>
      <c r="ARB35" s="678"/>
      <c r="ARC35" s="678"/>
      <c r="ARD35" s="678"/>
      <c r="ARE35" s="678"/>
      <c r="ARF35" s="678"/>
      <c r="ARG35" s="678"/>
      <c r="ARH35" s="678"/>
      <c r="ARI35" s="678"/>
      <c r="ARJ35" s="678"/>
      <c r="ARK35" s="678"/>
      <c r="ARL35" s="678"/>
      <c r="ARM35" s="678"/>
      <c r="ARN35" s="678"/>
      <c r="ARO35" s="678"/>
      <c r="ARP35" s="678"/>
      <c r="ARQ35" s="678"/>
      <c r="ARR35" s="678"/>
      <c r="ARS35" s="678"/>
      <c r="ART35" s="678"/>
      <c r="ARU35" s="678"/>
      <c r="ARV35" s="678"/>
      <c r="ARW35" s="678"/>
      <c r="ARX35" s="678"/>
      <c r="ARY35" s="678"/>
      <c r="ARZ35" s="678"/>
      <c r="ASA35" s="678"/>
      <c r="ASB35" s="678"/>
      <c r="ASC35" s="678"/>
      <c r="ASD35" s="678"/>
      <c r="ASE35" s="678"/>
      <c r="ASF35" s="678"/>
      <c r="ASG35" s="678"/>
      <c r="ASH35" s="678"/>
      <c r="ASI35" s="678"/>
      <c r="ASJ35" s="678"/>
      <c r="ASK35" s="678"/>
      <c r="ASL35" s="678"/>
      <c r="ASM35" s="678"/>
      <c r="ASN35" s="678"/>
      <c r="ASO35" s="678"/>
      <c r="ASP35" s="678"/>
      <c r="ASQ35" s="678"/>
      <c r="ASR35" s="678"/>
      <c r="ASS35" s="678"/>
      <c r="AST35" s="678"/>
      <c r="ASU35" s="678"/>
      <c r="ASV35" s="678"/>
      <c r="ASW35" s="678"/>
      <c r="ASX35" s="678"/>
      <c r="ASY35" s="678"/>
      <c r="ASZ35" s="678"/>
      <c r="ATA35" s="678"/>
      <c r="ATB35" s="678"/>
      <c r="ATC35" s="678"/>
      <c r="ATD35" s="678"/>
      <c r="ATE35" s="678"/>
      <c r="ATF35" s="678"/>
      <c r="ATG35" s="678"/>
      <c r="ATH35" s="678"/>
      <c r="ATI35" s="678"/>
      <c r="ATJ35" s="678"/>
      <c r="ATK35" s="678"/>
      <c r="ATL35" s="678"/>
      <c r="ATM35" s="678"/>
      <c r="ATN35" s="678"/>
      <c r="ATO35" s="678"/>
      <c r="ATP35" s="678"/>
      <c r="ATQ35" s="678"/>
      <c r="ATR35" s="678"/>
      <c r="ATS35" s="678"/>
      <c r="ATT35" s="678"/>
      <c r="ATU35" s="678"/>
      <c r="ATV35" s="678"/>
      <c r="ATW35" s="678"/>
      <c r="ATX35" s="678"/>
      <c r="ATY35" s="678"/>
      <c r="ATZ35" s="678"/>
      <c r="AUA35" s="678"/>
      <c r="AUB35" s="678"/>
      <c r="AUC35" s="678"/>
      <c r="AUD35" s="678"/>
      <c r="AUE35" s="678"/>
      <c r="AUF35" s="678"/>
      <c r="AUG35" s="678"/>
      <c r="AUH35" s="678"/>
      <c r="AUI35" s="678"/>
      <c r="AUJ35" s="678"/>
      <c r="AUK35" s="678"/>
      <c r="AUL35" s="678"/>
      <c r="AUM35" s="678"/>
      <c r="AUN35" s="678"/>
      <c r="AUO35" s="678"/>
      <c r="AUP35" s="678"/>
      <c r="AUQ35" s="678"/>
      <c r="AUR35" s="678"/>
      <c r="AUS35" s="678"/>
      <c r="AUT35" s="678"/>
      <c r="AUU35" s="678"/>
      <c r="AUV35" s="678"/>
      <c r="AUW35" s="678"/>
      <c r="AUX35" s="678"/>
      <c r="AUY35" s="678"/>
      <c r="AUZ35" s="678"/>
      <c r="AVA35" s="678"/>
      <c r="AVB35" s="678"/>
      <c r="AVC35" s="678"/>
      <c r="AVD35" s="678"/>
      <c r="AVE35" s="678"/>
      <c r="AVF35" s="678"/>
      <c r="AVG35" s="678"/>
      <c r="AVH35" s="678"/>
      <c r="AVI35" s="678"/>
      <c r="AVJ35" s="678"/>
      <c r="AVK35" s="678"/>
      <c r="AVL35" s="678"/>
      <c r="AVM35" s="678"/>
      <c r="AVN35" s="678"/>
      <c r="AVO35" s="678"/>
      <c r="AVP35" s="678"/>
      <c r="AVQ35" s="678"/>
      <c r="AVR35" s="678"/>
      <c r="AVS35" s="678"/>
      <c r="AVT35" s="678"/>
      <c r="AVU35" s="678"/>
      <c r="AVV35" s="678"/>
      <c r="AVW35" s="678"/>
      <c r="AVX35" s="678"/>
      <c r="AVY35" s="678"/>
      <c r="AVZ35" s="678"/>
      <c r="AWA35" s="678"/>
      <c r="AWB35" s="678"/>
      <c r="AWC35" s="678"/>
      <c r="AWD35" s="678"/>
      <c r="AWE35" s="678"/>
      <c r="AWF35" s="678"/>
      <c r="AWG35" s="678"/>
      <c r="AWH35" s="678"/>
      <c r="AWI35" s="678"/>
      <c r="AWJ35" s="678"/>
      <c r="AWK35" s="678"/>
      <c r="AWL35" s="678"/>
      <c r="AWM35" s="678"/>
      <c r="AWN35" s="678"/>
      <c r="AWO35" s="678"/>
      <c r="AWP35" s="678"/>
      <c r="AWQ35" s="678"/>
      <c r="AWR35" s="678"/>
      <c r="AWS35" s="678"/>
      <c r="AWT35" s="678"/>
      <c r="AWU35" s="678"/>
      <c r="AWV35" s="678"/>
      <c r="AWW35" s="678"/>
      <c r="AWX35" s="678"/>
      <c r="AWY35" s="678"/>
      <c r="AWZ35" s="678"/>
      <c r="AXA35" s="678"/>
      <c r="AXB35" s="678"/>
      <c r="AXC35" s="678"/>
      <c r="AXD35" s="678"/>
      <c r="AXE35" s="678"/>
      <c r="AXF35" s="678"/>
      <c r="AXG35" s="678"/>
      <c r="AXH35" s="678"/>
      <c r="AXI35" s="678"/>
      <c r="AXJ35" s="678"/>
      <c r="AXK35" s="678"/>
      <c r="AXL35" s="678"/>
      <c r="AXM35" s="678"/>
      <c r="AXN35" s="678"/>
      <c r="AXO35" s="678"/>
      <c r="AXP35" s="678"/>
      <c r="AXQ35" s="678"/>
      <c r="AXR35" s="678"/>
      <c r="AXS35" s="678"/>
      <c r="AXT35" s="678"/>
      <c r="AXU35" s="678"/>
      <c r="AXV35" s="678"/>
      <c r="AXW35" s="678"/>
      <c r="AXX35" s="678"/>
      <c r="AXY35" s="678"/>
      <c r="AXZ35" s="678"/>
      <c r="AYA35" s="678"/>
      <c r="AYB35" s="678"/>
      <c r="AYC35" s="678"/>
      <c r="AYD35" s="678"/>
      <c r="AYE35" s="678"/>
      <c r="AYF35" s="678"/>
      <c r="AYG35" s="678"/>
      <c r="AYH35" s="678"/>
      <c r="AYI35" s="678"/>
      <c r="AYJ35" s="678"/>
      <c r="AYK35" s="678"/>
      <c r="AYL35" s="678"/>
      <c r="AYM35" s="678"/>
      <c r="AYN35" s="678"/>
      <c r="AYO35" s="678"/>
      <c r="AYP35" s="678"/>
      <c r="AYQ35" s="678"/>
      <c r="AYR35" s="678"/>
      <c r="AYS35" s="678"/>
      <c r="AYT35" s="678"/>
      <c r="AYU35" s="678"/>
      <c r="AYV35" s="678"/>
      <c r="AYW35" s="678"/>
      <c r="AYX35" s="678"/>
      <c r="AYY35" s="678"/>
      <c r="AYZ35" s="678"/>
      <c r="AZA35" s="678"/>
      <c r="AZB35" s="678"/>
      <c r="AZC35" s="678"/>
      <c r="AZD35" s="678"/>
      <c r="AZE35" s="678"/>
      <c r="AZF35" s="678"/>
      <c r="AZG35" s="678"/>
      <c r="AZH35" s="678"/>
      <c r="AZI35" s="678"/>
      <c r="AZJ35" s="678"/>
      <c r="AZK35" s="678"/>
      <c r="AZL35" s="678"/>
      <c r="AZM35" s="678"/>
      <c r="AZN35" s="678"/>
      <c r="AZO35" s="678"/>
      <c r="AZP35" s="678"/>
      <c r="AZQ35" s="678"/>
      <c r="AZR35" s="678"/>
      <c r="AZS35" s="678"/>
      <c r="AZT35" s="678"/>
      <c r="AZU35" s="678"/>
      <c r="AZV35" s="678"/>
      <c r="AZW35" s="678"/>
      <c r="AZX35" s="678"/>
      <c r="AZY35" s="678"/>
      <c r="AZZ35" s="678"/>
      <c r="BAA35" s="678"/>
      <c r="BAB35" s="678"/>
      <c r="BAC35" s="678"/>
      <c r="BAD35" s="678"/>
      <c r="BAE35" s="678"/>
      <c r="BAF35" s="678"/>
      <c r="BAG35" s="678"/>
      <c r="BAH35" s="678"/>
      <c r="BAI35" s="678"/>
      <c r="BAJ35" s="678"/>
      <c r="BAK35" s="678"/>
      <c r="BAL35" s="678"/>
      <c r="BAM35" s="678"/>
      <c r="BAN35" s="678"/>
      <c r="BAO35" s="678"/>
      <c r="BAP35" s="678"/>
      <c r="BAQ35" s="678"/>
      <c r="BAR35" s="678"/>
      <c r="BAS35" s="678"/>
      <c r="BAT35" s="678"/>
      <c r="BAU35" s="678"/>
      <c r="BAV35" s="678"/>
      <c r="BAW35" s="678"/>
      <c r="BAX35" s="678"/>
      <c r="BAY35" s="678"/>
      <c r="BAZ35" s="678"/>
      <c r="BBA35" s="678"/>
      <c r="BBB35" s="678"/>
      <c r="BBC35" s="678"/>
      <c r="BBD35" s="678"/>
      <c r="BBE35" s="678"/>
      <c r="BBF35" s="678"/>
      <c r="BBG35" s="678"/>
      <c r="BBH35" s="678"/>
      <c r="BBI35" s="678"/>
      <c r="BBJ35" s="678"/>
      <c r="BBK35" s="678"/>
      <c r="BBL35" s="678"/>
      <c r="BBM35" s="678"/>
      <c r="BBN35" s="678"/>
      <c r="BBO35" s="678"/>
      <c r="BBP35" s="678"/>
      <c r="BBQ35" s="678"/>
      <c r="BBR35" s="678"/>
      <c r="BBS35" s="678"/>
      <c r="BBT35" s="678"/>
      <c r="BBU35" s="678"/>
      <c r="BBV35" s="678"/>
      <c r="BBW35" s="678"/>
      <c r="BBX35" s="678"/>
      <c r="BBY35" s="678"/>
      <c r="BBZ35" s="678"/>
      <c r="BCA35" s="678"/>
      <c r="BCB35" s="678"/>
      <c r="BCC35" s="678"/>
      <c r="BCD35" s="678"/>
      <c r="BCE35" s="678"/>
      <c r="BCF35" s="678"/>
      <c r="BCG35" s="678"/>
      <c r="BCH35" s="678"/>
      <c r="BCI35" s="678"/>
      <c r="BCJ35" s="678"/>
      <c r="BCK35" s="678"/>
      <c r="BCL35" s="678"/>
      <c r="BCM35" s="678"/>
      <c r="BCN35" s="678"/>
      <c r="BCO35" s="678"/>
      <c r="BCP35" s="678"/>
      <c r="BCQ35" s="678"/>
      <c r="BCR35" s="678"/>
      <c r="BCS35" s="678"/>
      <c r="BCT35" s="678"/>
      <c r="BCU35" s="678"/>
      <c r="BCV35" s="678"/>
      <c r="BCW35" s="678"/>
      <c r="BCX35" s="678"/>
      <c r="BCY35" s="678"/>
      <c r="BCZ35" s="678"/>
      <c r="BDA35" s="678"/>
      <c r="BDB35" s="678"/>
      <c r="BDC35" s="678"/>
      <c r="BDD35" s="678"/>
      <c r="BDE35" s="678"/>
      <c r="BDF35" s="678"/>
      <c r="BDG35" s="678"/>
      <c r="BDH35" s="678"/>
      <c r="BDI35" s="678"/>
      <c r="BDJ35" s="678"/>
      <c r="BDK35" s="678"/>
      <c r="BDL35" s="678"/>
      <c r="BDM35" s="678"/>
      <c r="BDN35" s="678"/>
      <c r="BDO35" s="678"/>
      <c r="BDP35" s="678"/>
      <c r="BDQ35" s="678"/>
      <c r="BDR35" s="678"/>
      <c r="BDS35" s="678"/>
      <c r="BDT35" s="678"/>
      <c r="BDU35" s="678"/>
      <c r="BDV35" s="678"/>
      <c r="BDW35" s="678"/>
      <c r="BDX35" s="678"/>
      <c r="BDY35" s="678"/>
      <c r="BDZ35" s="678"/>
      <c r="BEA35" s="678"/>
      <c r="BEB35" s="678"/>
      <c r="BEC35" s="678"/>
      <c r="BED35" s="678"/>
      <c r="BEE35" s="678"/>
      <c r="BEF35" s="678"/>
      <c r="BEG35" s="678"/>
      <c r="BEH35" s="678"/>
      <c r="BEI35" s="678"/>
      <c r="BEJ35" s="678"/>
      <c r="BEK35" s="678"/>
      <c r="BEL35" s="678"/>
      <c r="BEM35" s="678"/>
      <c r="BEN35" s="678"/>
      <c r="BEO35" s="678"/>
      <c r="BEP35" s="678"/>
      <c r="BEQ35" s="678"/>
      <c r="BER35" s="678"/>
      <c r="BES35" s="678"/>
      <c r="BET35" s="678"/>
      <c r="BEU35" s="678"/>
      <c r="BEV35" s="678"/>
      <c r="BEW35" s="678"/>
      <c r="BEX35" s="678"/>
      <c r="BEY35" s="678"/>
      <c r="BEZ35" s="678"/>
      <c r="BFA35" s="678"/>
      <c r="BFB35" s="678"/>
      <c r="BFC35" s="678"/>
      <c r="BFD35" s="678"/>
      <c r="BFE35" s="678"/>
      <c r="BFF35" s="678"/>
      <c r="BFG35" s="678"/>
      <c r="BFH35" s="678"/>
      <c r="BFI35" s="678"/>
      <c r="BFJ35" s="678"/>
      <c r="BFK35" s="678"/>
      <c r="BFL35" s="678"/>
      <c r="BFM35" s="678"/>
      <c r="BFN35" s="678"/>
      <c r="BFO35" s="678"/>
      <c r="BFP35" s="678"/>
      <c r="BFQ35" s="678"/>
      <c r="BFR35" s="678"/>
      <c r="BFS35" s="678"/>
      <c r="BFT35" s="678"/>
      <c r="BFU35" s="678"/>
      <c r="BFV35" s="678"/>
      <c r="BFW35" s="678"/>
      <c r="BFX35" s="678"/>
      <c r="BFY35" s="678"/>
      <c r="BFZ35" s="678"/>
      <c r="BGA35" s="678"/>
      <c r="BGB35" s="678"/>
      <c r="BGC35" s="678"/>
      <c r="BGD35" s="678"/>
      <c r="BGE35" s="678"/>
      <c r="BGF35" s="678"/>
      <c r="BGG35" s="678"/>
      <c r="BGH35" s="678"/>
      <c r="BGI35" s="678"/>
      <c r="BGJ35" s="678"/>
      <c r="BGK35" s="678"/>
      <c r="BGL35" s="678"/>
      <c r="BGM35" s="678"/>
      <c r="BGN35" s="678"/>
      <c r="BGO35" s="678"/>
      <c r="BGP35" s="678"/>
      <c r="BGQ35" s="678"/>
      <c r="BGR35" s="678"/>
      <c r="BGS35" s="678"/>
      <c r="BGT35" s="678"/>
      <c r="BGU35" s="678"/>
      <c r="BGV35" s="678"/>
      <c r="BGW35" s="678"/>
      <c r="BGX35" s="678"/>
      <c r="BGY35" s="678"/>
      <c r="BGZ35" s="678"/>
      <c r="BHA35" s="678"/>
      <c r="BHB35" s="678"/>
      <c r="BHC35" s="678"/>
      <c r="BHD35" s="678"/>
      <c r="BHE35" s="678"/>
      <c r="BHF35" s="678"/>
      <c r="BHG35" s="678"/>
      <c r="BHH35" s="678"/>
      <c r="BHI35" s="678"/>
      <c r="BHJ35" s="678"/>
      <c r="BHK35" s="678"/>
      <c r="BHL35" s="678"/>
      <c r="BHM35" s="678"/>
      <c r="BHN35" s="678"/>
      <c r="BHO35" s="678"/>
      <c r="BHP35" s="678"/>
      <c r="BHQ35" s="678"/>
      <c r="BHR35" s="678"/>
      <c r="BHS35" s="678"/>
      <c r="BHT35" s="678"/>
      <c r="BHU35" s="678"/>
      <c r="BHV35" s="678"/>
      <c r="BHW35" s="678"/>
      <c r="BHX35" s="678"/>
      <c r="BHY35" s="678"/>
      <c r="BHZ35" s="678"/>
      <c r="BIA35" s="678"/>
      <c r="BIB35" s="678"/>
      <c r="BIC35" s="678"/>
      <c r="BID35" s="678"/>
      <c r="BIE35" s="678"/>
      <c r="BIF35" s="678"/>
      <c r="BIG35" s="678"/>
      <c r="BIH35" s="678"/>
      <c r="BII35" s="678"/>
      <c r="BIJ35" s="678"/>
      <c r="BIK35" s="678"/>
      <c r="BIL35" s="678"/>
      <c r="BIM35" s="678"/>
      <c r="BIN35" s="678"/>
      <c r="BIO35" s="678"/>
      <c r="BIP35" s="678"/>
      <c r="BIQ35" s="678"/>
      <c r="BIR35" s="678"/>
      <c r="BIS35" s="678"/>
      <c r="BIT35" s="678"/>
      <c r="BIU35" s="678"/>
      <c r="BIV35" s="678"/>
      <c r="BIW35" s="678"/>
      <c r="BIX35" s="678"/>
      <c r="BIY35" s="678"/>
      <c r="BIZ35" s="678"/>
      <c r="BJA35" s="678"/>
      <c r="BJB35" s="678"/>
      <c r="BJC35" s="678"/>
      <c r="BJD35" s="678"/>
      <c r="BJE35" s="678"/>
      <c r="BJF35" s="678"/>
      <c r="BJG35" s="678"/>
      <c r="BJH35" s="678"/>
      <c r="BJI35" s="678"/>
      <c r="BJJ35" s="678"/>
      <c r="BJK35" s="678"/>
      <c r="BJL35" s="678"/>
      <c r="BJM35" s="678"/>
      <c r="BJN35" s="678"/>
      <c r="BJO35" s="678"/>
      <c r="BJP35" s="678"/>
      <c r="BJQ35" s="678"/>
      <c r="BJR35" s="678"/>
      <c r="BJS35" s="678"/>
      <c r="BJT35" s="678"/>
      <c r="BJU35" s="678"/>
      <c r="BJV35" s="678"/>
      <c r="BJW35" s="678"/>
      <c r="BJX35" s="678"/>
      <c r="BJY35" s="678"/>
      <c r="BJZ35" s="678"/>
      <c r="BKA35" s="678"/>
      <c r="BKB35" s="678"/>
      <c r="BKC35" s="678"/>
      <c r="BKD35" s="678"/>
      <c r="BKE35" s="678"/>
      <c r="BKF35" s="678"/>
      <c r="BKG35" s="678"/>
      <c r="BKH35" s="678"/>
      <c r="BKI35" s="678"/>
      <c r="BKJ35" s="678"/>
      <c r="BKK35" s="678"/>
      <c r="BKL35" s="678"/>
      <c r="BKM35" s="678"/>
      <c r="BKN35" s="678"/>
      <c r="BKO35" s="678"/>
      <c r="BKP35" s="678"/>
      <c r="BKQ35" s="678"/>
      <c r="BKR35" s="678"/>
      <c r="BKS35" s="678"/>
      <c r="BKT35" s="678"/>
      <c r="BKU35" s="678"/>
      <c r="BKV35" s="678"/>
      <c r="BKW35" s="678"/>
      <c r="BKX35" s="678"/>
      <c r="BKY35" s="678"/>
      <c r="BKZ35" s="678"/>
      <c r="BLA35" s="678"/>
      <c r="BLB35" s="678"/>
      <c r="BLC35" s="678"/>
      <c r="BLD35" s="678"/>
      <c r="BLE35" s="678"/>
      <c r="BLF35" s="678"/>
      <c r="BLG35" s="678"/>
      <c r="BLH35" s="678"/>
      <c r="BLI35" s="678"/>
      <c r="BLJ35" s="678"/>
      <c r="BLK35" s="678"/>
      <c r="BLL35" s="678"/>
      <c r="BLM35" s="678"/>
      <c r="BLN35" s="678"/>
      <c r="BLO35" s="678"/>
      <c r="BLP35" s="678"/>
      <c r="BLQ35" s="678"/>
      <c r="BLR35" s="678"/>
      <c r="BLS35" s="678"/>
      <c r="BLT35" s="678"/>
      <c r="BLU35" s="678"/>
      <c r="BLV35" s="678"/>
      <c r="BLW35" s="678"/>
      <c r="BLX35" s="678"/>
      <c r="BLY35" s="678"/>
      <c r="BLZ35" s="678"/>
      <c r="BMA35" s="678"/>
      <c r="BMB35" s="678"/>
      <c r="BMC35" s="678"/>
      <c r="BMD35" s="678"/>
      <c r="BME35" s="678"/>
      <c r="BMF35" s="678"/>
      <c r="BMG35" s="678"/>
      <c r="BMH35" s="678"/>
      <c r="BMI35" s="678"/>
      <c r="BMJ35" s="678"/>
      <c r="BMK35" s="678"/>
      <c r="BML35" s="678"/>
      <c r="BMM35" s="678"/>
      <c r="BMN35" s="678"/>
      <c r="BMO35" s="678"/>
      <c r="BMP35" s="678"/>
      <c r="BMQ35" s="678"/>
      <c r="BMR35" s="678"/>
      <c r="BMS35" s="678"/>
      <c r="BMT35" s="678"/>
      <c r="BMU35" s="678"/>
      <c r="BMV35" s="678"/>
      <c r="BMW35" s="678"/>
      <c r="BMX35" s="678"/>
      <c r="BMY35" s="678"/>
      <c r="BMZ35" s="678"/>
      <c r="BNA35" s="678"/>
      <c r="BNB35" s="678"/>
      <c r="BNC35" s="678"/>
      <c r="BND35" s="678"/>
      <c r="BNE35" s="678"/>
      <c r="BNF35" s="678"/>
      <c r="BNG35" s="678"/>
      <c r="BNH35" s="678"/>
      <c r="BNI35" s="678"/>
      <c r="BNJ35" s="678"/>
      <c r="BNK35" s="678"/>
      <c r="BNL35" s="678"/>
      <c r="BNM35" s="678"/>
      <c r="BNN35" s="678"/>
      <c r="BNO35" s="678"/>
      <c r="BNP35" s="678"/>
      <c r="BNQ35" s="678"/>
      <c r="BNR35" s="678"/>
      <c r="BNS35" s="678"/>
      <c r="BNT35" s="678"/>
      <c r="BNU35" s="678"/>
      <c r="BNV35" s="678"/>
      <c r="BNW35" s="678"/>
      <c r="BNX35" s="678"/>
      <c r="BNY35" s="678"/>
      <c r="BNZ35" s="678"/>
      <c r="BOA35" s="678"/>
      <c r="BOB35" s="678"/>
      <c r="BOC35" s="678"/>
      <c r="BOD35" s="678"/>
      <c r="BOE35" s="678"/>
      <c r="BOF35" s="678"/>
      <c r="BOG35" s="678"/>
      <c r="BOH35" s="678"/>
      <c r="BOI35" s="678"/>
      <c r="BOJ35" s="678"/>
      <c r="BOK35" s="678"/>
      <c r="BOL35" s="678"/>
      <c r="BOM35" s="678"/>
      <c r="BON35" s="678"/>
      <c r="BOO35" s="678"/>
      <c r="BOP35" s="678"/>
      <c r="BOQ35" s="678"/>
      <c r="BOR35" s="678"/>
      <c r="BOS35" s="678"/>
      <c r="BOT35" s="678"/>
      <c r="BOU35" s="678"/>
      <c r="BOV35" s="678"/>
      <c r="BOW35" s="678"/>
      <c r="BOX35" s="678"/>
      <c r="BOY35" s="678"/>
      <c r="BOZ35" s="678"/>
      <c r="BPA35" s="678"/>
      <c r="BPB35" s="678"/>
      <c r="BPC35" s="678"/>
      <c r="BPD35" s="678"/>
      <c r="BPE35" s="678"/>
      <c r="BPF35" s="678"/>
      <c r="BPG35" s="678"/>
      <c r="BPH35" s="678"/>
      <c r="BPI35" s="678"/>
      <c r="BPJ35" s="678"/>
      <c r="BPK35" s="678"/>
      <c r="BPL35" s="678"/>
      <c r="BPM35" s="678"/>
      <c r="BPN35" s="678"/>
      <c r="BPO35" s="678"/>
      <c r="BPP35" s="678"/>
      <c r="BPQ35" s="678"/>
      <c r="BPR35" s="678"/>
      <c r="BPS35" s="678"/>
      <c r="BPT35" s="678"/>
      <c r="BPU35" s="678"/>
      <c r="BPV35" s="678"/>
      <c r="BPW35" s="678"/>
      <c r="BPX35" s="678"/>
      <c r="BPY35" s="678"/>
      <c r="BPZ35" s="678"/>
      <c r="BQA35" s="678"/>
      <c r="BQB35" s="678"/>
      <c r="BQC35" s="678"/>
      <c r="BQD35" s="678"/>
      <c r="BQE35" s="678"/>
      <c r="BQF35" s="678"/>
      <c r="BQG35" s="678"/>
      <c r="BQH35" s="678"/>
      <c r="BQI35" s="678"/>
      <c r="BQJ35" s="678"/>
      <c r="BQK35" s="678"/>
      <c r="BQL35" s="678"/>
      <c r="BQM35" s="678"/>
      <c r="BQN35" s="678"/>
      <c r="BQO35" s="678"/>
      <c r="BQP35" s="678"/>
      <c r="BQQ35" s="678"/>
      <c r="BQR35" s="678"/>
      <c r="BQS35" s="678"/>
      <c r="BQT35" s="678"/>
      <c r="BQU35" s="678"/>
      <c r="BQV35" s="678"/>
      <c r="BQW35" s="678"/>
      <c r="BQX35" s="678"/>
      <c r="BQY35" s="678"/>
      <c r="BQZ35" s="678"/>
      <c r="BRA35" s="678"/>
      <c r="BRB35" s="678"/>
      <c r="BRC35" s="678"/>
      <c r="BRD35" s="678"/>
      <c r="BRE35" s="678"/>
      <c r="BRF35" s="678"/>
      <c r="BRG35" s="678"/>
      <c r="BRH35" s="678"/>
      <c r="BRI35" s="678"/>
      <c r="BRJ35" s="678"/>
      <c r="BRK35" s="678"/>
      <c r="BRL35" s="678"/>
      <c r="BRM35" s="678"/>
      <c r="BRN35" s="678"/>
      <c r="BRO35" s="678"/>
      <c r="BRP35" s="678"/>
      <c r="BRQ35" s="678"/>
      <c r="BRR35" s="678"/>
      <c r="BRS35" s="678"/>
      <c r="BRT35" s="678"/>
      <c r="BRU35" s="678"/>
      <c r="BRV35" s="678"/>
      <c r="BRW35" s="678"/>
      <c r="BRX35" s="678"/>
      <c r="BRY35" s="678"/>
      <c r="BRZ35" s="678"/>
      <c r="BSA35" s="678"/>
      <c r="BSB35" s="678"/>
      <c r="BSC35" s="678"/>
      <c r="BSD35" s="678"/>
      <c r="BSE35" s="678"/>
      <c r="BSF35" s="678"/>
      <c r="BSG35" s="678"/>
      <c r="BSH35" s="678"/>
      <c r="BSI35" s="678"/>
      <c r="BSJ35" s="678"/>
      <c r="BSK35" s="678"/>
      <c r="BSL35" s="678"/>
      <c r="BSM35" s="678"/>
      <c r="BSN35" s="678"/>
      <c r="BSO35" s="678"/>
      <c r="BSP35" s="678"/>
      <c r="BSQ35" s="678"/>
      <c r="BSR35" s="678"/>
      <c r="BSS35" s="678"/>
      <c r="BST35" s="678"/>
      <c r="BSU35" s="678"/>
      <c r="BSV35" s="678"/>
      <c r="BSW35" s="678"/>
      <c r="BSX35" s="678"/>
      <c r="BSY35" s="678"/>
      <c r="BSZ35" s="678"/>
      <c r="BTA35" s="678"/>
      <c r="BTB35" s="678"/>
      <c r="BTC35" s="678"/>
      <c r="BTD35" s="678"/>
      <c r="BTE35" s="678"/>
      <c r="BTF35" s="678"/>
      <c r="BTG35" s="678"/>
      <c r="BTH35" s="678"/>
      <c r="BTI35" s="678"/>
      <c r="BTJ35" s="678"/>
      <c r="BTK35" s="678"/>
      <c r="BTL35" s="678"/>
      <c r="BTM35" s="678"/>
      <c r="BTN35" s="678"/>
      <c r="BTO35" s="678"/>
      <c r="BTP35" s="678"/>
      <c r="BTQ35" s="678"/>
      <c r="BTR35" s="678"/>
      <c r="BTS35" s="678"/>
      <c r="BTT35" s="678"/>
      <c r="BTU35" s="678"/>
      <c r="BTV35" s="678"/>
      <c r="BTW35" s="678"/>
      <c r="BTX35" s="678"/>
      <c r="BTY35" s="678"/>
      <c r="BTZ35" s="678"/>
      <c r="BUA35" s="678"/>
      <c r="BUB35" s="678"/>
      <c r="BUC35" s="678"/>
      <c r="BUD35" s="678"/>
      <c r="BUE35" s="678"/>
      <c r="BUF35" s="678"/>
      <c r="BUG35" s="678"/>
      <c r="BUH35" s="678"/>
      <c r="BUI35" s="678"/>
      <c r="BUJ35" s="678"/>
      <c r="BUK35" s="678"/>
      <c r="BUL35" s="678"/>
      <c r="BUM35" s="678"/>
      <c r="BUN35" s="678"/>
      <c r="BUO35" s="678"/>
      <c r="BUP35" s="678"/>
      <c r="BUQ35" s="678"/>
      <c r="BUR35" s="678"/>
      <c r="BUS35" s="678"/>
      <c r="BUT35" s="678"/>
      <c r="BUU35" s="678"/>
      <c r="BUV35" s="678"/>
      <c r="BUW35" s="678"/>
      <c r="BUX35" s="678"/>
      <c r="BUY35" s="678"/>
      <c r="BUZ35" s="678"/>
      <c r="BVA35" s="678"/>
      <c r="BVB35" s="678"/>
      <c r="BVC35" s="678"/>
      <c r="BVD35" s="678"/>
      <c r="BVE35" s="678"/>
      <c r="BVF35" s="678"/>
      <c r="BVG35" s="678"/>
      <c r="BVH35" s="678"/>
      <c r="BVI35" s="678"/>
      <c r="BVJ35" s="678"/>
      <c r="BVK35" s="678"/>
      <c r="BVL35" s="678"/>
      <c r="BVM35" s="678"/>
      <c r="BVN35" s="678"/>
      <c r="BVO35" s="678"/>
      <c r="BVP35" s="678"/>
      <c r="BVQ35" s="678"/>
      <c r="BVR35" s="678"/>
      <c r="BVS35" s="678"/>
      <c r="BVT35" s="678"/>
      <c r="BVU35" s="678"/>
      <c r="BVV35" s="678"/>
      <c r="BVW35" s="678"/>
      <c r="BVX35" s="678"/>
      <c r="BVY35" s="678"/>
      <c r="BVZ35" s="678"/>
      <c r="BWA35" s="678"/>
      <c r="BWB35" s="678"/>
      <c r="BWC35" s="678"/>
      <c r="BWD35" s="678"/>
      <c r="BWE35" s="678"/>
      <c r="BWF35" s="678"/>
      <c r="BWG35" s="678"/>
      <c r="BWH35" s="678"/>
      <c r="BWI35" s="678"/>
      <c r="BWJ35" s="678"/>
      <c r="BWK35" s="678"/>
      <c r="BWL35" s="678"/>
      <c r="BWM35" s="678"/>
      <c r="BWN35" s="678"/>
      <c r="BWO35" s="678"/>
      <c r="BWP35" s="678"/>
      <c r="BWQ35" s="678"/>
      <c r="BWR35" s="678"/>
      <c r="BWS35" s="678"/>
      <c r="BWT35" s="678"/>
      <c r="BWU35" s="678"/>
      <c r="BWV35" s="678"/>
      <c r="BWW35" s="678"/>
      <c r="BWX35" s="678"/>
      <c r="BWY35" s="678"/>
      <c r="BWZ35" s="678"/>
      <c r="BXA35" s="678"/>
      <c r="BXB35" s="678"/>
      <c r="BXC35" s="678"/>
      <c r="BXD35" s="678"/>
      <c r="BXE35" s="678"/>
      <c r="BXF35" s="678"/>
      <c r="BXG35" s="678"/>
      <c r="BXH35" s="678"/>
      <c r="BXI35" s="678"/>
      <c r="BXJ35" s="678"/>
      <c r="BXK35" s="678"/>
      <c r="BXL35" s="678"/>
      <c r="BXM35" s="678"/>
      <c r="BXN35" s="678"/>
      <c r="BXO35" s="678"/>
      <c r="BXP35" s="678"/>
      <c r="BXQ35" s="678"/>
      <c r="BXR35" s="678"/>
      <c r="BXS35" s="678"/>
      <c r="BXT35" s="678"/>
      <c r="BXU35" s="678"/>
      <c r="BXV35" s="678"/>
      <c r="BXW35" s="678"/>
      <c r="BXX35" s="678"/>
      <c r="BXY35" s="678"/>
      <c r="BXZ35" s="678"/>
      <c r="BYA35" s="678"/>
      <c r="BYB35" s="678"/>
      <c r="BYC35" s="678"/>
      <c r="BYD35" s="678"/>
      <c r="BYE35" s="678"/>
      <c r="BYF35" s="678"/>
      <c r="BYG35" s="678"/>
      <c r="BYH35" s="678"/>
      <c r="BYI35" s="678"/>
      <c r="BYJ35" s="678"/>
      <c r="BYK35" s="678"/>
      <c r="BYL35" s="678"/>
      <c r="BYM35" s="678"/>
      <c r="BYN35" s="678"/>
      <c r="BYO35" s="678"/>
      <c r="BYP35" s="678"/>
      <c r="BYQ35" s="678"/>
      <c r="BYR35" s="678"/>
      <c r="BYS35" s="678"/>
      <c r="BYT35" s="678"/>
      <c r="BYU35" s="678"/>
      <c r="BYV35" s="678"/>
      <c r="BYW35" s="678"/>
      <c r="BYX35" s="678"/>
      <c r="BYY35" s="678"/>
      <c r="BYZ35" s="678"/>
      <c r="BZA35" s="678"/>
      <c r="BZB35" s="678"/>
      <c r="BZC35" s="678"/>
      <c r="BZD35" s="678"/>
      <c r="BZE35" s="678"/>
      <c r="BZF35" s="678"/>
      <c r="BZG35" s="678"/>
      <c r="BZH35" s="678"/>
      <c r="BZI35" s="678"/>
      <c r="BZJ35" s="678"/>
      <c r="BZK35" s="678"/>
      <c r="BZL35" s="678"/>
      <c r="BZM35" s="678"/>
      <c r="BZN35" s="678"/>
      <c r="BZO35" s="678"/>
      <c r="BZP35" s="678"/>
      <c r="BZQ35" s="678"/>
      <c r="BZR35" s="678"/>
      <c r="BZS35" s="678"/>
      <c r="BZT35" s="678"/>
      <c r="BZU35" s="678"/>
      <c r="BZV35" s="678"/>
      <c r="BZW35" s="678"/>
      <c r="BZX35" s="678"/>
      <c r="BZY35" s="678"/>
      <c r="BZZ35" s="678"/>
      <c r="CAA35" s="678"/>
      <c r="CAB35" s="678"/>
      <c r="CAC35" s="678"/>
      <c r="CAD35" s="678"/>
      <c r="CAE35" s="678"/>
      <c r="CAF35" s="678"/>
      <c r="CAG35" s="678"/>
      <c r="CAH35" s="678"/>
      <c r="CAI35" s="678"/>
      <c r="CAJ35" s="678"/>
      <c r="CAK35" s="678"/>
      <c r="CAL35" s="678"/>
      <c r="CAM35" s="678"/>
      <c r="CAN35" s="678"/>
      <c r="CAO35" s="678"/>
      <c r="CAP35" s="678"/>
      <c r="CAQ35" s="678"/>
      <c r="CAR35" s="678"/>
      <c r="CAS35" s="678"/>
      <c r="CAT35" s="678"/>
      <c r="CAU35" s="678"/>
      <c r="CAV35" s="678"/>
      <c r="CAW35" s="678"/>
      <c r="CAX35" s="678"/>
      <c r="CAY35" s="678"/>
      <c r="CAZ35" s="678"/>
      <c r="CBA35" s="678"/>
      <c r="CBB35" s="678"/>
      <c r="CBC35" s="678"/>
      <c r="CBD35" s="678"/>
      <c r="CBE35" s="678"/>
      <c r="CBF35" s="678"/>
      <c r="CBG35" s="678"/>
      <c r="CBH35" s="678"/>
      <c r="CBI35" s="678"/>
      <c r="CBJ35" s="678"/>
      <c r="CBK35" s="678"/>
      <c r="CBL35" s="678"/>
      <c r="CBM35" s="678"/>
      <c r="CBN35" s="678"/>
      <c r="CBO35" s="678"/>
      <c r="CBP35" s="678"/>
      <c r="CBQ35" s="678"/>
      <c r="CBR35" s="678"/>
      <c r="CBS35" s="678"/>
      <c r="CBT35" s="678"/>
      <c r="CBU35" s="678"/>
      <c r="CBV35" s="678"/>
      <c r="CBW35" s="678"/>
      <c r="CBX35" s="678"/>
      <c r="CBY35" s="678"/>
      <c r="CBZ35" s="678"/>
      <c r="CCA35" s="678"/>
      <c r="CCB35" s="678"/>
      <c r="CCC35" s="678"/>
      <c r="CCD35" s="678"/>
      <c r="CCE35" s="678"/>
      <c r="CCF35" s="678"/>
      <c r="CCG35" s="678"/>
      <c r="CCH35" s="678"/>
      <c r="CCI35" s="678"/>
      <c r="CCJ35" s="678"/>
      <c r="CCK35" s="678"/>
      <c r="CCL35" s="678"/>
      <c r="CCM35" s="678"/>
      <c r="CCN35" s="678"/>
      <c r="CCO35" s="678"/>
      <c r="CCP35" s="678"/>
      <c r="CCQ35" s="678"/>
      <c r="CCR35" s="678"/>
      <c r="CCS35" s="678"/>
      <c r="CCT35" s="678"/>
      <c r="CCU35" s="678"/>
      <c r="CCV35" s="678"/>
      <c r="CCW35" s="678"/>
      <c r="CCX35" s="678"/>
      <c r="CCY35" s="678"/>
      <c r="CCZ35" s="678"/>
      <c r="CDA35" s="678"/>
      <c r="CDB35" s="678"/>
      <c r="CDC35" s="678"/>
      <c r="CDD35" s="678"/>
      <c r="CDE35" s="678"/>
      <c r="CDF35" s="678"/>
      <c r="CDG35" s="678"/>
      <c r="CDH35" s="678"/>
      <c r="CDI35" s="678"/>
      <c r="CDJ35" s="678"/>
      <c r="CDK35" s="678"/>
      <c r="CDL35" s="678"/>
      <c r="CDM35" s="678"/>
      <c r="CDN35" s="678"/>
      <c r="CDO35" s="678"/>
      <c r="CDP35" s="678"/>
      <c r="CDQ35" s="678"/>
      <c r="CDR35" s="678"/>
      <c r="CDS35" s="678"/>
      <c r="CDT35" s="678"/>
      <c r="CDU35" s="678"/>
      <c r="CDV35" s="678"/>
      <c r="CDW35" s="678"/>
      <c r="CDX35" s="678"/>
      <c r="CDY35" s="678"/>
      <c r="CDZ35" s="678"/>
      <c r="CEA35" s="678"/>
      <c r="CEB35" s="678"/>
      <c r="CEC35" s="678"/>
      <c r="CED35" s="678"/>
      <c r="CEE35" s="678"/>
      <c r="CEF35" s="678"/>
      <c r="CEG35" s="678"/>
      <c r="CEH35" s="678"/>
      <c r="CEI35" s="678"/>
      <c r="CEJ35" s="678"/>
      <c r="CEK35" s="678"/>
      <c r="CEL35" s="678"/>
      <c r="CEM35" s="678"/>
      <c r="CEN35" s="678"/>
      <c r="CEO35" s="678"/>
      <c r="CEP35" s="678"/>
      <c r="CEQ35" s="678"/>
      <c r="CER35" s="678"/>
      <c r="CES35" s="678"/>
      <c r="CET35" s="678"/>
      <c r="CEU35" s="678"/>
      <c r="CEV35" s="678"/>
      <c r="CEW35" s="678"/>
      <c r="CEX35" s="678"/>
      <c r="CEY35" s="678"/>
      <c r="CEZ35" s="678"/>
      <c r="CFA35" s="678"/>
      <c r="CFB35" s="678"/>
      <c r="CFC35" s="678"/>
      <c r="CFD35" s="678"/>
      <c r="CFE35" s="678"/>
      <c r="CFF35" s="678"/>
      <c r="CFG35" s="678"/>
      <c r="CFH35" s="678"/>
      <c r="CFI35" s="678"/>
      <c r="CFJ35" s="678"/>
      <c r="CFK35" s="678"/>
      <c r="CFL35" s="678"/>
      <c r="CFM35" s="678"/>
      <c r="CFN35" s="678"/>
      <c r="CFO35" s="678"/>
      <c r="CFP35" s="678"/>
      <c r="CFQ35" s="678"/>
      <c r="CFR35" s="678"/>
      <c r="CFS35" s="678"/>
      <c r="CFT35" s="678"/>
      <c r="CFU35" s="678"/>
      <c r="CFV35" s="678"/>
      <c r="CFW35" s="678"/>
      <c r="CFX35" s="678"/>
      <c r="CFY35" s="678"/>
      <c r="CFZ35" s="678"/>
      <c r="CGA35" s="678"/>
      <c r="CGB35" s="678"/>
      <c r="CGC35" s="678"/>
      <c r="CGD35" s="678"/>
      <c r="CGE35" s="678"/>
      <c r="CGF35" s="678"/>
      <c r="CGG35" s="678"/>
      <c r="CGH35" s="678"/>
      <c r="CGI35" s="678"/>
      <c r="CGJ35" s="678"/>
      <c r="CGK35" s="678"/>
      <c r="CGL35" s="678"/>
      <c r="CGM35" s="678"/>
      <c r="CGN35" s="678"/>
      <c r="CGO35" s="678"/>
      <c r="CGP35" s="678"/>
      <c r="CGQ35" s="678"/>
      <c r="CGR35" s="678"/>
      <c r="CGS35" s="678"/>
      <c r="CGT35" s="678"/>
      <c r="CGU35" s="678"/>
      <c r="CGV35" s="678"/>
      <c r="CGW35" s="678"/>
      <c r="CGX35" s="678"/>
      <c r="CGY35" s="678"/>
      <c r="CGZ35" s="678"/>
      <c r="CHA35" s="678"/>
      <c r="CHB35" s="678"/>
      <c r="CHC35" s="678"/>
      <c r="CHD35" s="678"/>
      <c r="CHE35" s="678"/>
      <c r="CHF35" s="678"/>
      <c r="CHG35" s="678"/>
      <c r="CHH35" s="678"/>
      <c r="CHI35" s="678"/>
      <c r="CHJ35" s="678"/>
      <c r="CHK35" s="678"/>
      <c r="CHL35" s="678"/>
      <c r="CHM35" s="678"/>
      <c r="CHN35" s="678"/>
      <c r="CHO35" s="678"/>
      <c r="CHP35" s="678"/>
      <c r="CHQ35" s="678"/>
      <c r="CHR35" s="678"/>
      <c r="CHS35" s="678"/>
      <c r="CHT35" s="678"/>
      <c r="CHU35" s="678"/>
      <c r="CHV35" s="678"/>
      <c r="CHW35" s="678"/>
      <c r="CHX35" s="678"/>
      <c r="CHY35" s="678"/>
      <c r="CHZ35" s="678"/>
      <c r="CIA35" s="678"/>
      <c r="CIB35" s="678"/>
      <c r="CIC35" s="678"/>
      <c r="CID35" s="678"/>
      <c r="CIE35" s="678"/>
      <c r="CIF35" s="678"/>
      <c r="CIG35" s="678"/>
      <c r="CIH35" s="678"/>
      <c r="CII35" s="678"/>
      <c r="CIJ35" s="678"/>
      <c r="CIK35" s="678"/>
      <c r="CIL35" s="678"/>
      <c r="CIM35" s="678"/>
      <c r="CIN35" s="678"/>
      <c r="CIO35" s="678"/>
      <c r="CIP35" s="678"/>
      <c r="CIQ35" s="678"/>
      <c r="CIR35" s="678"/>
      <c r="CIS35" s="678"/>
      <c r="CIT35" s="678"/>
      <c r="CIU35" s="678"/>
      <c r="CIV35" s="678"/>
      <c r="CIW35" s="678"/>
      <c r="CIX35" s="678"/>
      <c r="CIY35" s="678"/>
      <c r="CIZ35" s="678"/>
      <c r="CJA35" s="678"/>
      <c r="CJB35" s="678"/>
      <c r="CJC35" s="678"/>
      <c r="CJD35" s="678"/>
      <c r="CJE35" s="678"/>
      <c r="CJF35" s="678"/>
      <c r="CJG35" s="678"/>
      <c r="CJH35" s="678"/>
      <c r="CJI35" s="678"/>
      <c r="CJJ35" s="678"/>
      <c r="CJK35" s="678"/>
      <c r="CJL35" s="678"/>
      <c r="CJM35" s="678"/>
      <c r="CJN35" s="678"/>
      <c r="CJO35" s="678"/>
      <c r="CJP35" s="678"/>
      <c r="CJQ35" s="678"/>
      <c r="CJR35" s="678"/>
      <c r="CJS35" s="678"/>
      <c r="CJT35" s="678"/>
      <c r="CJU35" s="678"/>
      <c r="CJV35" s="678"/>
      <c r="CJW35" s="678"/>
      <c r="CJX35" s="678"/>
      <c r="CJY35" s="678"/>
      <c r="CJZ35" s="678"/>
      <c r="CKA35" s="678"/>
      <c r="CKB35" s="678"/>
      <c r="CKC35" s="678"/>
      <c r="CKD35" s="678"/>
      <c r="CKE35" s="678"/>
      <c r="CKF35" s="678"/>
      <c r="CKG35" s="678"/>
      <c r="CKH35" s="678"/>
      <c r="CKI35" s="678"/>
      <c r="CKJ35" s="678"/>
      <c r="CKK35" s="678"/>
      <c r="CKL35" s="678"/>
      <c r="CKM35" s="678"/>
      <c r="CKN35" s="678"/>
      <c r="CKO35" s="678"/>
      <c r="CKP35" s="678"/>
      <c r="CKQ35" s="678"/>
      <c r="CKR35" s="678"/>
      <c r="CKS35" s="678"/>
      <c r="CKT35" s="678"/>
      <c r="CKU35" s="678"/>
      <c r="CKV35" s="678"/>
      <c r="CKW35" s="678"/>
      <c r="CKX35" s="678"/>
      <c r="CKY35" s="678"/>
      <c r="CKZ35" s="678"/>
      <c r="CLA35" s="678"/>
      <c r="CLB35" s="678"/>
      <c r="CLC35" s="678"/>
      <c r="CLD35" s="678"/>
      <c r="CLE35" s="678"/>
      <c r="CLF35" s="678"/>
      <c r="CLG35" s="678"/>
      <c r="CLH35" s="678"/>
      <c r="CLI35" s="678"/>
      <c r="CLJ35" s="678"/>
      <c r="CLK35" s="678"/>
      <c r="CLL35" s="678"/>
      <c r="CLM35" s="678"/>
      <c r="CLN35" s="678"/>
      <c r="CLO35" s="678"/>
      <c r="CLP35" s="678"/>
      <c r="CLQ35" s="678"/>
      <c r="CLR35" s="678"/>
      <c r="CLS35" s="678"/>
      <c r="CLT35" s="678"/>
      <c r="CLU35" s="678"/>
      <c r="CLV35" s="678"/>
      <c r="CLW35" s="678"/>
      <c r="CLX35" s="678"/>
      <c r="CLY35" s="678"/>
      <c r="CLZ35" s="678"/>
      <c r="CMA35" s="678"/>
      <c r="CMB35" s="678"/>
      <c r="CMC35" s="678"/>
      <c r="CMD35" s="678"/>
      <c r="CME35" s="678"/>
      <c r="CMF35" s="678"/>
      <c r="CMG35" s="678"/>
      <c r="CMH35" s="678"/>
      <c r="CMI35" s="678"/>
      <c r="CMJ35" s="678"/>
      <c r="CMK35" s="678"/>
      <c r="CML35" s="678"/>
      <c r="CMM35" s="678"/>
      <c r="CMN35" s="678"/>
      <c r="CMO35" s="678"/>
      <c r="CMP35" s="678"/>
      <c r="CMQ35" s="678"/>
      <c r="CMR35" s="678"/>
      <c r="CMS35" s="678"/>
      <c r="CMT35" s="678"/>
      <c r="CMU35" s="678"/>
      <c r="CMV35" s="678"/>
      <c r="CMW35" s="678"/>
      <c r="CMX35" s="678"/>
      <c r="CMY35" s="678"/>
      <c r="CMZ35" s="678"/>
      <c r="CNA35" s="678"/>
      <c r="CNB35" s="678"/>
      <c r="CNC35" s="678"/>
      <c r="CND35" s="678"/>
      <c r="CNE35" s="678"/>
      <c r="CNF35" s="678"/>
      <c r="CNG35" s="678"/>
      <c r="CNH35" s="678"/>
      <c r="CNI35" s="678"/>
      <c r="CNJ35" s="678"/>
      <c r="CNK35" s="678"/>
      <c r="CNL35" s="678"/>
      <c r="CNM35" s="678"/>
      <c r="CNN35" s="678"/>
      <c r="CNO35" s="678"/>
      <c r="CNP35" s="678"/>
      <c r="CNQ35" s="678"/>
      <c r="CNR35" s="678"/>
      <c r="CNS35" s="678"/>
      <c r="CNT35" s="678"/>
      <c r="CNU35" s="678"/>
      <c r="CNV35" s="678"/>
      <c r="CNW35" s="678"/>
      <c r="CNX35" s="678"/>
      <c r="CNY35" s="678"/>
      <c r="CNZ35" s="678"/>
      <c r="COA35" s="678"/>
      <c r="COB35" s="678"/>
      <c r="COC35" s="678"/>
      <c r="COD35" s="678"/>
      <c r="COE35" s="678"/>
      <c r="COF35" s="678"/>
      <c r="COG35" s="678"/>
      <c r="COH35" s="678"/>
      <c r="COI35" s="678"/>
      <c r="COJ35" s="678"/>
      <c r="COK35" s="678"/>
      <c r="COL35" s="678"/>
      <c r="COM35" s="678"/>
      <c r="CON35" s="678"/>
      <c r="COO35" s="678"/>
      <c r="COP35" s="678"/>
      <c r="COQ35" s="678"/>
      <c r="COR35" s="678"/>
      <c r="COS35" s="678"/>
      <c r="COT35" s="678"/>
      <c r="COU35" s="678"/>
      <c r="COV35" s="678"/>
      <c r="COW35" s="678"/>
      <c r="COX35" s="678"/>
      <c r="COY35" s="678"/>
      <c r="COZ35" s="678"/>
      <c r="CPA35" s="678"/>
      <c r="CPB35" s="678"/>
      <c r="CPC35" s="678"/>
      <c r="CPD35" s="678"/>
      <c r="CPE35" s="678"/>
      <c r="CPF35" s="678"/>
      <c r="CPG35" s="678"/>
      <c r="CPH35" s="678"/>
      <c r="CPI35" s="678"/>
      <c r="CPJ35" s="678"/>
      <c r="CPK35" s="678"/>
      <c r="CPL35" s="678"/>
      <c r="CPM35" s="678"/>
      <c r="CPN35" s="678"/>
      <c r="CPO35" s="678"/>
      <c r="CPP35" s="678"/>
      <c r="CPQ35" s="678"/>
      <c r="CPR35" s="678"/>
      <c r="CPS35" s="678"/>
      <c r="CPT35" s="678"/>
      <c r="CPU35" s="678"/>
      <c r="CPV35" s="678"/>
      <c r="CPW35" s="678"/>
      <c r="CPX35" s="678"/>
      <c r="CPY35" s="678"/>
      <c r="CPZ35" s="678"/>
      <c r="CQA35" s="678"/>
      <c r="CQB35" s="678"/>
      <c r="CQC35" s="678"/>
      <c r="CQD35" s="678"/>
      <c r="CQE35" s="678"/>
      <c r="CQF35" s="678"/>
      <c r="CQG35" s="678"/>
      <c r="CQH35" s="678"/>
      <c r="CQI35" s="678"/>
      <c r="CQJ35" s="678"/>
      <c r="CQK35" s="678"/>
      <c r="CQL35" s="678"/>
      <c r="CQM35" s="678"/>
      <c r="CQN35" s="678"/>
      <c r="CQO35" s="678"/>
      <c r="CQP35" s="678"/>
      <c r="CQQ35" s="678"/>
      <c r="CQR35" s="678"/>
      <c r="CQS35" s="678"/>
      <c r="CQT35" s="678"/>
      <c r="CQU35" s="678"/>
      <c r="CQV35" s="678"/>
      <c r="CQW35" s="678"/>
      <c r="CQX35" s="678"/>
      <c r="CQY35" s="678"/>
      <c r="CQZ35" s="678"/>
      <c r="CRA35" s="678"/>
      <c r="CRB35" s="678"/>
      <c r="CRC35" s="678"/>
      <c r="CRD35" s="678"/>
      <c r="CRE35" s="678"/>
      <c r="CRF35" s="678"/>
      <c r="CRG35" s="678"/>
      <c r="CRH35" s="678"/>
      <c r="CRI35" s="678"/>
      <c r="CRJ35" s="678"/>
      <c r="CRK35" s="678"/>
      <c r="CRL35" s="678"/>
      <c r="CRM35" s="678"/>
      <c r="CRN35" s="678"/>
      <c r="CRO35" s="678"/>
      <c r="CRP35" s="678"/>
      <c r="CRQ35" s="678"/>
      <c r="CRR35" s="678"/>
      <c r="CRS35" s="678"/>
      <c r="CRT35" s="678"/>
      <c r="CRU35" s="678"/>
      <c r="CRV35" s="678"/>
      <c r="CRW35" s="678"/>
      <c r="CRX35" s="678"/>
      <c r="CRY35" s="678"/>
      <c r="CRZ35" s="678"/>
      <c r="CSA35" s="678"/>
      <c r="CSB35" s="678"/>
      <c r="CSC35" s="678"/>
      <c r="CSD35" s="678"/>
      <c r="CSE35" s="678"/>
      <c r="CSF35" s="678"/>
      <c r="CSG35" s="678"/>
      <c r="CSH35" s="678"/>
      <c r="CSI35" s="678"/>
      <c r="CSJ35" s="678"/>
      <c r="CSK35" s="678"/>
      <c r="CSL35" s="678"/>
      <c r="CSM35" s="678"/>
      <c r="CSN35" s="678"/>
      <c r="CSO35" s="678"/>
      <c r="CSP35" s="678"/>
      <c r="CSQ35" s="678"/>
      <c r="CSR35" s="678"/>
      <c r="CSS35" s="678"/>
      <c r="CST35" s="678"/>
      <c r="CSU35" s="678"/>
      <c r="CSV35" s="678"/>
      <c r="CSW35" s="678"/>
      <c r="CSX35" s="678"/>
      <c r="CSY35" s="678"/>
      <c r="CSZ35" s="678"/>
      <c r="CTA35" s="678"/>
      <c r="CTB35" s="678"/>
      <c r="CTC35" s="678"/>
      <c r="CTD35" s="678"/>
      <c r="CTE35" s="678"/>
      <c r="CTF35" s="678"/>
      <c r="CTG35" s="678"/>
      <c r="CTH35" s="678"/>
      <c r="CTI35" s="678"/>
      <c r="CTJ35" s="678"/>
      <c r="CTK35" s="678"/>
      <c r="CTL35" s="678"/>
      <c r="CTM35" s="678"/>
      <c r="CTN35" s="678"/>
      <c r="CTO35" s="678"/>
      <c r="CTP35" s="678"/>
      <c r="CTQ35" s="678"/>
      <c r="CTR35" s="678"/>
      <c r="CTS35" s="678"/>
      <c r="CTT35" s="678"/>
      <c r="CTU35" s="678"/>
      <c r="CTV35" s="678"/>
      <c r="CTW35" s="678"/>
      <c r="CTX35" s="678"/>
      <c r="CTY35" s="678"/>
      <c r="CTZ35" s="678"/>
      <c r="CUA35" s="678"/>
      <c r="CUB35" s="678"/>
      <c r="CUC35" s="678"/>
      <c r="CUD35" s="678"/>
      <c r="CUE35" s="678"/>
      <c r="CUF35" s="678"/>
      <c r="CUG35" s="678"/>
      <c r="CUH35" s="678"/>
      <c r="CUI35" s="678"/>
      <c r="CUJ35" s="678"/>
      <c r="CUK35" s="678"/>
      <c r="CUL35" s="678"/>
      <c r="CUM35" s="678"/>
      <c r="CUN35" s="678"/>
      <c r="CUO35" s="678"/>
      <c r="CUP35" s="678"/>
      <c r="CUQ35" s="678"/>
      <c r="CUR35" s="678"/>
      <c r="CUS35" s="678"/>
      <c r="CUT35" s="678"/>
      <c r="CUU35" s="678"/>
      <c r="CUV35" s="678"/>
      <c r="CUW35" s="678"/>
      <c r="CUX35" s="678"/>
      <c r="CUY35" s="678"/>
      <c r="CUZ35" s="678"/>
      <c r="CVA35" s="678"/>
      <c r="CVB35" s="678"/>
      <c r="CVC35" s="678"/>
      <c r="CVD35" s="678"/>
      <c r="CVE35" s="678"/>
      <c r="CVF35" s="678"/>
      <c r="CVG35" s="678"/>
      <c r="CVH35" s="678"/>
      <c r="CVI35" s="678"/>
      <c r="CVJ35" s="678"/>
      <c r="CVK35" s="678"/>
      <c r="CVL35" s="678"/>
      <c r="CVM35" s="678"/>
      <c r="CVN35" s="678"/>
      <c r="CVO35" s="678"/>
      <c r="CVP35" s="678"/>
      <c r="CVQ35" s="678"/>
      <c r="CVR35" s="678"/>
      <c r="CVS35" s="678"/>
      <c r="CVT35" s="678"/>
      <c r="CVU35" s="678"/>
      <c r="CVV35" s="678"/>
      <c r="CVW35" s="678"/>
      <c r="CVX35" s="678"/>
      <c r="CVY35" s="678"/>
      <c r="CVZ35" s="678"/>
      <c r="CWA35" s="678"/>
      <c r="CWB35" s="678"/>
      <c r="CWC35" s="678"/>
      <c r="CWD35" s="678"/>
      <c r="CWE35" s="678"/>
      <c r="CWF35" s="678"/>
      <c r="CWG35" s="678"/>
      <c r="CWH35" s="678"/>
      <c r="CWI35" s="678"/>
      <c r="CWJ35" s="678"/>
      <c r="CWK35" s="678"/>
      <c r="CWL35" s="678"/>
      <c r="CWM35" s="678"/>
      <c r="CWN35" s="678"/>
      <c r="CWO35" s="678"/>
      <c r="CWP35" s="678"/>
      <c r="CWQ35" s="678"/>
      <c r="CWR35" s="678"/>
      <c r="CWS35" s="678"/>
      <c r="CWT35" s="678"/>
      <c r="CWU35" s="678"/>
      <c r="CWV35" s="678"/>
      <c r="CWW35" s="678"/>
      <c r="CWX35" s="678"/>
      <c r="CWY35" s="678"/>
      <c r="CWZ35" s="678"/>
      <c r="CXA35" s="678"/>
      <c r="CXB35" s="678"/>
      <c r="CXC35" s="678"/>
      <c r="CXD35" s="678"/>
      <c r="CXE35" s="678"/>
      <c r="CXF35" s="678"/>
      <c r="CXG35" s="678"/>
      <c r="CXH35" s="678"/>
      <c r="CXI35" s="678"/>
      <c r="CXJ35" s="678"/>
      <c r="CXK35" s="678"/>
      <c r="CXL35" s="678"/>
      <c r="CXM35" s="678"/>
      <c r="CXN35" s="678"/>
      <c r="CXO35" s="678"/>
      <c r="CXP35" s="678"/>
      <c r="CXQ35" s="678"/>
      <c r="CXR35" s="678"/>
      <c r="CXS35" s="678"/>
      <c r="CXT35" s="678"/>
      <c r="CXU35" s="678"/>
      <c r="CXV35" s="678"/>
      <c r="CXW35" s="678"/>
      <c r="CXX35" s="678"/>
      <c r="CXY35" s="678"/>
      <c r="CXZ35" s="678"/>
      <c r="CYA35" s="678"/>
      <c r="CYB35" s="678"/>
      <c r="CYC35" s="678"/>
      <c r="CYD35" s="678"/>
      <c r="CYE35" s="678"/>
      <c r="CYF35" s="678"/>
      <c r="CYG35" s="678"/>
      <c r="CYH35" s="678"/>
      <c r="CYI35" s="678"/>
      <c r="CYJ35" s="678"/>
      <c r="CYK35" s="678"/>
      <c r="CYL35" s="678"/>
      <c r="CYM35" s="678"/>
      <c r="CYN35" s="678"/>
      <c r="CYO35" s="678"/>
      <c r="CYP35" s="678"/>
      <c r="CYQ35" s="678"/>
      <c r="CYR35" s="678"/>
      <c r="CYS35" s="678"/>
      <c r="CYT35" s="678"/>
      <c r="CYU35" s="678"/>
      <c r="CYV35" s="678"/>
      <c r="CYW35" s="678"/>
      <c r="CYX35" s="678"/>
      <c r="CYY35" s="678"/>
      <c r="CYZ35" s="678"/>
      <c r="CZA35" s="678"/>
      <c r="CZB35" s="678"/>
      <c r="CZC35" s="678"/>
      <c r="CZD35" s="678"/>
      <c r="CZE35" s="678"/>
      <c r="CZF35" s="678"/>
      <c r="CZG35" s="678"/>
      <c r="CZH35" s="678"/>
      <c r="CZI35" s="678"/>
      <c r="CZJ35" s="678"/>
      <c r="CZK35" s="678"/>
      <c r="CZL35" s="678"/>
      <c r="CZM35" s="678"/>
      <c r="CZN35" s="678"/>
      <c r="CZO35" s="678"/>
      <c r="CZP35" s="678"/>
      <c r="CZQ35" s="678"/>
      <c r="CZR35" s="678"/>
      <c r="CZS35" s="678"/>
      <c r="CZT35" s="678"/>
      <c r="CZU35" s="678"/>
      <c r="CZV35" s="678"/>
      <c r="CZW35" s="678"/>
      <c r="CZX35" s="678"/>
      <c r="CZY35" s="678"/>
      <c r="CZZ35" s="678"/>
      <c r="DAA35" s="678"/>
      <c r="DAB35" s="678"/>
      <c r="DAC35" s="678"/>
      <c r="DAD35" s="678"/>
      <c r="DAE35" s="678"/>
      <c r="DAF35" s="678"/>
      <c r="DAG35" s="678"/>
      <c r="DAH35" s="678"/>
      <c r="DAI35" s="678"/>
      <c r="DAJ35" s="678"/>
      <c r="DAK35" s="678"/>
      <c r="DAL35" s="678"/>
      <c r="DAM35" s="678"/>
      <c r="DAN35" s="678"/>
      <c r="DAO35" s="678"/>
      <c r="DAP35" s="678"/>
      <c r="DAQ35" s="678"/>
      <c r="DAR35" s="678"/>
      <c r="DAS35" s="678"/>
      <c r="DAT35" s="678"/>
      <c r="DAU35" s="678"/>
      <c r="DAV35" s="678"/>
      <c r="DAW35" s="678"/>
      <c r="DAX35" s="678"/>
      <c r="DAY35" s="678"/>
      <c r="DAZ35" s="678"/>
      <c r="DBA35" s="678"/>
      <c r="DBB35" s="678"/>
      <c r="DBC35" s="678"/>
      <c r="DBD35" s="678"/>
      <c r="DBE35" s="678"/>
      <c r="DBF35" s="678"/>
      <c r="DBG35" s="678"/>
      <c r="DBH35" s="678"/>
      <c r="DBI35" s="678"/>
      <c r="DBJ35" s="678"/>
      <c r="DBK35" s="678"/>
      <c r="DBL35" s="678"/>
      <c r="DBM35" s="678"/>
      <c r="DBN35" s="678"/>
      <c r="DBO35" s="678"/>
      <c r="DBP35" s="678"/>
      <c r="DBQ35" s="678"/>
      <c r="DBR35" s="678"/>
      <c r="DBS35" s="678"/>
      <c r="DBT35" s="678"/>
      <c r="DBU35" s="678"/>
      <c r="DBV35" s="678"/>
      <c r="DBW35" s="678"/>
      <c r="DBX35" s="678"/>
      <c r="DBY35" s="678"/>
      <c r="DBZ35" s="678"/>
      <c r="DCA35" s="678"/>
      <c r="DCB35" s="678"/>
      <c r="DCC35" s="678"/>
      <c r="DCD35" s="678"/>
      <c r="DCE35" s="678"/>
      <c r="DCF35" s="678"/>
      <c r="DCG35" s="678"/>
      <c r="DCH35" s="678"/>
      <c r="DCI35" s="678"/>
      <c r="DCJ35" s="678"/>
      <c r="DCK35" s="678"/>
      <c r="DCL35" s="678"/>
      <c r="DCM35" s="678"/>
      <c r="DCN35" s="678"/>
      <c r="DCO35" s="678"/>
      <c r="DCP35" s="678"/>
      <c r="DCQ35" s="678"/>
      <c r="DCR35" s="678"/>
      <c r="DCS35" s="678"/>
      <c r="DCT35" s="678"/>
      <c r="DCU35" s="678"/>
      <c r="DCV35" s="678"/>
      <c r="DCW35" s="678"/>
      <c r="DCX35" s="678"/>
      <c r="DCY35" s="678"/>
      <c r="DCZ35" s="678"/>
      <c r="DDA35" s="678"/>
      <c r="DDB35" s="678"/>
      <c r="DDC35" s="678"/>
      <c r="DDD35" s="678"/>
      <c r="DDE35" s="678"/>
      <c r="DDF35" s="678"/>
      <c r="DDG35" s="678"/>
      <c r="DDH35" s="678"/>
      <c r="DDI35" s="678"/>
      <c r="DDJ35" s="678"/>
      <c r="DDK35" s="678"/>
      <c r="DDL35" s="678"/>
      <c r="DDM35" s="678"/>
      <c r="DDN35" s="678"/>
      <c r="DDO35" s="678"/>
      <c r="DDP35" s="678"/>
      <c r="DDQ35" s="678"/>
      <c r="DDR35" s="678"/>
      <c r="DDS35" s="678"/>
      <c r="DDT35" s="678"/>
      <c r="DDU35" s="678"/>
      <c r="DDV35" s="678"/>
      <c r="DDW35" s="678"/>
      <c r="DDX35" s="678"/>
      <c r="DDY35" s="678"/>
      <c r="DDZ35" s="678"/>
      <c r="DEA35" s="678"/>
      <c r="DEB35" s="678"/>
      <c r="DEC35" s="678"/>
      <c r="DED35" s="678"/>
      <c r="DEE35" s="678"/>
      <c r="DEF35" s="678"/>
      <c r="DEG35" s="678"/>
      <c r="DEH35" s="678"/>
      <c r="DEI35" s="678"/>
      <c r="DEJ35" s="678"/>
      <c r="DEK35" s="678"/>
      <c r="DEL35" s="678"/>
      <c r="DEM35" s="678"/>
      <c r="DEN35" s="678"/>
      <c r="DEO35" s="678"/>
      <c r="DEP35" s="678"/>
      <c r="DEQ35" s="678"/>
      <c r="DER35" s="678"/>
      <c r="DES35" s="678"/>
      <c r="DET35" s="678"/>
      <c r="DEU35" s="678"/>
      <c r="DEV35" s="678"/>
      <c r="DEW35" s="678"/>
      <c r="DEX35" s="678"/>
      <c r="DEY35" s="678"/>
      <c r="DEZ35" s="678"/>
      <c r="DFA35" s="678"/>
      <c r="DFB35" s="678"/>
      <c r="DFC35" s="678"/>
      <c r="DFD35" s="678"/>
      <c r="DFE35" s="678"/>
      <c r="DFF35" s="678"/>
      <c r="DFG35" s="678"/>
      <c r="DFH35" s="678"/>
      <c r="DFI35" s="678"/>
      <c r="DFJ35" s="678"/>
      <c r="DFK35" s="678"/>
      <c r="DFL35" s="678"/>
      <c r="DFM35" s="678"/>
      <c r="DFN35" s="678"/>
      <c r="DFO35" s="678"/>
      <c r="DFP35" s="678"/>
      <c r="DFQ35" s="678"/>
      <c r="DFR35" s="678"/>
      <c r="DFS35" s="678"/>
      <c r="DFT35" s="678"/>
      <c r="DFU35" s="678"/>
      <c r="DFV35" s="678"/>
      <c r="DFW35" s="678"/>
      <c r="DFX35" s="678"/>
      <c r="DFY35" s="678"/>
      <c r="DFZ35" s="678"/>
      <c r="DGA35" s="678"/>
      <c r="DGB35" s="678"/>
      <c r="DGC35" s="678"/>
      <c r="DGD35" s="678"/>
      <c r="DGE35" s="678"/>
      <c r="DGF35" s="678"/>
      <c r="DGG35" s="678"/>
      <c r="DGH35" s="678"/>
      <c r="DGI35" s="678"/>
      <c r="DGJ35" s="678"/>
      <c r="DGK35" s="678"/>
      <c r="DGL35" s="678"/>
      <c r="DGM35" s="678"/>
      <c r="DGN35" s="678"/>
      <c r="DGO35" s="678"/>
      <c r="DGP35" s="678"/>
      <c r="DGQ35" s="678"/>
      <c r="DGR35" s="678"/>
      <c r="DGS35" s="678"/>
      <c r="DGT35" s="678"/>
      <c r="DGU35" s="678"/>
      <c r="DGV35" s="678"/>
      <c r="DGW35" s="678"/>
      <c r="DGX35" s="678"/>
      <c r="DGY35" s="678"/>
      <c r="DGZ35" s="678"/>
      <c r="DHA35" s="678"/>
      <c r="DHB35" s="678"/>
      <c r="DHC35" s="678"/>
      <c r="DHD35" s="678"/>
      <c r="DHE35" s="678"/>
      <c r="DHF35" s="678"/>
      <c r="DHG35" s="678"/>
      <c r="DHH35" s="678"/>
      <c r="DHI35" s="678"/>
      <c r="DHJ35" s="678"/>
      <c r="DHK35" s="678"/>
      <c r="DHL35" s="678"/>
      <c r="DHM35" s="678"/>
      <c r="DHN35" s="678"/>
      <c r="DHO35" s="678"/>
      <c r="DHP35" s="678"/>
      <c r="DHQ35" s="678"/>
      <c r="DHR35" s="678"/>
      <c r="DHS35" s="678"/>
      <c r="DHT35" s="678"/>
      <c r="DHU35" s="678"/>
      <c r="DHV35" s="678"/>
      <c r="DHW35" s="678"/>
      <c r="DHX35" s="678"/>
      <c r="DHY35" s="678"/>
      <c r="DHZ35" s="678"/>
      <c r="DIA35" s="678"/>
      <c r="DIB35" s="678"/>
      <c r="DIC35" s="678"/>
      <c r="DID35" s="678"/>
      <c r="DIE35" s="678"/>
      <c r="DIF35" s="678"/>
      <c r="DIG35" s="678"/>
      <c r="DIH35" s="678"/>
      <c r="DII35" s="678"/>
      <c r="DIJ35" s="678"/>
      <c r="DIK35" s="678"/>
      <c r="DIL35" s="678"/>
      <c r="DIM35" s="678"/>
      <c r="DIN35" s="678"/>
      <c r="DIO35" s="678"/>
      <c r="DIP35" s="678"/>
      <c r="DIQ35" s="678"/>
      <c r="DIR35" s="678"/>
      <c r="DIS35" s="678"/>
      <c r="DIT35" s="678"/>
      <c r="DIU35" s="678"/>
      <c r="DIV35" s="678"/>
      <c r="DIW35" s="678"/>
      <c r="DIX35" s="678"/>
      <c r="DIY35" s="678"/>
      <c r="DIZ35" s="678"/>
      <c r="DJA35" s="678"/>
      <c r="DJB35" s="678"/>
      <c r="DJC35" s="678"/>
      <c r="DJD35" s="678"/>
      <c r="DJE35" s="678"/>
      <c r="DJF35" s="678"/>
      <c r="DJG35" s="678"/>
      <c r="DJH35" s="678"/>
      <c r="DJI35" s="678"/>
      <c r="DJJ35" s="678"/>
      <c r="DJK35" s="678"/>
      <c r="DJL35" s="678"/>
      <c r="DJM35" s="678"/>
      <c r="DJN35" s="678"/>
      <c r="DJO35" s="678"/>
      <c r="DJP35" s="678"/>
      <c r="DJQ35" s="678"/>
      <c r="DJR35" s="678"/>
      <c r="DJS35" s="678"/>
      <c r="DJT35" s="678"/>
      <c r="DJU35" s="678"/>
      <c r="DJV35" s="678"/>
      <c r="DJW35" s="678"/>
      <c r="DJX35" s="678"/>
      <c r="DJY35" s="678"/>
      <c r="DJZ35" s="678"/>
      <c r="DKA35" s="678"/>
      <c r="DKB35" s="678"/>
      <c r="DKC35" s="678"/>
      <c r="DKD35" s="678"/>
      <c r="DKE35" s="678"/>
      <c r="DKF35" s="678"/>
      <c r="DKG35" s="678"/>
      <c r="DKH35" s="678"/>
      <c r="DKI35" s="678"/>
      <c r="DKJ35" s="678"/>
      <c r="DKK35" s="678"/>
      <c r="DKL35" s="678"/>
      <c r="DKM35" s="678"/>
      <c r="DKN35" s="678"/>
      <c r="DKO35" s="678"/>
      <c r="DKP35" s="678"/>
      <c r="DKQ35" s="678"/>
      <c r="DKR35" s="678"/>
      <c r="DKS35" s="678"/>
      <c r="DKT35" s="678"/>
      <c r="DKU35" s="678"/>
      <c r="DKV35" s="678"/>
      <c r="DKW35" s="678"/>
      <c r="DKX35" s="678"/>
      <c r="DKY35" s="678"/>
      <c r="DKZ35" s="678"/>
      <c r="DLA35" s="678"/>
      <c r="DLB35" s="678"/>
      <c r="DLC35" s="678"/>
      <c r="DLD35" s="678"/>
      <c r="DLE35" s="678"/>
      <c r="DLF35" s="678"/>
      <c r="DLG35" s="678"/>
      <c r="DLH35" s="678"/>
      <c r="DLI35" s="678"/>
      <c r="DLJ35" s="678"/>
      <c r="DLK35" s="678"/>
      <c r="DLL35" s="678"/>
      <c r="DLM35" s="678"/>
      <c r="DLN35" s="678"/>
      <c r="DLO35" s="678"/>
      <c r="DLP35" s="678"/>
      <c r="DLQ35" s="678"/>
      <c r="DLR35" s="678"/>
      <c r="DLS35" s="678"/>
      <c r="DLT35" s="678"/>
      <c r="DLU35" s="678"/>
      <c r="DLV35" s="678"/>
      <c r="DLW35" s="678"/>
      <c r="DLX35" s="678"/>
      <c r="DLY35" s="678"/>
      <c r="DLZ35" s="678"/>
      <c r="DMA35" s="678"/>
      <c r="DMB35" s="678"/>
      <c r="DMC35" s="678"/>
      <c r="DMD35" s="678"/>
      <c r="DME35" s="678"/>
      <c r="DMF35" s="678"/>
      <c r="DMG35" s="678"/>
      <c r="DMH35" s="678"/>
      <c r="DMI35" s="678"/>
      <c r="DMJ35" s="678"/>
      <c r="DMK35" s="678"/>
      <c r="DML35" s="678"/>
      <c r="DMM35" s="678"/>
      <c r="DMN35" s="678"/>
      <c r="DMO35" s="678"/>
      <c r="DMP35" s="678"/>
      <c r="DMQ35" s="678"/>
      <c r="DMR35" s="678"/>
      <c r="DMS35" s="678"/>
      <c r="DMT35" s="678"/>
      <c r="DMU35" s="678"/>
      <c r="DMV35" s="678"/>
      <c r="DMW35" s="678"/>
      <c r="DMX35" s="678"/>
      <c r="DMY35" s="678"/>
      <c r="DMZ35" s="678"/>
      <c r="DNA35" s="678"/>
      <c r="DNB35" s="678"/>
      <c r="DNC35" s="678"/>
      <c r="DND35" s="678"/>
      <c r="DNE35" s="678"/>
      <c r="DNF35" s="678"/>
      <c r="DNG35" s="678"/>
      <c r="DNH35" s="678"/>
      <c r="DNI35" s="678"/>
      <c r="DNJ35" s="678"/>
      <c r="DNK35" s="678"/>
      <c r="DNL35" s="678"/>
      <c r="DNM35" s="678"/>
      <c r="DNN35" s="678"/>
      <c r="DNO35" s="678"/>
      <c r="DNP35" s="678"/>
      <c r="DNQ35" s="678"/>
      <c r="DNR35" s="678"/>
      <c r="DNS35" s="678"/>
      <c r="DNT35" s="678"/>
      <c r="DNU35" s="678"/>
      <c r="DNV35" s="678"/>
      <c r="DNW35" s="678"/>
      <c r="DNX35" s="678"/>
      <c r="DNY35" s="678"/>
      <c r="DNZ35" s="678"/>
      <c r="DOA35" s="678"/>
      <c r="DOB35" s="678"/>
      <c r="DOC35" s="678"/>
      <c r="DOD35" s="678"/>
      <c r="DOE35" s="678"/>
      <c r="DOF35" s="678"/>
      <c r="DOG35" s="678"/>
      <c r="DOH35" s="678"/>
      <c r="DOI35" s="678"/>
      <c r="DOJ35" s="678"/>
      <c r="DOK35" s="678"/>
      <c r="DOL35" s="678"/>
      <c r="DOM35" s="678"/>
      <c r="DON35" s="678"/>
      <c r="DOO35" s="678"/>
      <c r="DOP35" s="678"/>
      <c r="DOQ35" s="678"/>
      <c r="DOR35" s="678"/>
      <c r="DOS35" s="678"/>
      <c r="DOT35" s="678"/>
      <c r="DOU35" s="678"/>
      <c r="DOV35" s="678"/>
      <c r="DOW35" s="678"/>
      <c r="DOX35" s="678"/>
      <c r="DOY35" s="678"/>
      <c r="DOZ35" s="678"/>
      <c r="DPA35" s="678"/>
      <c r="DPB35" s="678"/>
      <c r="DPC35" s="678"/>
      <c r="DPD35" s="678"/>
      <c r="DPE35" s="678"/>
      <c r="DPF35" s="678"/>
      <c r="DPG35" s="678"/>
      <c r="DPH35" s="678"/>
      <c r="DPI35" s="678"/>
      <c r="DPJ35" s="678"/>
      <c r="DPK35" s="678"/>
      <c r="DPL35" s="678"/>
      <c r="DPM35" s="678"/>
      <c r="DPN35" s="678"/>
      <c r="DPO35" s="678"/>
      <c r="DPP35" s="678"/>
      <c r="DPQ35" s="678"/>
      <c r="DPR35" s="678"/>
      <c r="DPS35" s="678"/>
      <c r="DPT35" s="678"/>
      <c r="DPU35" s="678"/>
      <c r="DPV35" s="678"/>
      <c r="DPW35" s="678"/>
      <c r="DPX35" s="678"/>
      <c r="DPY35" s="678"/>
      <c r="DPZ35" s="678"/>
      <c r="DQA35" s="678"/>
      <c r="DQB35" s="678"/>
      <c r="DQC35" s="678"/>
      <c r="DQD35" s="678"/>
      <c r="DQE35" s="678"/>
      <c r="DQF35" s="678"/>
      <c r="DQG35" s="678"/>
      <c r="DQH35" s="678"/>
      <c r="DQI35" s="678"/>
      <c r="DQJ35" s="678"/>
      <c r="DQK35" s="678"/>
      <c r="DQL35" s="678"/>
      <c r="DQM35" s="678"/>
      <c r="DQN35" s="678"/>
      <c r="DQO35" s="678"/>
      <c r="DQP35" s="678"/>
      <c r="DQQ35" s="678"/>
      <c r="DQR35" s="678"/>
      <c r="DQS35" s="678"/>
      <c r="DQT35" s="678"/>
      <c r="DQU35" s="678"/>
      <c r="DQV35" s="678"/>
      <c r="DQW35" s="678"/>
      <c r="DQX35" s="678"/>
      <c r="DQY35" s="678"/>
      <c r="DQZ35" s="678"/>
      <c r="DRA35" s="678"/>
      <c r="DRB35" s="678"/>
      <c r="DRC35" s="678"/>
      <c r="DRD35" s="678"/>
      <c r="DRE35" s="678"/>
      <c r="DRF35" s="678"/>
      <c r="DRG35" s="678"/>
      <c r="DRH35" s="678"/>
      <c r="DRI35" s="678"/>
      <c r="DRJ35" s="678"/>
      <c r="DRK35" s="678"/>
      <c r="DRL35" s="678"/>
      <c r="DRM35" s="678"/>
      <c r="DRN35" s="678"/>
      <c r="DRO35" s="678"/>
      <c r="DRP35" s="678"/>
      <c r="DRQ35" s="678"/>
      <c r="DRR35" s="678"/>
      <c r="DRS35" s="678"/>
      <c r="DRT35" s="678"/>
      <c r="DRU35" s="678"/>
      <c r="DRV35" s="678"/>
      <c r="DRW35" s="678"/>
      <c r="DRX35" s="678"/>
      <c r="DRY35" s="678"/>
      <c r="DRZ35" s="678"/>
      <c r="DSA35" s="678"/>
      <c r="DSB35" s="678"/>
      <c r="DSC35" s="678"/>
      <c r="DSD35" s="678"/>
      <c r="DSE35" s="678"/>
      <c r="DSF35" s="678"/>
      <c r="DSG35" s="678"/>
      <c r="DSH35" s="678"/>
      <c r="DSI35" s="678"/>
      <c r="DSJ35" s="678"/>
      <c r="DSK35" s="678"/>
      <c r="DSL35" s="678"/>
      <c r="DSM35" s="678"/>
      <c r="DSN35" s="678"/>
      <c r="DSO35" s="678"/>
      <c r="DSP35" s="678"/>
      <c r="DSQ35" s="678"/>
      <c r="DSR35" s="678"/>
      <c r="DSS35" s="678"/>
      <c r="DST35" s="678"/>
      <c r="DSU35" s="678"/>
      <c r="DSV35" s="678"/>
      <c r="DSW35" s="678"/>
      <c r="DSX35" s="678"/>
      <c r="DSY35" s="678"/>
      <c r="DSZ35" s="678"/>
      <c r="DTA35" s="678"/>
      <c r="DTB35" s="678"/>
      <c r="DTC35" s="678"/>
      <c r="DTD35" s="678"/>
      <c r="DTE35" s="678"/>
      <c r="DTF35" s="678"/>
      <c r="DTG35" s="678"/>
      <c r="DTH35" s="678"/>
      <c r="DTI35" s="678"/>
      <c r="DTJ35" s="678"/>
      <c r="DTK35" s="678"/>
      <c r="DTL35" s="678"/>
      <c r="DTM35" s="678"/>
      <c r="DTN35" s="678"/>
      <c r="DTO35" s="678"/>
      <c r="DTP35" s="678"/>
      <c r="DTQ35" s="678"/>
      <c r="DTR35" s="678"/>
      <c r="DTS35" s="678"/>
      <c r="DTT35" s="678"/>
      <c r="DTU35" s="678"/>
      <c r="DTV35" s="678"/>
      <c r="DTW35" s="678"/>
      <c r="DTX35" s="678"/>
      <c r="DTY35" s="678"/>
      <c r="DTZ35" s="678"/>
      <c r="DUA35" s="678"/>
      <c r="DUB35" s="678"/>
      <c r="DUC35" s="678"/>
      <c r="DUD35" s="678"/>
      <c r="DUE35" s="678"/>
      <c r="DUF35" s="678"/>
      <c r="DUG35" s="678"/>
      <c r="DUH35" s="678"/>
      <c r="DUI35" s="678"/>
      <c r="DUJ35" s="678"/>
      <c r="DUK35" s="678"/>
      <c r="DUL35" s="678"/>
      <c r="DUM35" s="678"/>
      <c r="DUN35" s="678"/>
      <c r="DUO35" s="678"/>
      <c r="DUP35" s="678"/>
      <c r="DUQ35" s="678"/>
      <c r="DUR35" s="678"/>
      <c r="DUS35" s="678"/>
      <c r="DUT35" s="678"/>
      <c r="DUU35" s="678"/>
      <c r="DUV35" s="678"/>
      <c r="DUW35" s="678"/>
      <c r="DUX35" s="678"/>
      <c r="DUY35" s="678"/>
      <c r="DUZ35" s="678"/>
      <c r="DVA35" s="678"/>
      <c r="DVB35" s="678"/>
      <c r="DVC35" s="678"/>
      <c r="DVD35" s="678"/>
      <c r="DVE35" s="678"/>
      <c r="DVF35" s="678"/>
      <c r="DVG35" s="678"/>
      <c r="DVH35" s="678"/>
      <c r="DVI35" s="678"/>
      <c r="DVJ35" s="678"/>
      <c r="DVK35" s="678"/>
      <c r="DVL35" s="678"/>
      <c r="DVM35" s="678"/>
      <c r="DVN35" s="678"/>
      <c r="DVO35" s="678"/>
      <c r="DVP35" s="678"/>
      <c r="DVQ35" s="678"/>
      <c r="DVR35" s="678"/>
      <c r="DVS35" s="678"/>
      <c r="DVT35" s="678"/>
      <c r="DVU35" s="678"/>
      <c r="DVV35" s="678"/>
      <c r="DVW35" s="678"/>
      <c r="DVX35" s="678"/>
      <c r="DVY35" s="678"/>
      <c r="DVZ35" s="678"/>
      <c r="DWA35" s="678"/>
      <c r="DWB35" s="678"/>
      <c r="DWC35" s="678"/>
      <c r="DWD35" s="678"/>
      <c r="DWE35" s="678"/>
      <c r="DWF35" s="678"/>
      <c r="DWG35" s="678"/>
      <c r="DWH35" s="678"/>
      <c r="DWI35" s="678"/>
      <c r="DWJ35" s="678"/>
      <c r="DWK35" s="678"/>
      <c r="DWL35" s="678"/>
      <c r="DWM35" s="678"/>
      <c r="DWN35" s="678"/>
      <c r="DWO35" s="678"/>
      <c r="DWP35" s="678"/>
      <c r="DWQ35" s="678"/>
      <c r="DWR35" s="678"/>
      <c r="DWS35" s="678"/>
      <c r="DWT35" s="678"/>
      <c r="DWU35" s="678"/>
      <c r="DWV35" s="678"/>
      <c r="DWW35" s="678"/>
      <c r="DWX35" s="678"/>
      <c r="DWY35" s="678"/>
      <c r="DWZ35" s="678"/>
      <c r="DXA35" s="678"/>
      <c r="DXB35" s="678"/>
      <c r="DXC35" s="678"/>
      <c r="DXD35" s="678"/>
      <c r="DXE35" s="678"/>
      <c r="DXF35" s="678"/>
      <c r="DXG35" s="678"/>
      <c r="DXH35" s="678"/>
      <c r="DXI35" s="678"/>
      <c r="DXJ35" s="678"/>
      <c r="DXK35" s="678"/>
      <c r="DXL35" s="678"/>
      <c r="DXM35" s="678"/>
      <c r="DXN35" s="678"/>
      <c r="DXO35" s="678"/>
      <c r="DXP35" s="678"/>
      <c r="DXQ35" s="678"/>
      <c r="DXR35" s="678"/>
      <c r="DXS35" s="678"/>
      <c r="DXT35" s="678"/>
      <c r="DXU35" s="678"/>
      <c r="DXV35" s="678"/>
      <c r="DXW35" s="678"/>
      <c r="DXX35" s="678"/>
      <c r="DXY35" s="678"/>
      <c r="DXZ35" s="678"/>
      <c r="DYA35" s="678"/>
      <c r="DYB35" s="678"/>
      <c r="DYC35" s="678"/>
      <c r="DYD35" s="678"/>
      <c r="DYE35" s="678"/>
      <c r="DYF35" s="678"/>
      <c r="DYG35" s="678"/>
      <c r="DYH35" s="678"/>
      <c r="DYI35" s="678"/>
      <c r="DYJ35" s="678"/>
      <c r="DYK35" s="678"/>
      <c r="DYL35" s="678"/>
      <c r="DYM35" s="678"/>
      <c r="DYN35" s="678"/>
      <c r="DYO35" s="678"/>
      <c r="DYP35" s="678"/>
      <c r="DYQ35" s="678"/>
      <c r="DYR35" s="678"/>
      <c r="DYS35" s="678"/>
      <c r="DYT35" s="678"/>
      <c r="DYU35" s="678"/>
      <c r="DYV35" s="678"/>
      <c r="DYW35" s="678"/>
      <c r="DYX35" s="678"/>
      <c r="DYY35" s="678"/>
      <c r="DYZ35" s="678"/>
      <c r="DZA35" s="678"/>
      <c r="DZB35" s="678"/>
      <c r="DZC35" s="678"/>
      <c r="DZD35" s="678"/>
      <c r="DZE35" s="678"/>
      <c r="DZF35" s="678"/>
      <c r="DZG35" s="678"/>
      <c r="DZH35" s="678"/>
      <c r="DZI35" s="678"/>
      <c r="DZJ35" s="678"/>
      <c r="DZK35" s="678"/>
      <c r="DZL35" s="678"/>
      <c r="DZM35" s="678"/>
      <c r="DZN35" s="678"/>
      <c r="DZO35" s="678"/>
      <c r="DZP35" s="678"/>
      <c r="DZQ35" s="678"/>
      <c r="DZR35" s="678"/>
      <c r="DZS35" s="678"/>
      <c r="DZT35" s="678"/>
      <c r="DZU35" s="678"/>
      <c r="DZV35" s="678"/>
      <c r="DZW35" s="678"/>
      <c r="DZX35" s="678"/>
      <c r="DZY35" s="678"/>
      <c r="DZZ35" s="678"/>
      <c r="EAA35" s="678"/>
      <c r="EAB35" s="678"/>
      <c r="EAC35" s="678"/>
      <c r="EAD35" s="678"/>
      <c r="EAE35" s="678"/>
      <c r="EAF35" s="678"/>
      <c r="EAG35" s="678"/>
      <c r="EAH35" s="678"/>
      <c r="EAI35" s="678"/>
      <c r="EAJ35" s="678"/>
      <c r="EAK35" s="678"/>
      <c r="EAL35" s="678"/>
      <c r="EAM35" s="678"/>
      <c r="EAN35" s="678"/>
      <c r="EAO35" s="678"/>
      <c r="EAP35" s="678"/>
      <c r="EAQ35" s="678"/>
      <c r="EAR35" s="678"/>
      <c r="EAS35" s="678"/>
      <c r="EAT35" s="678"/>
      <c r="EAU35" s="678"/>
      <c r="EAV35" s="678"/>
      <c r="EAW35" s="678"/>
      <c r="EAX35" s="678"/>
      <c r="EAY35" s="678"/>
      <c r="EAZ35" s="678"/>
      <c r="EBA35" s="678"/>
      <c r="EBB35" s="678"/>
      <c r="EBC35" s="678"/>
      <c r="EBD35" s="678"/>
      <c r="EBE35" s="678"/>
      <c r="EBF35" s="678"/>
      <c r="EBG35" s="678"/>
      <c r="EBH35" s="678"/>
      <c r="EBI35" s="678"/>
      <c r="EBJ35" s="678"/>
      <c r="EBK35" s="678"/>
      <c r="EBL35" s="678"/>
      <c r="EBM35" s="678"/>
      <c r="EBN35" s="678"/>
      <c r="EBO35" s="678"/>
      <c r="EBP35" s="678"/>
      <c r="EBQ35" s="678"/>
      <c r="EBR35" s="678"/>
      <c r="EBS35" s="678"/>
      <c r="EBT35" s="678"/>
      <c r="EBU35" s="678"/>
      <c r="EBV35" s="678"/>
      <c r="EBW35" s="678"/>
      <c r="EBX35" s="678"/>
      <c r="EBY35" s="678"/>
      <c r="EBZ35" s="678"/>
      <c r="ECA35" s="678"/>
      <c r="ECB35" s="678"/>
      <c r="ECC35" s="678"/>
      <c r="ECD35" s="678"/>
      <c r="ECE35" s="678"/>
      <c r="ECF35" s="678"/>
      <c r="ECG35" s="678"/>
      <c r="ECH35" s="678"/>
      <c r="ECI35" s="678"/>
      <c r="ECJ35" s="678"/>
      <c r="ECK35" s="678"/>
      <c r="ECL35" s="678"/>
      <c r="ECM35" s="678"/>
      <c r="ECN35" s="678"/>
      <c r="ECO35" s="678"/>
      <c r="ECP35" s="678"/>
      <c r="ECQ35" s="678"/>
      <c r="ECR35" s="678"/>
      <c r="ECS35" s="678"/>
      <c r="ECT35" s="678"/>
      <c r="ECU35" s="678"/>
      <c r="ECV35" s="678"/>
      <c r="ECW35" s="678"/>
      <c r="ECX35" s="678"/>
      <c r="ECY35" s="678"/>
      <c r="ECZ35" s="678"/>
      <c r="EDA35" s="678"/>
      <c r="EDB35" s="678"/>
      <c r="EDC35" s="678"/>
      <c r="EDD35" s="678"/>
      <c r="EDE35" s="678"/>
      <c r="EDF35" s="678"/>
      <c r="EDG35" s="678"/>
      <c r="EDH35" s="678"/>
      <c r="EDI35" s="678"/>
      <c r="EDJ35" s="678"/>
      <c r="EDK35" s="678"/>
      <c r="EDL35" s="678"/>
      <c r="EDM35" s="678"/>
      <c r="EDN35" s="678"/>
      <c r="EDO35" s="678"/>
      <c r="EDP35" s="678"/>
      <c r="EDQ35" s="678"/>
      <c r="EDR35" s="678"/>
      <c r="EDS35" s="678"/>
      <c r="EDT35" s="678"/>
      <c r="EDU35" s="678"/>
      <c r="EDV35" s="678"/>
      <c r="EDW35" s="678"/>
      <c r="EDX35" s="678"/>
      <c r="EDY35" s="678"/>
      <c r="EDZ35" s="678"/>
      <c r="EEA35" s="678"/>
      <c r="EEB35" s="678"/>
      <c r="EEC35" s="678"/>
      <c r="EED35" s="678"/>
      <c r="EEE35" s="678"/>
      <c r="EEF35" s="678"/>
      <c r="EEG35" s="678"/>
      <c r="EEH35" s="678"/>
      <c r="EEI35" s="678"/>
      <c r="EEJ35" s="678"/>
      <c r="EEK35" s="678"/>
      <c r="EEL35" s="678"/>
      <c r="EEM35" s="678"/>
      <c r="EEN35" s="678"/>
      <c r="EEO35" s="678"/>
      <c r="EEP35" s="678"/>
      <c r="EEQ35" s="678"/>
      <c r="EER35" s="678"/>
      <c r="EES35" s="678"/>
      <c r="EET35" s="678"/>
      <c r="EEU35" s="678"/>
      <c r="EEV35" s="678"/>
      <c r="EEW35" s="678"/>
      <c r="EEX35" s="678"/>
      <c r="EEY35" s="678"/>
      <c r="EEZ35" s="678"/>
      <c r="EFA35" s="678"/>
      <c r="EFB35" s="678"/>
      <c r="EFC35" s="678"/>
      <c r="EFD35" s="678"/>
      <c r="EFE35" s="678"/>
      <c r="EFF35" s="678"/>
      <c r="EFG35" s="678"/>
      <c r="EFH35" s="678"/>
      <c r="EFI35" s="678"/>
      <c r="EFJ35" s="678"/>
      <c r="EFK35" s="678"/>
      <c r="EFL35" s="678"/>
      <c r="EFM35" s="678"/>
      <c r="EFN35" s="678"/>
      <c r="EFO35" s="678"/>
      <c r="EFP35" s="678"/>
      <c r="EFQ35" s="678"/>
      <c r="EFR35" s="678"/>
      <c r="EFS35" s="678"/>
      <c r="EFT35" s="678"/>
      <c r="EFU35" s="678"/>
      <c r="EFV35" s="678"/>
      <c r="EFW35" s="678"/>
      <c r="EFX35" s="678"/>
      <c r="EFY35" s="678"/>
      <c r="EFZ35" s="678"/>
      <c r="EGA35" s="678"/>
      <c r="EGB35" s="678"/>
      <c r="EGC35" s="678"/>
      <c r="EGD35" s="678"/>
      <c r="EGE35" s="678"/>
      <c r="EGF35" s="678"/>
      <c r="EGG35" s="678"/>
      <c r="EGH35" s="678"/>
      <c r="EGI35" s="678"/>
      <c r="EGJ35" s="678"/>
      <c r="EGK35" s="678"/>
      <c r="EGL35" s="678"/>
      <c r="EGM35" s="678"/>
      <c r="EGN35" s="678"/>
      <c r="EGO35" s="678"/>
      <c r="EGP35" s="678"/>
      <c r="EGQ35" s="678"/>
      <c r="EGR35" s="678"/>
      <c r="EGS35" s="678"/>
      <c r="EGT35" s="678"/>
      <c r="EGU35" s="678"/>
      <c r="EGV35" s="678"/>
      <c r="EGW35" s="678"/>
      <c r="EGX35" s="678"/>
      <c r="EGY35" s="678"/>
      <c r="EGZ35" s="678"/>
      <c r="EHA35" s="678"/>
      <c r="EHB35" s="678"/>
      <c r="EHC35" s="678"/>
      <c r="EHD35" s="678"/>
      <c r="EHE35" s="678"/>
      <c r="EHF35" s="678"/>
      <c r="EHG35" s="678"/>
      <c r="EHH35" s="678"/>
      <c r="EHI35" s="678"/>
      <c r="EHJ35" s="678"/>
      <c r="EHK35" s="678"/>
      <c r="EHL35" s="678"/>
      <c r="EHM35" s="678"/>
      <c r="EHN35" s="678"/>
      <c r="EHO35" s="678"/>
      <c r="EHP35" s="678"/>
      <c r="EHQ35" s="678"/>
      <c r="EHR35" s="678"/>
      <c r="EHS35" s="678"/>
      <c r="EHT35" s="678"/>
      <c r="EHU35" s="678"/>
      <c r="EHV35" s="678"/>
      <c r="EHW35" s="678"/>
      <c r="EHX35" s="678"/>
      <c r="EHY35" s="678"/>
      <c r="EHZ35" s="678"/>
      <c r="EIA35" s="678"/>
      <c r="EIB35" s="678"/>
      <c r="EIC35" s="678"/>
      <c r="EID35" s="678"/>
      <c r="EIE35" s="678"/>
      <c r="EIF35" s="678"/>
      <c r="EIG35" s="678"/>
      <c r="EIH35" s="678"/>
      <c r="EII35" s="678"/>
      <c r="EIJ35" s="678"/>
      <c r="EIK35" s="678"/>
      <c r="EIL35" s="678"/>
      <c r="EIM35" s="678"/>
      <c r="EIN35" s="678"/>
      <c r="EIO35" s="678"/>
      <c r="EIP35" s="678"/>
      <c r="EIQ35" s="678"/>
      <c r="EIR35" s="678"/>
      <c r="EIS35" s="678"/>
      <c r="EIT35" s="678"/>
      <c r="EIU35" s="678"/>
      <c r="EIV35" s="678"/>
      <c r="EIW35" s="678"/>
      <c r="EIX35" s="678"/>
      <c r="EIY35" s="678"/>
      <c r="EIZ35" s="678"/>
      <c r="EJA35" s="678"/>
      <c r="EJB35" s="678"/>
      <c r="EJC35" s="678"/>
      <c r="EJD35" s="678"/>
      <c r="EJE35" s="678"/>
      <c r="EJF35" s="678"/>
      <c r="EJG35" s="678"/>
      <c r="EJH35" s="678"/>
      <c r="EJI35" s="678"/>
      <c r="EJJ35" s="678"/>
      <c r="EJK35" s="678"/>
      <c r="EJL35" s="678"/>
      <c r="EJM35" s="678"/>
      <c r="EJN35" s="678"/>
      <c r="EJO35" s="678"/>
      <c r="EJP35" s="678"/>
      <c r="EJQ35" s="678"/>
      <c r="EJR35" s="678"/>
      <c r="EJS35" s="678"/>
      <c r="EJT35" s="678"/>
      <c r="EJU35" s="678"/>
      <c r="EJV35" s="678"/>
      <c r="EJW35" s="678"/>
      <c r="EJX35" s="678"/>
      <c r="EJY35" s="678"/>
      <c r="EJZ35" s="678"/>
      <c r="EKA35" s="678"/>
      <c r="EKB35" s="678"/>
      <c r="EKC35" s="678"/>
      <c r="EKD35" s="678"/>
      <c r="EKE35" s="678"/>
      <c r="EKF35" s="678"/>
      <c r="EKG35" s="678"/>
      <c r="EKH35" s="678"/>
      <c r="EKI35" s="678"/>
      <c r="EKJ35" s="678"/>
      <c r="EKK35" s="678"/>
      <c r="EKL35" s="678"/>
      <c r="EKM35" s="678"/>
      <c r="EKN35" s="678"/>
      <c r="EKO35" s="678"/>
      <c r="EKP35" s="678"/>
      <c r="EKQ35" s="678"/>
      <c r="EKR35" s="678"/>
      <c r="EKS35" s="678"/>
      <c r="EKT35" s="678"/>
      <c r="EKU35" s="678"/>
      <c r="EKV35" s="678"/>
      <c r="EKW35" s="678"/>
      <c r="EKX35" s="678"/>
      <c r="EKY35" s="678"/>
      <c r="EKZ35" s="678"/>
      <c r="ELA35" s="678"/>
      <c r="ELB35" s="678"/>
      <c r="ELC35" s="678"/>
      <c r="ELD35" s="678"/>
      <c r="ELE35" s="678"/>
      <c r="ELF35" s="678"/>
      <c r="ELG35" s="678"/>
      <c r="ELH35" s="678"/>
      <c r="ELI35" s="678"/>
      <c r="ELJ35" s="678"/>
      <c r="ELK35" s="678"/>
      <c r="ELL35" s="678"/>
      <c r="ELM35" s="678"/>
      <c r="ELN35" s="678"/>
      <c r="ELO35" s="678"/>
      <c r="ELP35" s="678"/>
      <c r="ELQ35" s="678"/>
      <c r="ELR35" s="678"/>
      <c r="ELS35" s="678"/>
      <c r="ELT35" s="678"/>
      <c r="ELU35" s="678"/>
      <c r="ELV35" s="678"/>
      <c r="ELW35" s="678"/>
      <c r="ELX35" s="678"/>
      <c r="ELY35" s="678"/>
      <c r="ELZ35" s="678"/>
      <c r="EMA35" s="678"/>
      <c r="EMB35" s="678"/>
      <c r="EMC35" s="678"/>
      <c r="EMD35" s="678"/>
      <c r="EME35" s="678"/>
      <c r="EMF35" s="678"/>
      <c r="EMG35" s="678"/>
      <c r="EMH35" s="678"/>
      <c r="EMI35" s="678"/>
      <c r="EMJ35" s="678"/>
      <c r="EMK35" s="678"/>
      <c r="EML35" s="678"/>
      <c r="EMM35" s="678"/>
      <c r="EMN35" s="678"/>
      <c r="EMO35" s="678"/>
      <c r="EMP35" s="678"/>
      <c r="EMQ35" s="678"/>
      <c r="EMR35" s="678"/>
      <c r="EMS35" s="678"/>
      <c r="EMT35" s="678"/>
      <c r="EMU35" s="678"/>
      <c r="EMV35" s="678"/>
      <c r="EMW35" s="678"/>
      <c r="EMX35" s="678"/>
      <c r="EMY35" s="678"/>
      <c r="EMZ35" s="678"/>
      <c r="ENA35" s="678"/>
      <c r="ENB35" s="678"/>
      <c r="ENC35" s="678"/>
      <c r="END35" s="678"/>
      <c r="ENE35" s="678"/>
      <c r="ENF35" s="678"/>
      <c r="ENG35" s="678"/>
      <c r="ENH35" s="678"/>
      <c r="ENI35" s="678"/>
      <c r="ENJ35" s="678"/>
      <c r="ENK35" s="678"/>
      <c r="ENL35" s="678"/>
      <c r="ENM35" s="678"/>
      <c r="ENN35" s="678"/>
      <c r="ENO35" s="678"/>
      <c r="ENP35" s="678"/>
      <c r="ENQ35" s="678"/>
      <c r="ENR35" s="678"/>
      <c r="ENS35" s="678"/>
      <c r="ENT35" s="678"/>
      <c r="ENU35" s="678"/>
      <c r="ENV35" s="678"/>
      <c r="ENW35" s="678"/>
      <c r="ENX35" s="678"/>
      <c r="ENY35" s="678"/>
      <c r="ENZ35" s="678"/>
      <c r="EOA35" s="678"/>
      <c r="EOB35" s="678"/>
      <c r="EOC35" s="678"/>
      <c r="EOD35" s="678"/>
      <c r="EOE35" s="678"/>
      <c r="EOF35" s="678"/>
      <c r="EOG35" s="678"/>
      <c r="EOH35" s="678"/>
      <c r="EOI35" s="678"/>
      <c r="EOJ35" s="678"/>
      <c r="EOK35" s="678"/>
      <c r="EOL35" s="678"/>
      <c r="EOM35" s="678"/>
      <c r="EON35" s="678"/>
      <c r="EOO35" s="678"/>
      <c r="EOP35" s="678"/>
      <c r="EOQ35" s="678"/>
      <c r="EOR35" s="678"/>
      <c r="EOS35" s="678"/>
      <c r="EOT35" s="678"/>
      <c r="EOU35" s="678"/>
      <c r="EOV35" s="678"/>
      <c r="EOW35" s="678"/>
      <c r="EOX35" s="678"/>
      <c r="EOY35" s="678"/>
      <c r="EOZ35" s="678"/>
      <c r="EPA35" s="678"/>
      <c r="EPB35" s="678"/>
      <c r="EPC35" s="678"/>
      <c r="EPD35" s="678"/>
      <c r="EPE35" s="678"/>
      <c r="EPF35" s="678"/>
      <c r="EPG35" s="678"/>
      <c r="EPH35" s="678"/>
      <c r="EPI35" s="678"/>
      <c r="EPJ35" s="678"/>
      <c r="EPK35" s="678"/>
      <c r="EPL35" s="678"/>
      <c r="EPM35" s="678"/>
      <c r="EPN35" s="678"/>
      <c r="EPO35" s="678"/>
      <c r="EPP35" s="678"/>
      <c r="EPQ35" s="678"/>
      <c r="EPR35" s="678"/>
      <c r="EPS35" s="678"/>
      <c r="EPT35" s="678"/>
      <c r="EPU35" s="678"/>
      <c r="EPV35" s="678"/>
      <c r="EPW35" s="678"/>
      <c r="EPX35" s="678"/>
      <c r="EPY35" s="678"/>
      <c r="EPZ35" s="678"/>
      <c r="EQA35" s="678"/>
      <c r="EQB35" s="678"/>
      <c r="EQC35" s="678"/>
      <c r="EQD35" s="678"/>
      <c r="EQE35" s="678"/>
      <c r="EQF35" s="678"/>
      <c r="EQG35" s="678"/>
      <c r="EQH35" s="678"/>
      <c r="EQI35" s="678"/>
      <c r="EQJ35" s="678"/>
      <c r="EQK35" s="678"/>
      <c r="EQL35" s="678"/>
      <c r="EQM35" s="678"/>
      <c r="EQN35" s="678"/>
      <c r="EQO35" s="678"/>
      <c r="EQP35" s="678"/>
      <c r="EQQ35" s="678"/>
      <c r="EQR35" s="678"/>
      <c r="EQS35" s="678"/>
      <c r="EQT35" s="678"/>
      <c r="EQU35" s="678"/>
      <c r="EQV35" s="678"/>
      <c r="EQW35" s="678"/>
      <c r="EQX35" s="678"/>
      <c r="EQY35" s="678"/>
      <c r="EQZ35" s="678"/>
      <c r="ERA35" s="678"/>
      <c r="ERB35" s="678"/>
      <c r="ERC35" s="678"/>
      <c r="ERD35" s="678"/>
      <c r="ERE35" s="678"/>
      <c r="ERF35" s="678"/>
      <c r="ERG35" s="678"/>
      <c r="ERH35" s="678"/>
      <c r="ERI35" s="678"/>
      <c r="ERJ35" s="678"/>
      <c r="ERK35" s="678"/>
      <c r="ERL35" s="678"/>
      <c r="ERM35" s="678"/>
      <c r="ERN35" s="678"/>
      <c r="ERO35" s="678"/>
      <c r="ERP35" s="678"/>
      <c r="ERQ35" s="678"/>
      <c r="ERR35" s="678"/>
      <c r="ERS35" s="678"/>
      <c r="ERT35" s="678"/>
      <c r="ERU35" s="678"/>
      <c r="ERV35" s="678"/>
      <c r="ERW35" s="678"/>
      <c r="ERX35" s="678"/>
      <c r="ERY35" s="678"/>
      <c r="ERZ35" s="678"/>
      <c r="ESA35" s="678"/>
      <c r="ESB35" s="678"/>
      <c r="ESC35" s="678"/>
      <c r="ESD35" s="678"/>
      <c r="ESE35" s="678"/>
      <c r="ESF35" s="678"/>
      <c r="ESG35" s="678"/>
      <c r="ESH35" s="678"/>
      <c r="ESI35" s="678"/>
      <c r="ESJ35" s="678"/>
      <c r="ESK35" s="678"/>
      <c r="ESL35" s="678"/>
      <c r="ESM35" s="678"/>
      <c r="ESN35" s="678"/>
      <c r="ESO35" s="678"/>
      <c r="ESP35" s="678"/>
      <c r="ESQ35" s="678"/>
      <c r="ESR35" s="678"/>
      <c r="ESS35" s="678"/>
      <c r="EST35" s="678"/>
      <c r="ESU35" s="678"/>
      <c r="ESV35" s="678"/>
      <c r="ESW35" s="678"/>
      <c r="ESX35" s="678"/>
      <c r="ESY35" s="678"/>
      <c r="ESZ35" s="678"/>
      <c r="ETA35" s="678"/>
      <c r="ETB35" s="678"/>
      <c r="ETC35" s="678"/>
      <c r="ETD35" s="678"/>
      <c r="ETE35" s="678"/>
      <c r="ETF35" s="678"/>
      <c r="ETG35" s="678"/>
      <c r="ETH35" s="678"/>
      <c r="ETI35" s="678"/>
      <c r="ETJ35" s="678"/>
      <c r="ETK35" s="678"/>
      <c r="ETL35" s="678"/>
      <c r="ETM35" s="678"/>
      <c r="ETN35" s="678"/>
      <c r="ETO35" s="678"/>
      <c r="ETP35" s="678"/>
      <c r="ETQ35" s="678"/>
      <c r="ETR35" s="678"/>
      <c r="ETS35" s="678"/>
      <c r="ETT35" s="678"/>
      <c r="ETU35" s="678"/>
      <c r="ETV35" s="678"/>
      <c r="ETW35" s="678"/>
      <c r="ETX35" s="678"/>
      <c r="ETY35" s="678"/>
      <c r="ETZ35" s="678"/>
      <c r="EUA35" s="678"/>
      <c r="EUB35" s="678"/>
      <c r="EUC35" s="678"/>
      <c r="EUD35" s="678"/>
      <c r="EUE35" s="678"/>
      <c r="EUF35" s="678"/>
      <c r="EUG35" s="678"/>
      <c r="EUH35" s="678"/>
      <c r="EUI35" s="678"/>
      <c r="EUJ35" s="678"/>
      <c r="EUK35" s="678"/>
      <c r="EUL35" s="678"/>
      <c r="EUM35" s="678"/>
      <c r="EUN35" s="678"/>
      <c r="EUO35" s="678"/>
      <c r="EUP35" s="678"/>
      <c r="EUQ35" s="678"/>
      <c r="EUR35" s="678"/>
      <c r="EUS35" s="678"/>
      <c r="EUT35" s="678"/>
      <c r="EUU35" s="678"/>
      <c r="EUV35" s="678"/>
      <c r="EUW35" s="678"/>
      <c r="EUX35" s="678"/>
      <c r="EUY35" s="678"/>
      <c r="EUZ35" s="678"/>
      <c r="EVA35" s="678"/>
      <c r="EVB35" s="678"/>
      <c r="EVC35" s="678"/>
      <c r="EVD35" s="678"/>
      <c r="EVE35" s="678"/>
      <c r="EVF35" s="678"/>
      <c r="EVG35" s="678"/>
      <c r="EVH35" s="678"/>
      <c r="EVI35" s="678"/>
      <c r="EVJ35" s="678"/>
      <c r="EVK35" s="678"/>
      <c r="EVL35" s="678"/>
      <c r="EVM35" s="678"/>
      <c r="EVN35" s="678"/>
      <c r="EVO35" s="678"/>
      <c r="EVP35" s="678"/>
      <c r="EVQ35" s="678"/>
      <c r="EVR35" s="678"/>
      <c r="EVS35" s="678"/>
      <c r="EVT35" s="678"/>
      <c r="EVU35" s="678"/>
      <c r="EVV35" s="678"/>
      <c r="EVW35" s="678"/>
      <c r="EVX35" s="678"/>
      <c r="EVY35" s="678"/>
      <c r="EVZ35" s="678"/>
      <c r="EWA35" s="678"/>
      <c r="EWB35" s="678"/>
      <c r="EWC35" s="678"/>
      <c r="EWD35" s="678"/>
      <c r="EWE35" s="678"/>
      <c r="EWF35" s="678"/>
      <c r="EWG35" s="678"/>
      <c r="EWH35" s="678"/>
      <c r="EWI35" s="678"/>
      <c r="EWJ35" s="678"/>
      <c r="EWK35" s="678"/>
      <c r="EWL35" s="678"/>
      <c r="EWM35" s="678"/>
      <c r="EWN35" s="678"/>
      <c r="EWO35" s="678"/>
      <c r="EWP35" s="678"/>
      <c r="EWQ35" s="678"/>
      <c r="EWR35" s="678"/>
      <c r="EWS35" s="678"/>
      <c r="EWT35" s="678"/>
      <c r="EWU35" s="678"/>
      <c r="EWV35" s="678"/>
      <c r="EWW35" s="678"/>
      <c r="EWX35" s="678"/>
      <c r="EWY35" s="678"/>
      <c r="EWZ35" s="678"/>
      <c r="EXA35" s="678"/>
      <c r="EXB35" s="678"/>
      <c r="EXC35" s="678"/>
      <c r="EXD35" s="678"/>
      <c r="EXE35" s="678"/>
      <c r="EXF35" s="678"/>
      <c r="EXG35" s="678"/>
      <c r="EXH35" s="678"/>
      <c r="EXI35" s="678"/>
      <c r="EXJ35" s="678"/>
      <c r="EXK35" s="678"/>
      <c r="EXL35" s="678"/>
      <c r="EXM35" s="678"/>
      <c r="EXN35" s="678"/>
      <c r="EXO35" s="678"/>
      <c r="EXP35" s="678"/>
      <c r="EXQ35" s="678"/>
      <c r="EXR35" s="678"/>
      <c r="EXS35" s="678"/>
      <c r="EXT35" s="678"/>
      <c r="EXU35" s="678"/>
      <c r="EXV35" s="678"/>
      <c r="EXW35" s="678"/>
      <c r="EXX35" s="678"/>
      <c r="EXY35" s="678"/>
      <c r="EXZ35" s="678"/>
      <c r="EYA35" s="678"/>
      <c r="EYB35" s="678"/>
      <c r="EYC35" s="678"/>
      <c r="EYD35" s="678"/>
      <c r="EYE35" s="678"/>
      <c r="EYF35" s="678"/>
      <c r="EYG35" s="678"/>
      <c r="EYH35" s="678"/>
      <c r="EYI35" s="678"/>
      <c r="EYJ35" s="678"/>
      <c r="EYK35" s="678"/>
      <c r="EYL35" s="678"/>
      <c r="EYM35" s="678"/>
      <c r="EYN35" s="678"/>
      <c r="EYO35" s="678"/>
      <c r="EYP35" s="678"/>
      <c r="EYQ35" s="678"/>
      <c r="EYR35" s="678"/>
      <c r="EYS35" s="678"/>
      <c r="EYT35" s="678"/>
      <c r="EYU35" s="678"/>
      <c r="EYV35" s="678"/>
      <c r="EYW35" s="678"/>
      <c r="EYX35" s="678"/>
      <c r="EYY35" s="678"/>
      <c r="EYZ35" s="678"/>
      <c r="EZA35" s="678"/>
      <c r="EZB35" s="678"/>
      <c r="EZC35" s="678"/>
      <c r="EZD35" s="678"/>
      <c r="EZE35" s="678"/>
      <c r="EZF35" s="678"/>
      <c r="EZG35" s="678"/>
      <c r="EZH35" s="678"/>
      <c r="EZI35" s="678"/>
      <c r="EZJ35" s="678"/>
      <c r="EZK35" s="678"/>
      <c r="EZL35" s="678"/>
      <c r="EZM35" s="678"/>
      <c r="EZN35" s="678"/>
      <c r="EZO35" s="678"/>
      <c r="EZP35" s="678"/>
      <c r="EZQ35" s="678"/>
      <c r="EZR35" s="678"/>
      <c r="EZS35" s="678"/>
      <c r="EZT35" s="678"/>
      <c r="EZU35" s="678"/>
      <c r="EZV35" s="678"/>
      <c r="EZW35" s="678"/>
      <c r="EZX35" s="678"/>
      <c r="EZY35" s="678"/>
      <c r="EZZ35" s="678"/>
      <c r="FAA35" s="678"/>
      <c r="FAB35" s="678"/>
      <c r="FAC35" s="678"/>
      <c r="FAD35" s="678"/>
      <c r="FAE35" s="678"/>
      <c r="FAF35" s="678"/>
      <c r="FAG35" s="678"/>
      <c r="FAH35" s="678"/>
      <c r="FAI35" s="678"/>
      <c r="FAJ35" s="678"/>
      <c r="FAK35" s="678"/>
      <c r="FAL35" s="678"/>
      <c r="FAM35" s="678"/>
      <c r="FAN35" s="678"/>
      <c r="FAO35" s="678"/>
      <c r="FAP35" s="678"/>
      <c r="FAQ35" s="678"/>
      <c r="FAR35" s="678"/>
      <c r="FAS35" s="678"/>
      <c r="FAT35" s="678"/>
      <c r="FAU35" s="678"/>
      <c r="FAV35" s="678"/>
      <c r="FAW35" s="678"/>
      <c r="FAX35" s="678"/>
      <c r="FAY35" s="678"/>
      <c r="FAZ35" s="678"/>
      <c r="FBA35" s="678"/>
      <c r="FBB35" s="678"/>
      <c r="FBC35" s="678"/>
      <c r="FBD35" s="678"/>
      <c r="FBE35" s="678"/>
      <c r="FBF35" s="678"/>
      <c r="FBG35" s="678"/>
      <c r="FBH35" s="678"/>
      <c r="FBI35" s="678"/>
      <c r="FBJ35" s="678"/>
      <c r="FBK35" s="678"/>
      <c r="FBL35" s="678"/>
      <c r="FBM35" s="678"/>
      <c r="FBN35" s="678"/>
      <c r="FBO35" s="678"/>
      <c r="FBP35" s="678"/>
      <c r="FBQ35" s="678"/>
      <c r="FBR35" s="678"/>
      <c r="FBS35" s="678"/>
      <c r="FBT35" s="678"/>
      <c r="FBU35" s="678"/>
      <c r="FBV35" s="678"/>
      <c r="FBW35" s="678"/>
      <c r="FBX35" s="678"/>
      <c r="FBY35" s="678"/>
      <c r="FBZ35" s="678"/>
      <c r="FCA35" s="678"/>
      <c r="FCB35" s="678"/>
      <c r="FCC35" s="678"/>
      <c r="FCD35" s="678"/>
      <c r="FCE35" s="678"/>
      <c r="FCF35" s="678"/>
      <c r="FCG35" s="678"/>
      <c r="FCH35" s="678"/>
      <c r="FCI35" s="678"/>
      <c r="FCJ35" s="678"/>
      <c r="FCK35" s="678"/>
      <c r="FCL35" s="678"/>
      <c r="FCM35" s="678"/>
      <c r="FCN35" s="678"/>
      <c r="FCO35" s="678"/>
      <c r="FCP35" s="678"/>
      <c r="FCQ35" s="678"/>
      <c r="FCR35" s="678"/>
      <c r="FCS35" s="678"/>
      <c r="FCT35" s="678"/>
      <c r="FCU35" s="678"/>
      <c r="FCV35" s="678"/>
      <c r="FCW35" s="678"/>
      <c r="FCX35" s="678"/>
      <c r="FCY35" s="678"/>
      <c r="FCZ35" s="678"/>
      <c r="FDA35" s="678"/>
      <c r="FDB35" s="678"/>
      <c r="FDC35" s="678"/>
      <c r="FDD35" s="678"/>
      <c r="FDE35" s="678"/>
      <c r="FDF35" s="678"/>
      <c r="FDG35" s="678"/>
      <c r="FDH35" s="678"/>
      <c r="FDI35" s="678"/>
      <c r="FDJ35" s="678"/>
      <c r="FDK35" s="678"/>
      <c r="FDL35" s="678"/>
      <c r="FDM35" s="678"/>
      <c r="FDN35" s="678"/>
      <c r="FDO35" s="678"/>
      <c r="FDP35" s="678"/>
      <c r="FDQ35" s="678"/>
      <c r="FDR35" s="678"/>
      <c r="FDS35" s="678"/>
      <c r="FDT35" s="678"/>
      <c r="FDU35" s="678"/>
      <c r="FDV35" s="678"/>
      <c r="FDW35" s="678"/>
      <c r="FDX35" s="678"/>
      <c r="FDY35" s="678"/>
      <c r="FDZ35" s="678"/>
      <c r="FEA35" s="678"/>
      <c r="FEB35" s="678"/>
      <c r="FEC35" s="678"/>
      <c r="FED35" s="678"/>
      <c r="FEE35" s="678"/>
      <c r="FEF35" s="678"/>
      <c r="FEG35" s="678"/>
      <c r="FEH35" s="678"/>
      <c r="FEI35" s="678"/>
      <c r="FEJ35" s="678"/>
      <c r="FEK35" s="678"/>
      <c r="FEL35" s="678"/>
      <c r="FEM35" s="678"/>
      <c r="FEN35" s="678"/>
      <c r="FEO35" s="678"/>
      <c r="FEP35" s="678"/>
      <c r="FEQ35" s="678"/>
      <c r="FER35" s="678"/>
      <c r="FES35" s="678"/>
      <c r="FET35" s="678"/>
      <c r="FEU35" s="678"/>
      <c r="FEV35" s="678"/>
      <c r="FEW35" s="678"/>
      <c r="FEX35" s="678"/>
      <c r="FEY35" s="678"/>
      <c r="FEZ35" s="678"/>
      <c r="FFA35" s="678"/>
      <c r="FFB35" s="678"/>
      <c r="FFC35" s="678"/>
      <c r="FFD35" s="678"/>
      <c r="FFE35" s="678"/>
      <c r="FFF35" s="678"/>
      <c r="FFG35" s="678"/>
      <c r="FFH35" s="678"/>
      <c r="FFI35" s="678"/>
      <c r="FFJ35" s="678"/>
      <c r="FFK35" s="678"/>
      <c r="FFL35" s="678"/>
      <c r="FFM35" s="678"/>
      <c r="FFN35" s="678"/>
      <c r="FFO35" s="678"/>
      <c r="FFP35" s="678"/>
      <c r="FFQ35" s="678"/>
      <c r="FFR35" s="678"/>
      <c r="FFS35" s="678"/>
      <c r="FFT35" s="678"/>
      <c r="FFU35" s="678"/>
      <c r="FFV35" s="678"/>
      <c r="FFW35" s="678"/>
      <c r="FFX35" s="678"/>
      <c r="FFY35" s="678"/>
      <c r="FFZ35" s="678"/>
      <c r="FGA35" s="678"/>
      <c r="FGB35" s="678"/>
      <c r="FGC35" s="678"/>
      <c r="FGD35" s="678"/>
      <c r="FGE35" s="678"/>
      <c r="FGF35" s="678"/>
      <c r="FGG35" s="678"/>
      <c r="FGH35" s="678"/>
      <c r="FGI35" s="678"/>
      <c r="FGJ35" s="678"/>
      <c r="FGK35" s="678"/>
      <c r="FGL35" s="678"/>
      <c r="FGM35" s="678"/>
      <c r="FGN35" s="678"/>
      <c r="FGO35" s="678"/>
      <c r="FGP35" s="678"/>
      <c r="FGQ35" s="678"/>
      <c r="FGR35" s="678"/>
      <c r="FGS35" s="678"/>
      <c r="FGT35" s="678"/>
      <c r="FGU35" s="678"/>
      <c r="FGV35" s="678"/>
      <c r="FGW35" s="678"/>
      <c r="FGX35" s="678"/>
      <c r="FGY35" s="678"/>
      <c r="FGZ35" s="678"/>
      <c r="FHA35" s="678"/>
      <c r="FHB35" s="678"/>
      <c r="FHC35" s="678"/>
      <c r="FHD35" s="678"/>
      <c r="FHE35" s="678"/>
      <c r="FHF35" s="678"/>
      <c r="FHG35" s="678"/>
      <c r="FHH35" s="678"/>
      <c r="FHI35" s="678"/>
      <c r="FHJ35" s="678"/>
      <c r="FHK35" s="678"/>
      <c r="FHL35" s="678"/>
      <c r="FHM35" s="678"/>
      <c r="FHN35" s="678"/>
      <c r="FHO35" s="678"/>
      <c r="FHP35" s="678"/>
      <c r="FHQ35" s="678"/>
      <c r="FHR35" s="678"/>
      <c r="FHS35" s="678"/>
      <c r="FHT35" s="678"/>
      <c r="FHU35" s="678"/>
      <c r="FHV35" s="678"/>
      <c r="FHW35" s="678"/>
      <c r="FHX35" s="678"/>
      <c r="FHY35" s="678"/>
      <c r="FHZ35" s="678"/>
      <c r="FIA35" s="678"/>
      <c r="FIB35" s="678"/>
      <c r="FIC35" s="678"/>
      <c r="FID35" s="678"/>
      <c r="FIE35" s="678"/>
      <c r="FIF35" s="678"/>
      <c r="FIG35" s="678"/>
      <c r="FIH35" s="678"/>
      <c r="FII35" s="678"/>
      <c r="FIJ35" s="678"/>
      <c r="FIK35" s="678"/>
      <c r="FIL35" s="678"/>
      <c r="FIM35" s="678"/>
      <c r="FIN35" s="678"/>
      <c r="FIO35" s="678"/>
      <c r="FIP35" s="678"/>
      <c r="FIQ35" s="678"/>
      <c r="FIR35" s="678"/>
      <c r="FIS35" s="678"/>
      <c r="FIT35" s="678"/>
      <c r="FIU35" s="678"/>
      <c r="FIV35" s="678"/>
      <c r="FIW35" s="678"/>
      <c r="FIX35" s="678"/>
      <c r="FIY35" s="678"/>
      <c r="FIZ35" s="678"/>
      <c r="FJA35" s="678"/>
      <c r="FJB35" s="678"/>
      <c r="FJC35" s="678"/>
      <c r="FJD35" s="678"/>
      <c r="FJE35" s="678"/>
      <c r="FJF35" s="678"/>
      <c r="FJG35" s="678"/>
      <c r="FJH35" s="678"/>
      <c r="FJI35" s="678"/>
      <c r="FJJ35" s="678"/>
      <c r="FJK35" s="678"/>
      <c r="FJL35" s="678"/>
      <c r="FJM35" s="678"/>
      <c r="FJN35" s="678"/>
      <c r="FJO35" s="678"/>
      <c r="FJP35" s="678"/>
      <c r="FJQ35" s="678"/>
      <c r="FJR35" s="678"/>
      <c r="FJS35" s="678"/>
      <c r="FJT35" s="678"/>
      <c r="FJU35" s="678"/>
      <c r="FJV35" s="678"/>
      <c r="FJW35" s="678"/>
      <c r="FJX35" s="678"/>
      <c r="FJY35" s="678"/>
      <c r="FJZ35" s="678"/>
      <c r="FKA35" s="678"/>
      <c r="FKB35" s="678"/>
      <c r="FKC35" s="678"/>
      <c r="FKD35" s="678"/>
      <c r="FKE35" s="678"/>
      <c r="FKF35" s="678"/>
      <c r="FKG35" s="678"/>
      <c r="FKH35" s="678"/>
      <c r="FKI35" s="678"/>
      <c r="FKJ35" s="678"/>
      <c r="FKK35" s="678"/>
      <c r="FKL35" s="678"/>
      <c r="FKM35" s="678"/>
      <c r="FKN35" s="678"/>
      <c r="FKO35" s="678"/>
      <c r="FKP35" s="678"/>
      <c r="FKQ35" s="678"/>
      <c r="FKR35" s="678"/>
      <c r="FKS35" s="678"/>
      <c r="FKT35" s="678"/>
      <c r="FKU35" s="678"/>
      <c r="FKV35" s="678"/>
      <c r="FKW35" s="678"/>
      <c r="FKX35" s="678"/>
      <c r="FKY35" s="678"/>
      <c r="FKZ35" s="678"/>
      <c r="FLA35" s="678"/>
      <c r="FLB35" s="678"/>
      <c r="FLC35" s="678"/>
      <c r="FLD35" s="678"/>
      <c r="FLE35" s="678"/>
      <c r="FLF35" s="678"/>
      <c r="FLG35" s="678"/>
      <c r="FLH35" s="678"/>
      <c r="FLI35" s="678"/>
      <c r="FLJ35" s="678"/>
      <c r="FLK35" s="678"/>
      <c r="FLL35" s="678"/>
      <c r="FLM35" s="678"/>
      <c r="FLN35" s="678"/>
      <c r="FLO35" s="678"/>
      <c r="FLP35" s="678"/>
      <c r="FLQ35" s="678"/>
      <c r="FLR35" s="678"/>
      <c r="FLS35" s="678"/>
      <c r="FLT35" s="678"/>
      <c r="FLU35" s="678"/>
      <c r="FLV35" s="678"/>
      <c r="FLW35" s="678"/>
      <c r="FLX35" s="678"/>
      <c r="FLY35" s="678"/>
      <c r="FLZ35" s="678"/>
      <c r="FMA35" s="678"/>
      <c r="FMB35" s="678"/>
      <c r="FMC35" s="678"/>
      <c r="FMD35" s="678"/>
      <c r="FME35" s="678"/>
      <c r="FMF35" s="678"/>
      <c r="FMG35" s="678"/>
      <c r="FMH35" s="678"/>
      <c r="FMI35" s="678"/>
      <c r="FMJ35" s="678"/>
      <c r="FMK35" s="678"/>
      <c r="FML35" s="678"/>
      <c r="FMM35" s="678"/>
      <c r="FMN35" s="678"/>
      <c r="FMO35" s="678"/>
      <c r="FMP35" s="678"/>
      <c r="FMQ35" s="678"/>
      <c r="FMR35" s="678"/>
      <c r="FMS35" s="678"/>
      <c r="FMT35" s="678"/>
      <c r="FMU35" s="678"/>
      <c r="FMV35" s="678"/>
      <c r="FMW35" s="678"/>
      <c r="FMX35" s="678"/>
      <c r="FMY35" s="678"/>
      <c r="FMZ35" s="678"/>
      <c r="FNA35" s="678"/>
      <c r="FNB35" s="678"/>
      <c r="FNC35" s="678"/>
      <c r="FND35" s="678"/>
      <c r="FNE35" s="678"/>
      <c r="FNF35" s="678"/>
      <c r="FNG35" s="678"/>
      <c r="FNH35" s="678"/>
      <c r="FNI35" s="678"/>
      <c r="FNJ35" s="678"/>
      <c r="FNK35" s="678"/>
      <c r="FNL35" s="678"/>
      <c r="FNM35" s="678"/>
      <c r="FNN35" s="678"/>
      <c r="FNO35" s="678"/>
      <c r="FNP35" s="678"/>
      <c r="FNQ35" s="678"/>
      <c r="FNR35" s="678"/>
      <c r="FNS35" s="678"/>
      <c r="FNT35" s="678"/>
      <c r="FNU35" s="678"/>
      <c r="FNV35" s="678"/>
      <c r="FNW35" s="678"/>
      <c r="FNX35" s="678"/>
      <c r="FNY35" s="678"/>
      <c r="FNZ35" s="678"/>
      <c r="FOA35" s="678"/>
      <c r="FOB35" s="678"/>
      <c r="FOC35" s="678"/>
      <c r="FOD35" s="678"/>
      <c r="FOE35" s="678"/>
      <c r="FOF35" s="678"/>
      <c r="FOG35" s="678"/>
      <c r="FOH35" s="678"/>
      <c r="FOI35" s="678"/>
      <c r="FOJ35" s="678"/>
      <c r="FOK35" s="678"/>
      <c r="FOL35" s="678"/>
      <c r="FOM35" s="678"/>
      <c r="FON35" s="678"/>
      <c r="FOO35" s="678"/>
      <c r="FOP35" s="678"/>
      <c r="FOQ35" s="678"/>
      <c r="FOR35" s="678"/>
      <c r="FOS35" s="678"/>
      <c r="FOT35" s="678"/>
      <c r="FOU35" s="678"/>
      <c r="FOV35" s="678"/>
      <c r="FOW35" s="678"/>
      <c r="FOX35" s="678"/>
      <c r="FOY35" s="678"/>
      <c r="FOZ35" s="678"/>
      <c r="FPA35" s="678"/>
      <c r="FPB35" s="678"/>
      <c r="FPC35" s="678"/>
      <c r="FPD35" s="678"/>
      <c r="FPE35" s="678"/>
      <c r="FPF35" s="678"/>
      <c r="FPG35" s="678"/>
      <c r="FPH35" s="678"/>
      <c r="FPI35" s="678"/>
      <c r="FPJ35" s="678"/>
      <c r="FPK35" s="678"/>
      <c r="FPL35" s="678"/>
      <c r="FPM35" s="678"/>
      <c r="FPN35" s="678"/>
      <c r="FPO35" s="678"/>
      <c r="FPP35" s="678"/>
      <c r="FPQ35" s="678"/>
      <c r="FPR35" s="678"/>
      <c r="FPS35" s="678"/>
      <c r="FPT35" s="678"/>
      <c r="FPU35" s="678"/>
      <c r="FPV35" s="678"/>
      <c r="FPW35" s="678"/>
      <c r="FPX35" s="678"/>
      <c r="FPY35" s="678"/>
      <c r="FPZ35" s="678"/>
      <c r="FQA35" s="678"/>
      <c r="FQB35" s="678"/>
      <c r="FQC35" s="678"/>
      <c r="FQD35" s="678"/>
      <c r="FQE35" s="678"/>
      <c r="FQF35" s="678"/>
      <c r="FQG35" s="678"/>
      <c r="FQH35" s="678"/>
      <c r="FQI35" s="678"/>
      <c r="FQJ35" s="678"/>
      <c r="FQK35" s="678"/>
      <c r="FQL35" s="678"/>
      <c r="FQM35" s="678"/>
      <c r="FQN35" s="678"/>
      <c r="FQO35" s="678"/>
      <c r="FQP35" s="678"/>
      <c r="FQQ35" s="678"/>
      <c r="FQR35" s="678"/>
      <c r="FQS35" s="678"/>
      <c r="FQT35" s="678"/>
      <c r="FQU35" s="678"/>
      <c r="FQV35" s="678"/>
      <c r="FQW35" s="678"/>
      <c r="FQX35" s="678"/>
      <c r="FQY35" s="678"/>
      <c r="FQZ35" s="678"/>
      <c r="FRA35" s="678"/>
      <c r="FRB35" s="678"/>
      <c r="FRC35" s="678"/>
      <c r="FRD35" s="678"/>
      <c r="FRE35" s="678"/>
      <c r="FRF35" s="678"/>
      <c r="FRG35" s="678"/>
      <c r="FRH35" s="678"/>
      <c r="FRI35" s="678"/>
      <c r="FRJ35" s="678"/>
      <c r="FRK35" s="678"/>
      <c r="FRL35" s="678"/>
      <c r="FRM35" s="678"/>
      <c r="FRN35" s="678"/>
      <c r="FRO35" s="678"/>
      <c r="FRP35" s="678"/>
      <c r="FRQ35" s="678"/>
      <c r="FRR35" s="678"/>
      <c r="FRS35" s="678"/>
      <c r="FRT35" s="678"/>
      <c r="FRU35" s="678"/>
      <c r="FRV35" s="678"/>
      <c r="FRW35" s="678"/>
      <c r="FRX35" s="678"/>
      <c r="FRY35" s="678"/>
      <c r="FRZ35" s="678"/>
      <c r="FSA35" s="678"/>
      <c r="FSB35" s="678"/>
      <c r="FSC35" s="678"/>
      <c r="FSD35" s="678"/>
      <c r="FSE35" s="678"/>
      <c r="FSF35" s="678"/>
      <c r="FSG35" s="678"/>
      <c r="FSH35" s="678"/>
      <c r="FSI35" s="678"/>
      <c r="FSJ35" s="678"/>
      <c r="FSK35" s="678"/>
      <c r="FSL35" s="678"/>
      <c r="FSM35" s="678"/>
      <c r="FSN35" s="678"/>
      <c r="FSO35" s="678"/>
      <c r="FSP35" s="678"/>
      <c r="FSQ35" s="678"/>
      <c r="FSR35" s="678"/>
      <c r="FSS35" s="678"/>
      <c r="FST35" s="678"/>
      <c r="FSU35" s="678"/>
      <c r="FSV35" s="678"/>
      <c r="FSW35" s="678"/>
      <c r="FSX35" s="678"/>
      <c r="FSY35" s="678"/>
      <c r="FSZ35" s="678"/>
      <c r="FTA35" s="678"/>
      <c r="FTB35" s="678"/>
      <c r="FTC35" s="678"/>
      <c r="FTD35" s="678"/>
      <c r="FTE35" s="678"/>
      <c r="FTF35" s="678"/>
      <c r="FTG35" s="678"/>
      <c r="FTH35" s="678"/>
      <c r="FTI35" s="678"/>
      <c r="FTJ35" s="678"/>
      <c r="FTK35" s="678"/>
      <c r="FTL35" s="678"/>
      <c r="FTM35" s="678"/>
      <c r="FTN35" s="678"/>
      <c r="FTO35" s="678"/>
      <c r="FTP35" s="678"/>
      <c r="FTQ35" s="678"/>
      <c r="FTR35" s="678"/>
      <c r="FTS35" s="678"/>
      <c r="FTT35" s="678"/>
      <c r="FTU35" s="678"/>
      <c r="FTV35" s="678"/>
      <c r="FTW35" s="678"/>
      <c r="FTX35" s="678"/>
      <c r="FTY35" s="678"/>
      <c r="FTZ35" s="678"/>
      <c r="FUA35" s="678"/>
      <c r="FUB35" s="678"/>
      <c r="FUC35" s="678"/>
      <c r="FUD35" s="678"/>
      <c r="FUE35" s="678"/>
      <c r="FUF35" s="678"/>
      <c r="FUG35" s="678"/>
      <c r="FUH35" s="678"/>
      <c r="FUI35" s="678"/>
      <c r="FUJ35" s="678"/>
      <c r="FUK35" s="678"/>
      <c r="FUL35" s="678"/>
      <c r="FUM35" s="678"/>
      <c r="FUN35" s="678"/>
      <c r="FUO35" s="678"/>
      <c r="FUP35" s="678"/>
      <c r="FUQ35" s="678"/>
      <c r="FUR35" s="678"/>
      <c r="FUS35" s="678"/>
      <c r="FUT35" s="678"/>
      <c r="FUU35" s="678"/>
      <c r="FUV35" s="678"/>
      <c r="FUW35" s="678"/>
      <c r="FUX35" s="678"/>
      <c r="FUY35" s="678"/>
      <c r="FUZ35" s="678"/>
      <c r="FVA35" s="678"/>
      <c r="FVB35" s="678"/>
      <c r="FVC35" s="678"/>
      <c r="FVD35" s="678"/>
      <c r="FVE35" s="678"/>
      <c r="FVF35" s="678"/>
      <c r="FVG35" s="678"/>
      <c r="FVH35" s="678"/>
      <c r="FVI35" s="678"/>
      <c r="FVJ35" s="678"/>
      <c r="FVK35" s="678"/>
      <c r="FVL35" s="678"/>
      <c r="FVM35" s="678"/>
      <c r="FVN35" s="678"/>
      <c r="FVO35" s="678"/>
      <c r="FVP35" s="678"/>
      <c r="FVQ35" s="678"/>
      <c r="FVR35" s="678"/>
      <c r="FVS35" s="678"/>
      <c r="FVT35" s="678"/>
      <c r="FVU35" s="678"/>
      <c r="FVV35" s="678"/>
      <c r="FVW35" s="678"/>
      <c r="FVX35" s="678"/>
      <c r="FVY35" s="678"/>
      <c r="FVZ35" s="678"/>
      <c r="FWA35" s="678"/>
      <c r="FWB35" s="678"/>
      <c r="FWC35" s="678"/>
      <c r="FWD35" s="678"/>
      <c r="FWE35" s="678"/>
      <c r="FWF35" s="678"/>
      <c r="FWG35" s="678"/>
      <c r="FWH35" s="678"/>
      <c r="FWI35" s="678"/>
      <c r="FWJ35" s="678"/>
      <c r="FWK35" s="678"/>
      <c r="FWL35" s="678"/>
      <c r="FWM35" s="678"/>
      <c r="FWN35" s="678"/>
      <c r="FWO35" s="678"/>
      <c r="FWP35" s="678"/>
      <c r="FWQ35" s="678"/>
      <c r="FWR35" s="678"/>
      <c r="FWS35" s="678"/>
      <c r="FWT35" s="678"/>
      <c r="FWU35" s="678"/>
      <c r="FWV35" s="678"/>
      <c r="FWW35" s="678"/>
      <c r="FWX35" s="678"/>
      <c r="FWY35" s="678"/>
      <c r="FWZ35" s="678"/>
      <c r="FXA35" s="678"/>
      <c r="FXB35" s="678"/>
      <c r="FXC35" s="678"/>
      <c r="FXD35" s="678"/>
      <c r="FXE35" s="678"/>
      <c r="FXF35" s="678"/>
      <c r="FXG35" s="678"/>
      <c r="FXH35" s="678"/>
      <c r="FXI35" s="678"/>
      <c r="FXJ35" s="678"/>
      <c r="FXK35" s="678"/>
      <c r="FXL35" s="678"/>
      <c r="FXM35" s="678"/>
      <c r="FXN35" s="678"/>
      <c r="FXO35" s="678"/>
      <c r="FXP35" s="678"/>
      <c r="FXQ35" s="678"/>
      <c r="FXR35" s="678"/>
      <c r="FXS35" s="678"/>
      <c r="FXT35" s="678"/>
      <c r="FXU35" s="678"/>
      <c r="FXV35" s="678"/>
      <c r="FXW35" s="678"/>
      <c r="FXX35" s="678"/>
      <c r="FXY35" s="678"/>
      <c r="FXZ35" s="678"/>
      <c r="FYA35" s="678"/>
      <c r="FYB35" s="678"/>
      <c r="FYC35" s="678"/>
      <c r="FYD35" s="678"/>
      <c r="FYE35" s="678"/>
      <c r="FYF35" s="678"/>
      <c r="FYG35" s="678"/>
      <c r="FYH35" s="678"/>
      <c r="FYI35" s="678"/>
      <c r="FYJ35" s="678"/>
      <c r="FYK35" s="678"/>
      <c r="FYL35" s="678"/>
      <c r="FYM35" s="678"/>
      <c r="FYN35" s="678"/>
      <c r="FYO35" s="678"/>
      <c r="FYP35" s="678"/>
      <c r="FYQ35" s="678"/>
      <c r="FYR35" s="678"/>
      <c r="FYS35" s="678"/>
      <c r="FYT35" s="678"/>
      <c r="FYU35" s="678"/>
      <c r="FYV35" s="678"/>
      <c r="FYW35" s="678"/>
      <c r="FYX35" s="678"/>
      <c r="FYY35" s="678"/>
      <c r="FYZ35" s="678"/>
      <c r="FZA35" s="678"/>
      <c r="FZB35" s="678"/>
      <c r="FZC35" s="678"/>
      <c r="FZD35" s="678"/>
      <c r="FZE35" s="678"/>
      <c r="FZF35" s="678"/>
      <c r="FZG35" s="678"/>
      <c r="FZH35" s="678"/>
      <c r="FZI35" s="678"/>
      <c r="FZJ35" s="678"/>
      <c r="FZK35" s="678"/>
      <c r="FZL35" s="678"/>
      <c r="FZM35" s="678"/>
      <c r="FZN35" s="678"/>
      <c r="FZO35" s="678"/>
      <c r="FZP35" s="678"/>
      <c r="FZQ35" s="678"/>
      <c r="FZR35" s="678"/>
      <c r="FZS35" s="678"/>
      <c r="FZT35" s="678"/>
      <c r="FZU35" s="678"/>
      <c r="FZV35" s="678"/>
      <c r="FZW35" s="678"/>
      <c r="FZX35" s="678"/>
      <c r="FZY35" s="678"/>
      <c r="FZZ35" s="678"/>
      <c r="GAA35" s="678"/>
      <c r="GAB35" s="678"/>
      <c r="GAC35" s="678"/>
      <c r="GAD35" s="678"/>
      <c r="GAE35" s="678"/>
      <c r="GAF35" s="678"/>
      <c r="GAG35" s="678"/>
      <c r="GAH35" s="678"/>
      <c r="GAI35" s="678"/>
      <c r="GAJ35" s="678"/>
      <c r="GAK35" s="678"/>
      <c r="GAL35" s="678"/>
      <c r="GAM35" s="678"/>
      <c r="GAN35" s="678"/>
      <c r="GAO35" s="678"/>
      <c r="GAP35" s="678"/>
      <c r="GAQ35" s="678"/>
      <c r="GAR35" s="678"/>
      <c r="GAS35" s="678"/>
      <c r="GAT35" s="678"/>
      <c r="GAU35" s="678"/>
      <c r="GAV35" s="678"/>
      <c r="GAW35" s="678"/>
      <c r="GAX35" s="678"/>
      <c r="GAY35" s="678"/>
      <c r="GAZ35" s="678"/>
      <c r="GBA35" s="678"/>
      <c r="GBB35" s="678"/>
      <c r="GBC35" s="678"/>
      <c r="GBD35" s="678"/>
      <c r="GBE35" s="678"/>
      <c r="GBF35" s="678"/>
      <c r="GBG35" s="678"/>
      <c r="GBH35" s="678"/>
      <c r="GBI35" s="678"/>
      <c r="GBJ35" s="678"/>
      <c r="GBK35" s="678"/>
      <c r="GBL35" s="678"/>
      <c r="GBM35" s="678"/>
      <c r="GBN35" s="678"/>
      <c r="GBO35" s="678"/>
      <c r="GBP35" s="678"/>
      <c r="GBQ35" s="678"/>
      <c r="GBR35" s="678"/>
      <c r="GBS35" s="678"/>
      <c r="GBT35" s="678"/>
      <c r="GBU35" s="678"/>
      <c r="GBV35" s="678"/>
      <c r="GBW35" s="678"/>
      <c r="GBX35" s="678"/>
      <c r="GBY35" s="678"/>
      <c r="GBZ35" s="678"/>
      <c r="GCA35" s="678"/>
      <c r="GCB35" s="678"/>
      <c r="GCC35" s="678"/>
      <c r="GCD35" s="678"/>
      <c r="GCE35" s="678"/>
      <c r="GCF35" s="678"/>
      <c r="GCG35" s="678"/>
      <c r="GCH35" s="678"/>
      <c r="GCI35" s="678"/>
      <c r="GCJ35" s="678"/>
      <c r="GCK35" s="678"/>
      <c r="GCL35" s="678"/>
      <c r="GCM35" s="678"/>
      <c r="GCN35" s="678"/>
      <c r="GCO35" s="678"/>
      <c r="GCP35" s="678"/>
      <c r="GCQ35" s="678"/>
      <c r="GCR35" s="678"/>
      <c r="GCS35" s="678"/>
      <c r="GCT35" s="678"/>
      <c r="GCU35" s="678"/>
      <c r="GCV35" s="678"/>
      <c r="GCW35" s="678"/>
      <c r="GCX35" s="678"/>
      <c r="GCY35" s="678"/>
      <c r="GCZ35" s="678"/>
      <c r="GDA35" s="678"/>
      <c r="GDB35" s="678"/>
      <c r="GDC35" s="678"/>
      <c r="GDD35" s="678"/>
      <c r="GDE35" s="678"/>
      <c r="GDF35" s="678"/>
      <c r="GDG35" s="678"/>
      <c r="GDH35" s="678"/>
      <c r="GDI35" s="678"/>
      <c r="GDJ35" s="678"/>
      <c r="GDK35" s="678"/>
      <c r="GDL35" s="678"/>
      <c r="GDM35" s="678"/>
      <c r="GDN35" s="678"/>
      <c r="GDO35" s="678"/>
      <c r="GDP35" s="678"/>
      <c r="GDQ35" s="678"/>
      <c r="GDR35" s="678"/>
      <c r="GDS35" s="678"/>
      <c r="GDT35" s="678"/>
      <c r="GDU35" s="678"/>
      <c r="GDV35" s="678"/>
      <c r="GDW35" s="678"/>
      <c r="GDX35" s="678"/>
      <c r="GDY35" s="678"/>
      <c r="GDZ35" s="678"/>
      <c r="GEA35" s="678"/>
      <c r="GEB35" s="678"/>
      <c r="GEC35" s="678"/>
      <c r="GED35" s="678"/>
      <c r="GEE35" s="678"/>
      <c r="GEF35" s="678"/>
      <c r="GEG35" s="678"/>
      <c r="GEH35" s="678"/>
      <c r="GEI35" s="678"/>
      <c r="GEJ35" s="678"/>
      <c r="GEK35" s="678"/>
      <c r="GEL35" s="678"/>
      <c r="GEM35" s="678"/>
      <c r="GEN35" s="678"/>
      <c r="GEO35" s="678"/>
      <c r="GEP35" s="678"/>
      <c r="GEQ35" s="678"/>
      <c r="GER35" s="678"/>
      <c r="GES35" s="678"/>
      <c r="GET35" s="678"/>
      <c r="GEU35" s="678"/>
      <c r="GEV35" s="678"/>
      <c r="GEW35" s="678"/>
      <c r="GEX35" s="678"/>
      <c r="GEY35" s="678"/>
      <c r="GEZ35" s="678"/>
      <c r="GFA35" s="678"/>
      <c r="GFB35" s="678"/>
      <c r="GFC35" s="678"/>
      <c r="GFD35" s="678"/>
      <c r="GFE35" s="678"/>
      <c r="GFF35" s="678"/>
      <c r="GFG35" s="678"/>
      <c r="GFH35" s="678"/>
      <c r="GFI35" s="678"/>
      <c r="GFJ35" s="678"/>
      <c r="GFK35" s="678"/>
      <c r="GFL35" s="678"/>
      <c r="GFM35" s="678"/>
      <c r="GFN35" s="678"/>
      <c r="GFO35" s="678"/>
      <c r="GFP35" s="678"/>
      <c r="GFQ35" s="678"/>
      <c r="GFR35" s="678"/>
      <c r="GFS35" s="678"/>
      <c r="GFT35" s="678"/>
      <c r="GFU35" s="678"/>
      <c r="GFV35" s="678"/>
      <c r="GFW35" s="678"/>
      <c r="GFX35" s="678"/>
      <c r="GFY35" s="678"/>
      <c r="GFZ35" s="678"/>
      <c r="GGA35" s="678"/>
      <c r="GGB35" s="678"/>
      <c r="GGC35" s="678"/>
      <c r="GGD35" s="678"/>
      <c r="GGE35" s="678"/>
      <c r="GGF35" s="678"/>
      <c r="GGG35" s="678"/>
      <c r="GGH35" s="678"/>
      <c r="GGI35" s="678"/>
      <c r="GGJ35" s="678"/>
      <c r="GGK35" s="678"/>
      <c r="GGL35" s="678"/>
      <c r="GGM35" s="678"/>
      <c r="GGN35" s="678"/>
      <c r="GGO35" s="678"/>
      <c r="GGP35" s="678"/>
      <c r="GGQ35" s="678"/>
      <c r="GGR35" s="678"/>
      <c r="GGS35" s="678"/>
      <c r="GGT35" s="678"/>
      <c r="GGU35" s="678"/>
      <c r="GGV35" s="678"/>
      <c r="GGW35" s="678"/>
      <c r="GGX35" s="678"/>
      <c r="GGY35" s="678"/>
      <c r="GGZ35" s="678"/>
      <c r="GHA35" s="678"/>
      <c r="GHB35" s="678"/>
      <c r="GHC35" s="678"/>
      <c r="GHD35" s="678"/>
      <c r="GHE35" s="678"/>
      <c r="GHF35" s="678"/>
      <c r="GHG35" s="678"/>
      <c r="GHH35" s="678"/>
      <c r="GHI35" s="678"/>
      <c r="GHJ35" s="678"/>
      <c r="GHK35" s="678"/>
      <c r="GHL35" s="678"/>
      <c r="GHM35" s="678"/>
      <c r="GHN35" s="678"/>
      <c r="GHO35" s="678"/>
      <c r="GHP35" s="678"/>
      <c r="GHQ35" s="678"/>
      <c r="GHR35" s="678"/>
      <c r="GHS35" s="678"/>
      <c r="GHT35" s="678"/>
      <c r="GHU35" s="678"/>
      <c r="GHV35" s="678"/>
      <c r="GHW35" s="678"/>
      <c r="GHX35" s="678"/>
      <c r="GHY35" s="678"/>
      <c r="GHZ35" s="678"/>
      <c r="GIA35" s="678"/>
      <c r="GIB35" s="678"/>
      <c r="GIC35" s="678"/>
      <c r="GID35" s="678"/>
      <c r="GIE35" s="678"/>
      <c r="GIF35" s="678"/>
      <c r="GIG35" s="678"/>
      <c r="GIH35" s="678"/>
      <c r="GII35" s="678"/>
      <c r="GIJ35" s="678"/>
      <c r="GIK35" s="678"/>
      <c r="GIL35" s="678"/>
      <c r="GIM35" s="678"/>
      <c r="GIN35" s="678"/>
      <c r="GIO35" s="678"/>
      <c r="GIP35" s="678"/>
      <c r="GIQ35" s="678"/>
      <c r="GIR35" s="678"/>
      <c r="GIS35" s="678"/>
      <c r="GIT35" s="678"/>
      <c r="GIU35" s="678"/>
      <c r="GIV35" s="678"/>
      <c r="GIW35" s="678"/>
      <c r="GIX35" s="678"/>
      <c r="GIY35" s="678"/>
      <c r="GIZ35" s="678"/>
      <c r="GJA35" s="678"/>
      <c r="GJB35" s="678"/>
      <c r="GJC35" s="678"/>
      <c r="GJD35" s="678"/>
      <c r="GJE35" s="678"/>
      <c r="GJF35" s="678"/>
      <c r="GJG35" s="678"/>
      <c r="GJH35" s="678"/>
      <c r="GJI35" s="678"/>
      <c r="GJJ35" s="678"/>
      <c r="GJK35" s="678"/>
      <c r="GJL35" s="678"/>
      <c r="GJM35" s="678"/>
      <c r="GJN35" s="678"/>
      <c r="GJO35" s="678"/>
      <c r="GJP35" s="678"/>
      <c r="GJQ35" s="678"/>
      <c r="GJR35" s="678"/>
      <c r="GJS35" s="678"/>
      <c r="GJT35" s="678"/>
      <c r="GJU35" s="678"/>
      <c r="GJV35" s="678"/>
      <c r="GJW35" s="678"/>
      <c r="GJX35" s="678"/>
      <c r="GJY35" s="678"/>
      <c r="GJZ35" s="678"/>
      <c r="GKA35" s="678"/>
      <c r="GKB35" s="678"/>
      <c r="GKC35" s="678"/>
      <c r="GKD35" s="678"/>
      <c r="GKE35" s="678"/>
      <c r="GKF35" s="678"/>
      <c r="GKG35" s="678"/>
      <c r="GKH35" s="678"/>
      <c r="GKI35" s="678"/>
      <c r="GKJ35" s="678"/>
      <c r="GKK35" s="678"/>
      <c r="GKL35" s="678"/>
      <c r="GKM35" s="678"/>
      <c r="GKN35" s="678"/>
      <c r="GKO35" s="678"/>
      <c r="GKP35" s="678"/>
      <c r="GKQ35" s="678"/>
      <c r="GKR35" s="678"/>
      <c r="GKS35" s="678"/>
      <c r="GKT35" s="678"/>
      <c r="GKU35" s="678"/>
      <c r="GKV35" s="678"/>
      <c r="GKW35" s="678"/>
      <c r="GKX35" s="678"/>
      <c r="GKY35" s="678"/>
      <c r="GKZ35" s="678"/>
      <c r="GLA35" s="678"/>
      <c r="GLB35" s="678"/>
      <c r="GLC35" s="678"/>
      <c r="GLD35" s="678"/>
      <c r="GLE35" s="678"/>
      <c r="GLF35" s="678"/>
      <c r="GLG35" s="678"/>
      <c r="GLH35" s="678"/>
      <c r="GLI35" s="678"/>
      <c r="GLJ35" s="678"/>
      <c r="GLK35" s="678"/>
      <c r="GLL35" s="678"/>
      <c r="GLM35" s="678"/>
      <c r="GLN35" s="678"/>
      <c r="GLO35" s="678"/>
      <c r="GLP35" s="678"/>
      <c r="GLQ35" s="678"/>
      <c r="GLR35" s="678"/>
      <c r="GLS35" s="678"/>
      <c r="GLT35" s="678"/>
      <c r="GLU35" s="678"/>
      <c r="GLV35" s="678"/>
      <c r="GLW35" s="678"/>
      <c r="GLX35" s="678"/>
      <c r="GLY35" s="678"/>
      <c r="GLZ35" s="678"/>
      <c r="GMA35" s="678"/>
      <c r="GMB35" s="678"/>
      <c r="GMC35" s="678"/>
      <c r="GMD35" s="678"/>
      <c r="GME35" s="678"/>
      <c r="GMF35" s="678"/>
      <c r="GMG35" s="678"/>
      <c r="GMH35" s="678"/>
      <c r="GMI35" s="678"/>
      <c r="GMJ35" s="678"/>
      <c r="GMK35" s="678"/>
      <c r="GML35" s="678"/>
      <c r="GMM35" s="678"/>
      <c r="GMN35" s="678"/>
      <c r="GMO35" s="678"/>
      <c r="GMP35" s="678"/>
      <c r="GMQ35" s="678"/>
      <c r="GMR35" s="678"/>
      <c r="GMS35" s="678"/>
      <c r="GMT35" s="678"/>
      <c r="GMU35" s="678"/>
      <c r="GMV35" s="678"/>
      <c r="GMW35" s="678"/>
      <c r="GMX35" s="678"/>
      <c r="GMY35" s="678"/>
      <c r="GMZ35" s="678"/>
      <c r="GNA35" s="678"/>
      <c r="GNB35" s="678"/>
      <c r="GNC35" s="678"/>
      <c r="GND35" s="678"/>
      <c r="GNE35" s="678"/>
      <c r="GNF35" s="678"/>
      <c r="GNG35" s="678"/>
      <c r="GNH35" s="678"/>
      <c r="GNI35" s="678"/>
      <c r="GNJ35" s="678"/>
      <c r="GNK35" s="678"/>
      <c r="GNL35" s="678"/>
      <c r="GNM35" s="678"/>
      <c r="GNN35" s="678"/>
      <c r="GNO35" s="678"/>
      <c r="GNP35" s="678"/>
      <c r="GNQ35" s="678"/>
      <c r="GNR35" s="678"/>
      <c r="GNS35" s="678"/>
      <c r="GNT35" s="678"/>
      <c r="GNU35" s="678"/>
      <c r="GNV35" s="678"/>
      <c r="GNW35" s="678"/>
      <c r="GNX35" s="678"/>
      <c r="GNY35" s="678"/>
      <c r="GNZ35" s="678"/>
      <c r="GOA35" s="678"/>
      <c r="GOB35" s="678"/>
      <c r="GOC35" s="678"/>
      <c r="GOD35" s="678"/>
      <c r="GOE35" s="678"/>
      <c r="GOF35" s="678"/>
      <c r="GOG35" s="678"/>
      <c r="GOH35" s="678"/>
      <c r="GOI35" s="678"/>
      <c r="GOJ35" s="678"/>
      <c r="GOK35" s="678"/>
      <c r="GOL35" s="678"/>
      <c r="GOM35" s="678"/>
      <c r="GON35" s="678"/>
      <c r="GOO35" s="678"/>
      <c r="GOP35" s="678"/>
      <c r="GOQ35" s="678"/>
      <c r="GOR35" s="678"/>
      <c r="GOS35" s="678"/>
      <c r="GOT35" s="678"/>
      <c r="GOU35" s="678"/>
      <c r="GOV35" s="678"/>
      <c r="GOW35" s="678"/>
      <c r="GOX35" s="678"/>
      <c r="GOY35" s="678"/>
      <c r="GOZ35" s="678"/>
      <c r="GPA35" s="678"/>
      <c r="GPB35" s="678"/>
      <c r="GPC35" s="678"/>
      <c r="GPD35" s="678"/>
      <c r="GPE35" s="678"/>
      <c r="GPF35" s="678"/>
      <c r="GPG35" s="678"/>
      <c r="GPH35" s="678"/>
      <c r="GPI35" s="678"/>
      <c r="GPJ35" s="678"/>
      <c r="GPK35" s="678"/>
      <c r="GPL35" s="678"/>
      <c r="GPM35" s="678"/>
      <c r="GPN35" s="678"/>
      <c r="GPO35" s="678"/>
      <c r="GPP35" s="678"/>
      <c r="GPQ35" s="678"/>
      <c r="GPR35" s="678"/>
      <c r="GPS35" s="678"/>
      <c r="GPT35" s="678"/>
      <c r="GPU35" s="678"/>
      <c r="GPV35" s="678"/>
      <c r="GPW35" s="678"/>
      <c r="GPX35" s="678"/>
      <c r="GPY35" s="678"/>
      <c r="GPZ35" s="678"/>
      <c r="GQA35" s="678"/>
      <c r="GQB35" s="678"/>
      <c r="GQC35" s="678"/>
      <c r="GQD35" s="678"/>
      <c r="GQE35" s="678"/>
      <c r="GQF35" s="678"/>
      <c r="GQG35" s="678"/>
      <c r="GQH35" s="678"/>
      <c r="GQI35" s="678"/>
      <c r="GQJ35" s="678"/>
      <c r="GQK35" s="678"/>
      <c r="GQL35" s="678"/>
      <c r="GQM35" s="678"/>
      <c r="GQN35" s="678"/>
      <c r="GQO35" s="678"/>
      <c r="GQP35" s="678"/>
      <c r="GQQ35" s="678"/>
      <c r="GQR35" s="678"/>
      <c r="GQS35" s="678"/>
      <c r="GQT35" s="678"/>
      <c r="GQU35" s="678"/>
      <c r="GQV35" s="678"/>
      <c r="GQW35" s="678"/>
      <c r="GQX35" s="678"/>
      <c r="GQY35" s="678"/>
      <c r="GQZ35" s="678"/>
      <c r="GRA35" s="678"/>
      <c r="GRB35" s="678"/>
      <c r="GRC35" s="678"/>
      <c r="GRD35" s="678"/>
      <c r="GRE35" s="678"/>
      <c r="GRF35" s="678"/>
      <c r="GRG35" s="678"/>
      <c r="GRH35" s="678"/>
      <c r="GRI35" s="678"/>
      <c r="GRJ35" s="678"/>
      <c r="GRK35" s="678"/>
      <c r="GRL35" s="678"/>
      <c r="GRM35" s="678"/>
      <c r="GRN35" s="678"/>
      <c r="GRO35" s="678"/>
      <c r="GRP35" s="678"/>
      <c r="GRQ35" s="678"/>
      <c r="GRR35" s="678"/>
      <c r="GRS35" s="678"/>
      <c r="GRT35" s="678"/>
      <c r="GRU35" s="678"/>
      <c r="GRV35" s="678"/>
      <c r="GRW35" s="678"/>
      <c r="GRX35" s="678"/>
      <c r="GRY35" s="678"/>
      <c r="GRZ35" s="678"/>
      <c r="GSA35" s="678"/>
      <c r="GSB35" s="678"/>
      <c r="GSC35" s="678"/>
      <c r="GSD35" s="678"/>
      <c r="GSE35" s="678"/>
      <c r="GSF35" s="678"/>
      <c r="GSG35" s="678"/>
      <c r="GSH35" s="678"/>
      <c r="GSI35" s="678"/>
      <c r="GSJ35" s="678"/>
      <c r="GSK35" s="678"/>
      <c r="GSL35" s="678"/>
      <c r="GSM35" s="678"/>
      <c r="GSN35" s="678"/>
      <c r="GSO35" s="678"/>
      <c r="GSP35" s="678"/>
      <c r="GSQ35" s="678"/>
      <c r="GSR35" s="678"/>
      <c r="GSS35" s="678"/>
      <c r="GST35" s="678"/>
      <c r="GSU35" s="678"/>
      <c r="GSV35" s="678"/>
      <c r="GSW35" s="678"/>
      <c r="GSX35" s="678"/>
      <c r="GSY35" s="678"/>
      <c r="GSZ35" s="678"/>
      <c r="GTA35" s="678"/>
      <c r="GTB35" s="678"/>
      <c r="GTC35" s="678"/>
      <c r="GTD35" s="678"/>
      <c r="GTE35" s="678"/>
      <c r="GTF35" s="678"/>
      <c r="GTG35" s="678"/>
      <c r="GTH35" s="678"/>
      <c r="GTI35" s="678"/>
      <c r="GTJ35" s="678"/>
      <c r="GTK35" s="678"/>
      <c r="GTL35" s="678"/>
      <c r="GTM35" s="678"/>
      <c r="GTN35" s="678"/>
      <c r="GTO35" s="678"/>
      <c r="GTP35" s="678"/>
      <c r="GTQ35" s="678"/>
      <c r="GTR35" s="678"/>
      <c r="GTS35" s="678"/>
      <c r="GTT35" s="678"/>
      <c r="GTU35" s="678"/>
      <c r="GTV35" s="678"/>
      <c r="GTW35" s="678"/>
      <c r="GTX35" s="678"/>
      <c r="GTY35" s="678"/>
      <c r="GTZ35" s="678"/>
      <c r="GUA35" s="678"/>
      <c r="GUB35" s="678"/>
      <c r="GUC35" s="678"/>
      <c r="GUD35" s="678"/>
      <c r="GUE35" s="678"/>
      <c r="GUF35" s="678"/>
      <c r="GUG35" s="678"/>
      <c r="GUH35" s="678"/>
      <c r="GUI35" s="678"/>
      <c r="GUJ35" s="678"/>
      <c r="GUK35" s="678"/>
      <c r="GUL35" s="678"/>
      <c r="GUM35" s="678"/>
      <c r="GUN35" s="678"/>
      <c r="GUO35" s="678"/>
      <c r="GUP35" s="678"/>
      <c r="GUQ35" s="678"/>
      <c r="GUR35" s="678"/>
      <c r="GUS35" s="678"/>
      <c r="GUT35" s="678"/>
      <c r="GUU35" s="678"/>
      <c r="GUV35" s="678"/>
      <c r="GUW35" s="678"/>
      <c r="GUX35" s="678"/>
      <c r="GUY35" s="678"/>
      <c r="GUZ35" s="678"/>
      <c r="GVA35" s="678"/>
      <c r="GVB35" s="678"/>
      <c r="GVC35" s="678"/>
      <c r="GVD35" s="678"/>
      <c r="GVE35" s="678"/>
      <c r="GVF35" s="678"/>
      <c r="GVG35" s="678"/>
      <c r="GVH35" s="678"/>
      <c r="GVI35" s="678"/>
      <c r="GVJ35" s="678"/>
      <c r="GVK35" s="678"/>
      <c r="GVL35" s="678"/>
      <c r="GVM35" s="678"/>
      <c r="GVN35" s="678"/>
      <c r="GVO35" s="678"/>
      <c r="GVP35" s="678"/>
      <c r="GVQ35" s="678"/>
      <c r="GVR35" s="678"/>
      <c r="GVS35" s="678"/>
      <c r="GVT35" s="678"/>
      <c r="GVU35" s="678"/>
      <c r="GVV35" s="678"/>
      <c r="GVW35" s="678"/>
      <c r="GVX35" s="678"/>
      <c r="GVY35" s="678"/>
      <c r="GVZ35" s="678"/>
      <c r="GWA35" s="678"/>
      <c r="GWB35" s="678"/>
      <c r="GWC35" s="678"/>
      <c r="GWD35" s="678"/>
      <c r="GWE35" s="678"/>
      <c r="GWF35" s="678"/>
      <c r="GWG35" s="678"/>
      <c r="GWH35" s="678"/>
      <c r="GWI35" s="678"/>
      <c r="GWJ35" s="678"/>
      <c r="GWK35" s="678"/>
      <c r="GWL35" s="678"/>
      <c r="GWM35" s="678"/>
      <c r="GWN35" s="678"/>
      <c r="GWO35" s="678"/>
      <c r="GWP35" s="678"/>
      <c r="GWQ35" s="678"/>
      <c r="GWR35" s="678"/>
      <c r="GWS35" s="678"/>
      <c r="GWT35" s="678"/>
      <c r="GWU35" s="678"/>
      <c r="GWV35" s="678"/>
      <c r="GWW35" s="678"/>
      <c r="GWX35" s="678"/>
      <c r="GWY35" s="678"/>
      <c r="GWZ35" s="678"/>
      <c r="GXA35" s="678"/>
      <c r="GXB35" s="678"/>
      <c r="GXC35" s="678"/>
      <c r="GXD35" s="678"/>
      <c r="GXE35" s="678"/>
      <c r="GXF35" s="678"/>
      <c r="GXG35" s="678"/>
      <c r="GXH35" s="678"/>
      <c r="GXI35" s="678"/>
      <c r="GXJ35" s="678"/>
      <c r="GXK35" s="678"/>
      <c r="GXL35" s="678"/>
      <c r="GXM35" s="678"/>
      <c r="GXN35" s="678"/>
      <c r="GXO35" s="678"/>
      <c r="GXP35" s="678"/>
      <c r="GXQ35" s="678"/>
      <c r="GXR35" s="678"/>
      <c r="GXS35" s="678"/>
      <c r="GXT35" s="678"/>
      <c r="GXU35" s="678"/>
      <c r="GXV35" s="678"/>
      <c r="GXW35" s="678"/>
      <c r="GXX35" s="678"/>
      <c r="GXY35" s="678"/>
      <c r="GXZ35" s="678"/>
      <c r="GYA35" s="678"/>
      <c r="GYB35" s="678"/>
      <c r="GYC35" s="678"/>
      <c r="GYD35" s="678"/>
      <c r="GYE35" s="678"/>
      <c r="GYF35" s="678"/>
      <c r="GYG35" s="678"/>
      <c r="GYH35" s="678"/>
      <c r="GYI35" s="678"/>
      <c r="GYJ35" s="678"/>
      <c r="GYK35" s="678"/>
      <c r="GYL35" s="678"/>
      <c r="GYM35" s="678"/>
      <c r="GYN35" s="678"/>
      <c r="GYO35" s="678"/>
      <c r="GYP35" s="678"/>
      <c r="GYQ35" s="678"/>
      <c r="GYR35" s="678"/>
      <c r="GYS35" s="678"/>
      <c r="GYT35" s="678"/>
      <c r="GYU35" s="678"/>
      <c r="GYV35" s="678"/>
      <c r="GYW35" s="678"/>
      <c r="GYX35" s="678"/>
      <c r="GYY35" s="678"/>
      <c r="GYZ35" s="678"/>
      <c r="GZA35" s="678"/>
      <c r="GZB35" s="678"/>
      <c r="GZC35" s="678"/>
      <c r="GZD35" s="678"/>
      <c r="GZE35" s="678"/>
      <c r="GZF35" s="678"/>
      <c r="GZG35" s="678"/>
      <c r="GZH35" s="678"/>
      <c r="GZI35" s="678"/>
      <c r="GZJ35" s="678"/>
      <c r="GZK35" s="678"/>
      <c r="GZL35" s="678"/>
      <c r="GZM35" s="678"/>
      <c r="GZN35" s="678"/>
      <c r="GZO35" s="678"/>
      <c r="GZP35" s="678"/>
      <c r="GZQ35" s="678"/>
      <c r="GZR35" s="678"/>
      <c r="GZS35" s="678"/>
      <c r="GZT35" s="678"/>
      <c r="GZU35" s="678"/>
      <c r="GZV35" s="678"/>
      <c r="GZW35" s="678"/>
      <c r="GZX35" s="678"/>
      <c r="GZY35" s="678"/>
      <c r="GZZ35" s="678"/>
      <c r="HAA35" s="678"/>
      <c r="HAB35" s="678"/>
      <c r="HAC35" s="678"/>
      <c r="HAD35" s="678"/>
      <c r="HAE35" s="678"/>
      <c r="HAF35" s="678"/>
      <c r="HAG35" s="678"/>
      <c r="HAH35" s="678"/>
      <c r="HAI35" s="678"/>
      <c r="HAJ35" s="678"/>
      <c r="HAK35" s="678"/>
      <c r="HAL35" s="678"/>
      <c r="HAM35" s="678"/>
      <c r="HAN35" s="678"/>
      <c r="HAO35" s="678"/>
      <c r="HAP35" s="678"/>
      <c r="HAQ35" s="678"/>
      <c r="HAR35" s="678"/>
      <c r="HAS35" s="678"/>
      <c r="HAT35" s="678"/>
      <c r="HAU35" s="678"/>
      <c r="HAV35" s="678"/>
      <c r="HAW35" s="678"/>
      <c r="HAX35" s="678"/>
      <c r="HAY35" s="678"/>
      <c r="HAZ35" s="678"/>
      <c r="HBA35" s="678"/>
      <c r="HBB35" s="678"/>
      <c r="HBC35" s="678"/>
      <c r="HBD35" s="678"/>
      <c r="HBE35" s="678"/>
      <c r="HBF35" s="678"/>
      <c r="HBG35" s="678"/>
      <c r="HBH35" s="678"/>
      <c r="HBI35" s="678"/>
      <c r="HBJ35" s="678"/>
      <c r="HBK35" s="678"/>
      <c r="HBL35" s="678"/>
      <c r="HBM35" s="678"/>
      <c r="HBN35" s="678"/>
      <c r="HBO35" s="678"/>
      <c r="HBP35" s="678"/>
      <c r="HBQ35" s="678"/>
      <c r="HBR35" s="678"/>
      <c r="HBS35" s="678"/>
      <c r="HBT35" s="678"/>
      <c r="HBU35" s="678"/>
      <c r="HBV35" s="678"/>
      <c r="HBW35" s="678"/>
      <c r="HBX35" s="678"/>
      <c r="HBY35" s="678"/>
      <c r="HBZ35" s="678"/>
      <c r="HCA35" s="678"/>
      <c r="HCB35" s="678"/>
      <c r="HCC35" s="678"/>
      <c r="HCD35" s="678"/>
      <c r="HCE35" s="678"/>
      <c r="HCF35" s="678"/>
      <c r="HCG35" s="678"/>
      <c r="HCH35" s="678"/>
      <c r="HCI35" s="678"/>
      <c r="HCJ35" s="678"/>
      <c r="HCK35" s="678"/>
      <c r="HCL35" s="678"/>
      <c r="HCM35" s="678"/>
      <c r="HCN35" s="678"/>
      <c r="HCO35" s="678"/>
      <c r="HCP35" s="678"/>
      <c r="HCQ35" s="678"/>
      <c r="HCR35" s="678"/>
      <c r="HCS35" s="678"/>
      <c r="HCT35" s="678"/>
      <c r="HCU35" s="678"/>
      <c r="HCV35" s="678"/>
      <c r="HCW35" s="678"/>
      <c r="HCX35" s="678"/>
      <c r="HCY35" s="678"/>
      <c r="HCZ35" s="678"/>
      <c r="HDA35" s="678"/>
      <c r="HDB35" s="678"/>
      <c r="HDC35" s="678"/>
      <c r="HDD35" s="678"/>
      <c r="HDE35" s="678"/>
      <c r="HDF35" s="678"/>
      <c r="HDG35" s="678"/>
      <c r="HDH35" s="678"/>
      <c r="HDI35" s="678"/>
      <c r="HDJ35" s="678"/>
      <c r="HDK35" s="678"/>
      <c r="HDL35" s="678"/>
      <c r="HDM35" s="678"/>
      <c r="HDN35" s="678"/>
      <c r="HDO35" s="678"/>
      <c r="HDP35" s="678"/>
      <c r="HDQ35" s="678"/>
      <c r="HDR35" s="678"/>
      <c r="HDS35" s="678"/>
      <c r="HDT35" s="678"/>
      <c r="HDU35" s="678"/>
      <c r="HDV35" s="678"/>
      <c r="HDW35" s="678"/>
      <c r="HDX35" s="678"/>
      <c r="HDY35" s="678"/>
      <c r="HDZ35" s="678"/>
      <c r="HEA35" s="678"/>
      <c r="HEB35" s="678"/>
      <c r="HEC35" s="678"/>
      <c r="HED35" s="678"/>
      <c r="HEE35" s="678"/>
      <c r="HEF35" s="678"/>
      <c r="HEG35" s="678"/>
      <c r="HEH35" s="678"/>
      <c r="HEI35" s="678"/>
      <c r="HEJ35" s="678"/>
      <c r="HEK35" s="678"/>
      <c r="HEL35" s="678"/>
      <c r="HEM35" s="678"/>
      <c r="HEN35" s="678"/>
      <c r="HEO35" s="678"/>
      <c r="HEP35" s="678"/>
      <c r="HEQ35" s="678"/>
      <c r="HER35" s="678"/>
      <c r="HES35" s="678"/>
      <c r="HET35" s="678"/>
      <c r="HEU35" s="678"/>
      <c r="HEV35" s="678"/>
      <c r="HEW35" s="678"/>
      <c r="HEX35" s="678"/>
      <c r="HEY35" s="678"/>
      <c r="HEZ35" s="678"/>
      <c r="HFA35" s="678"/>
      <c r="HFB35" s="678"/>
      <c r="HFC35" s="678"/>
      <c r="HFD35" s="678"/>
      <c r="HFE35" s="678"/>
      <c r="HFF35" s="678"/>
      <c r="HFG35" s="678"/>
      <c r="HFH35" s="678"/>
      <c r="HFI35" s="678"/>
      <c r="HFJ35" s="678"/>
      <c r="HFK35" s="678"/>
      <c r="HFL35" s="678"/>
      <c r="HFM35" s="678"/>
      <c r="HFN35" s="678"/>
      <c r="HFO35" s="678"/>
      <c r="HFP35" s="678"/>
      <c r="HFQ35" s="678"/>
      <c r="HFR35" s="678"/>
      <c r="HFS35" s="678"/>
      <c r="HFT35" s="678"/>
      <c r="HFU35" s="678"/>
      <c r="HFV35" s="678"/>
      <c r="HFW35" s="678"/>
      <c r="HFX35" s="678"/>
      <c r="HFY35" s="678"/>
      <c r="HFZ35" s="678"/>
      <c r="HGA35" s="678"/>
      <c r="HGB35" s="678"/>
      <c r="HGC35" s="678"/>
      <c r="HGD35" s="678"/>
      <c r="HGE35" s="678"/>
      <c r="HGF35" s="678"/>
      <c r="HGG35" s="678"/>
      <c r="HGH35" s="678"/>
      <c r="HGI35" s="678"/>
      <c r="HGJ35" s="678"/>
      <c r="HGK35" s="678"/>
      <c r="HGL35" s="678"/>
      <c r="HGM35" s="678"/>
      <c r="HGN35" s="678"/>
      <c r="HGO35" s="678"/>
      <c r="HGP35" s="678"/>
      <c r="HGQ35" s="678"/>
      <c r="HGR35" s="678"/>
      <c r="HGS35" s="678"/>
      <c r="HGT35" s="678"/>
      <c r="HGU35" s="678"/>
      <c r="HGV35" s="678"/>
      <c r="HGW35" s="678"/>
      <c r="HGX35" s="678"/>
      <c r="HGY35" s="678"/>
      <c r="HGZ35" s="678"/>
      <c r="HHA35" s="678"/>
      <c r="HHB35" s="678"/>
      <c r="HHC35" s="678"/>
      <c r="HHD35" s="678"/>
      <c r="HHE35" s="678"/>
      <c r="HHF35" s="678"/>
      <c r="HHG35" s="678"/>
      <c r="HHH35" s="678"/>
      <c r="HHI35" s="678"/>
      <c r="HHJ35" s="678"/>
      <c r="HHK35" s="678"/>
      <c r="HHL35" s="678"/>
      <c r="HHM35" s="678"/>
      <c r="HHN35" s="678"/>
      <c r="HHO35" s="678"/>
      <c r="HHP35" s="678"/>
      <c r="HHQ35" s="678"/>
      <c r="HHR35" s="678"/>
      <c r="HHS35" s="678"/>
      <c r="HHT35" s="678"/>
      <c r="HHU35" s="678"/>
      <c r="HHV35" s="678"/>
      <c r="HHW35" s="678"/>
      <c r="HHX35" s="678"/>
      <c r="HHY35" s="678"/>
      <c r="HHZ35" s="678"/>
      <c r="HIA35" s="678"/>
      <c r="HIB35" s="678"/>
      <c r="HIC35" s="678"/>
      <c r="HID35" s="678"/>
      <c r="HIE35" s="678"/>
      <c r="HIF35" s="678"/>
      <c r="HIG35" s="678"/>
      <c r="HIH35" s="678"/>
      <c r="HII35" s="678"/>
      <c r="HIJ35" s="678"/>
      <c r="HIK35" s="678"/>
      <c r="HIL35" s="678"/>
      <c r="HIM35" s="678"/>
      <c r="HIN35" s="678"/>
      <c r="HIO35" s="678"/>
      <c r="HIP35" s="678"/>
      <c r="HIQ35" s="678"/>
      <c r="HIR35" s="678"/>
      <c r="HIS35" s="678"/>
      <c r="HIT35" s="678"/>
      <c r="HIU35" s="678"/>
      <c r="HIV35" s="678"/>
      <c r="HIW35" s="678"/>
      <c r="HIX35" s="678"/>
      <c r="HIY35" s="678"/>
      <c r="HIZ35" s="678"/>
      <c r="HJA35" s="678"/>
      <c r="HJB35" s="678"/>
      <c r="HJC35" s="678"/>
      <c r="HJD35" s="678"/>
      <c r="HJE35" s="678"/>
      <c r="HJF35" s="678"/>
      <c r="HJG35" s="678"/>
      <c r="HJH35" s="678"/>
      <c r="HJI35" s="678"/>
      <c r="HJJ35" s="678"/>
      <c r="HJK35" s="678"/>
      <c r="HJL35" s="678"/>
      <c r="HJM35" s="678"/>
      <c r="HJN35" s="678"/>
      <c r="HJO35" s="678"/>
      <c r="HJP35" s="678"/>
      <c r="HJQ35" s="678"/>
      <c r="HJR35" s="678"/>
      <c r="HJS35" s="678"/>
      <c r="HJT35" s="678"/>
      <c r="HJU35" s="678"/>
      <c r="HJV35" s="678"/>
      <c r="HJW35" s="678"/>
      <c r="HJX35" s="678"/>
      <c r="HJY35" s="678"/>
      <c r="HJZ35" s="678"/>
      <c r="HKA35" s="678"/>
      <c r="HKB35" s="678"/>
      <c r="HKC35" s="678"/>
      <c r="HKD35" s="678"/>
      <c r="HKE35" s="678"/>
      <c r="HKF35" s="678"/>
      <c r="HKG35" s="678"/>
      <c r="HKH35" s="678"/>
      <c r="HKI35" s="678"/>
      <c r="HKJ35" s="678"/>
      <c r="HKK35" s="678"/>
      <c r="HKL35" s="678"/>
      <c r="HKM35" s="678"/>
      <c r="HKN35" s="678"/>
      <c r="HKO35" s="678"/>
      <c r="HKP35" s="678"/>
      <c r="HKQ35" s="678"/>
      <c r="HKR35" s="678"/>
      <c r="HKS35" s="678"/>
      <c r="HKT35" s="678"/>
      <c r="HKU35" s="678"/>
      <c r="HKV35" s="678"/>
      <c r="HKW35" s="678"/>
      <c r="HKX35" s="678"/>
      <c r="HKY35" s="678"/>
      <c r="HKZ35" s="678"/>
      <c r="HLA35" s="678"/>
      <c r="HLB35" s="678"/>
      <c r="HLC35" s="678"/>
      <c r="HLD35" s="678"/>
      <c r="HLE35" s="678"/>
      <c r="HLF35" s="678"/>
      <c r="HLG35" s="678"/>
      <c r="HLH35" s="678"/>
      <c r="HLI35" s="678"/>
      <c r="HLJ35" s="678"/>
      <c r="HLK35" s="678"/>
      <c r="HLL35" s="678"/>
      <c r="HLM35" s="678"/>
      <c r="HLN35" s="678"/>
      <c r="HLO35" s="678"/>
      <c r="HLP35" s="678"/>
      <c r="HLQ35" s="678"/>
      <c r="HLR35" s="678"/>
      <c r="HLS35" s="678"/>
      <c r="HLT35" s="678"/>
      <c r="HLU35" s="678"/>
      <c r="HLV35" s="678"/>
      <c r="HLW35" s="678"/>
      <c r="HLX35" s="678"/>
      <c r="HLY35" s="678"/>
      <c r="HLZ35" s="678"/>
      <c r="HMA35" s="678"/>
      <c r="HMB35" s="678"/>
      <c r="HMC35" s="678"/>
      <c r="HMD35" s="678"/>
      <c r="HME35" s="678"/>
      <c r="HMF35" s="678"/>
      <c r="HMG35" s="678"/>
      <c r="HMH35" s="678"/>
      <c r="HMI35" s="678"/>
      <c r="HMJ35" s="678"/>
      <c r="HMK35" s="678"/>
      <c r="HML35" s="678"/>
      <c r="HMM35" s="678"/>
      <c r="HMN35" s="678"/>
      <c r="HMO35" s="678"/>
      <c r="HMP35" s="678"/>
      <c r="HMQ35" s="678"/>
      <c r="HMR35" s="678"/>
      <c r="HMS35" s="678"/>
      <c r="HMT35" s="678"/>
      <c r="HMU35" s="678"/>
      <c r="HMV35" s="678"/>
      <c r="HMW35" s="678"/>
      <c r="HMX35" s="678"/>
      <c r="HMY35" s="678"/>
      <c r="HMZ35" s="678"/>
      <c r="HNA35" s="678"/>
      <c r="HNB35" s="678"/>
      <c r="HNC35" s="678"/>
      <c r="HND35" s="678"/>
      <c r="HNE35" s="678"/>
      <c r="HNF35" s="678"/>
      <c r="HNG35" s="678"/>
      <c r="HNH35" s="678"/>
      <c r="HNI35" s="678"/>
      <c r="HNJ35" s="678"/>
      <c r="HNK35" s="678"/>
      <c r="HNL35" s="678"/>
      <c r="HNM35" s="678"/>
      <c r="HNN35" s="678"/>
      <c r="HNO35" s="678"/>
      <c r="HNP35" s="678"/>
      <c r="HNQ35" s="678"/>
      <c r="HNR35" s="678"/>
      <c r="HNS35" s="678"/>
      <c r="HNT35" s="678"/>
      <c r="HNU35" s="678"/>
      <c r="HNV35" s="678"/>
      <c r="HNW35" s="678"/>
      <c r="HNX35" s="678"/>
      <c r="HNY35" s="678"/>
      <c r="HNZ35" s="678"/>
      <c r="HOA35" s="678"/>
      <c r="HOB35" s="678"/>
      <c r="HOC35" s="678"/>
      <c r="HOD35" s="678"/>
      <c r="HOE35" s="678"/>
      <c r="HOF35" s="678"/>
      <c r="HOG35" s="678"/>
      <c r="HOH35" s="678"/>
      <c r="HOI35" s="678"/>
      <c r="HOJ35" s="678"/>
      <c r="HOK35" s="678"/>
      <c r="HOL35" s="678"/>
      <c r="HOM35" s="678"/>
      <c r="HON35" s="678"/>
      <c r="HOO35" s="678"/>
      <c r="HOP35" s="678"/>
      <c r="HOQ35" s="678"/>
      <c r="HOR35" s="678"/>
      <c r="HOS35" s="678"/>
      <c r="HOT35" s="678"/>
      <c r="HOU35" s="678"/>
      <c r="HOV35" s="678"/>
      <c r="HOW35" s="678"/>
      <c r="HOX35" s="678"/>
      <c r="HOY35" s="678"/>
      <c r="HOZ35" s="678"/>
      <c r="HPA35" s="678"/>
      <c r="HPB35" s="678"/>
      <c r="HPC35" s="678"/>
      <c r="HPD35" s="678"/>
      <c r="HPE35" s="678"/>
      <c r="HPF35" s="678"/>
      <c r="HPG35" s="678"/>
      <c r="HPH35" s="678"/>
      <c r="HPI35" s="678"/>
      <c r="HPJ35" s="678"/>
      <c r="HPK35" s="678"/>
      <c r="HPL35" s="678"/>
      <c r="HPM35" s="678"/>
      <c r="HPN35" s="678"/>
      <c r="HPO35" s="678"/>
      <c r="HPP35" s="678"/>
      <c r="HPQ35" s="678"/>
      <c r="HPR35" s="678"/>
      <c r="HPS35" s="678"/>
      <c r="HPT35" s="678"/>
      <c r="HPU35" s="678"/>
      <c r="HPV35" s="678"/>
      <c r="HPW35" s="678"/>
      <c r="HPX35" s="678"/>
      <c r="HPY35" s="678"/>
      <c r="HPZ35" s="678"/>
      <c r="HQA35" s="678"/>
      <c r="HQB35" s="678"/>
      <c r="HQC35" s="678"/>
      <c r="HQD35" s="678"/>
      <c r="HQE35" s="678"/>
      <c r="HQF35" s="678"/>
      <c r="HQG35" s="678"/>
      <c r="HQH35" s="678"/>
      <c r="HQI35" s="678"/>
      <c r="HQJ35" s="678"/>
      <c r="HQK35" s="678"/>
      <c r="HQL35" s="678"/>
      <c r="HQM35" s="678"/>
      <c r="HQN35" s="678"/>
      <c r="HQO35" s="678"/>
      <c r="HQP35" s="678"/>
      <c r="HQQ35" s="678"/>
      <c r="HQR35" s="678"/>
      <c r="HQS35" s="678"/>
      <c r="HQT35" s="678"/>
      <c r="HQU35" s="678"/>
      <c r="HQV35" s="678"/>
      <c r="HQW35" s="678"/>
      <c r="HQX35" s="678"/>
      <c r="HQY35" s="678"/>
      <c r="HQZ35" s="678"/>
      <c r="HRA35" s="678"/>
      <c r="HRB35" s="678"/>
      <c r="HRC35" s="678"/>
      <c r="HRD35" s="678"/>
      <c r="HRE35" s="678"/>
      <c r="HRF35" s="678"/>
      <c r="HRG35" s="678"/>
      <c r="HRH35" s="678"/>
      <c r="HRI35" s="678"/>
      <c r="HRJ35" s="678"/>
      <c r="HRK35" s="678"/>
      <c r="HRL35" s="678"/>
      <c r="HRM35" s="678"/>
      <c r="HRN35" s="678"/>
      <c r="HRO35" s="678"/>
      <c r="HRP35" s="678"/>
      <c r="HRQ35" s="678"/>
      <c r="HRR35" s="678"/>
      <c r="HRS35" s="678"/>
      <c r="HRT35" s="678"/>
      <c r="HRU35" s="678"/>
      <c r="HRV35" s="678"/>
      <c r="HRW35" s="678"/>
      <c r="HRX35" s="678"/>
      <c r="HRY35" s="678"/>
      <c r="HRZ35" s="678"/>
      <c r="HSA35" s="678"/>
      <c r="HSB35" s="678"/>
      <c r="HSC35" s="678"/>
      <c r="HSD35" s="678"/>
      <c r="HSE35" s="678"/>
      <c r="HSF35" s="678"/>
      <c r="HSG35" s="678"/>
      <c r="HSH35" s="678"/>
      <c r="HSI35" s="678"/>
      <c r="HSJ35" s="678"/>
      <c r="HSK35" s="678"/>
      <c r="HSL35" s="678"/>
      <c r="HSM35" s="678"/>
      <c r="HSN35" s="678"/>
      <c r="HSO35" s="678"/>
      <c r="HSP35" s="678"/>
      <c r="HSQ35" s="678"/>
      <c r="HSR35" s="678"/>
      <c r="HSS35" s="678"/>
      <c r="HST35" s="678"/>
      <c r="HSU35" s="678"/>
      <c r="HSV35" s="678"/>
      <c r="HSW35" s="678"/>
      <c r="HSX35" s="678"/>
      <c r="HSY35" s="678"/>
      <c r="HSZ35" s="678"/>
      <c r="HTA35" s="678"/>
      <c r="HTB35" s="678"/>
      <c r="HTC35" s="678"/>
      <c r="HTD35" s="678"/>
      <c r="HTE35" s="678"/>
      <c r="HTF35" s="678"/>
      <c r="HTG35" s="678"/>
      <c r="HTH35" s="678"/>
      <c r="HTI35" s="678"/>
      <c r="HTJ35" s="678"/>
      <c r="HTK35" s="678"/>
      <c r="HTL35" s="678"/>
      <c r="HTM35" s="678"/>
      <c r="HTN35" s="678"/>
      <c r="HTO35" s="678"/>
      <c r="HTP35" s="678"/>
      <c r="HTQ35" s="678"/>
      <c r="HTR35" s="678"/>
      <c r="HTS35" s="678"/>
      <c r="HTT35" s="678"/>
      <c r="HTU35" s="678"/>
      <c r="HTV35" s="678"/>
      <c r="HTW35" s="678"/>
      <c r="HTX35" s="678"/>
      <c r="HTY35" s="678"/>
      <c r="HTZ35" s="678"/>
      <c r="HUA35" s="678"/>
      <c r="HUB35" s="678"/>
      <c r="HUC35" s="678"/>
      <c r="HUD35" s="678"/>
      <c r="HUE35" s="678"/>
      <c r="HUF35" s="678"/>
      <c r="HUG35" s="678"/>
      <c r="HUH35" s="678"/>
      <c r="HUI35" s="678"/>
      <c r="HUJ35" s="678"/>
      <c r="HUK35" s="678"/>
      <c r="HUL35" s="678"/>
      <c r="HUM35" s="678"/>
      <c r="HUN35" s="678"/>
      <c r="HUO35" s="678"/>
      <c r="HUP35" s="678"/>
      <c r="HUQ35" s="678"/>
      <c r="HUR35" s="678"/>
      <c r="HUS35" s="678"/>
      <c r="HUT35" s="678"/>
      <c r="HUU35" s="678"/>
      <c r="HUV35" s="678"/>
      <c r="HUW35" s="678"/>
      <c r="HUX35" s="678"/>
      <c r="HUY35" s="678"/>
      <c r="HUZ35" s="678"/>
      <c r="HVA35" s="678"/>
      <c r="HVB35" s="678"/>
      <c r="HVC35" s="678"/>
      <c r="HVD35" s="678"/>
      <c r="HVE35" s="678"/>
      <c r="HVF35" s="678"/>
      <c r="HVG35" s="678"/>
      <c r="HVH35" s="678"/>
      <c r="HVI35" s="678"/>
      <c r="HVJ35" s="678"/>
      <c r="HVK35" s="678"/>
      <c r="HVL35" s="678"/>
      <c r="HVM35" s="678"/>
      <c r="HVN35" s="678"/>
      <c r="HVO35" s="678"/>
      <c r="HVP35" s="678"/>
      <c r="HVQ35" s="678"/>
      <c r="HVR35" s="678"/>
      <c r="HVS35" s="678"/>
      <c r="HVT35" s="678"/>
      <c r="HVU35" s="678"/>
      <c r="HVV35" s="678"/>
      <c r="HVW35" s="678"/>
      <c r="HVX35" s="678"/>
      <c r="HVY35" s="678"/>
      <c r="HVZ35" s="678"/>
      <c r="HWA35" s="678"/>
      <c r="HWB35" s="678"/>
      <c r="HWC35" s="678"/>
      <c r="HWD35" s="678"/>
      <c r="HWE35" s="678"/>
      <c r="HWF35" s="678"/>
      <c r="HWG35" s="678"/>
      <c r="HWH35" s="678"/>
      <c r="HWI35" s="678"/>
      <c r="HWJ35" s="678"/>
      <c r="HWK35" s="678"/>
      <c r="HWL35" s="678"/>
      <c r="HWM35" s="678"/>
      <c r="HWN35" s="678"/>
      <c r="HWO35" s="678"/>
      <c r="HWP35" s="678"/>
      <c r="HWQ35" s="678"/>
      <c r="HWR35" s="678"/>
      <c r="HWS35" s="678"/>
      <c r="HWT35" s="678"/>
      <c r="HWU35" s="678"/>
      <c r="HWV35" s="678"/>
      <c r="HWW35" s="678"/>
      <c r="HWX35" s="678"/>
      <c r="HWY35" s="678"/>
      <c r="HWZ35" s="678"/>
      <c r="HXA35" s="678"/>
      <c r="HXB35" s="678"/>
      <c r="HXC35" s="678"/>
      <c r="HXD35" s="678"/>
      <c r="HXE35" s="678"/>
      <c r="HXF35" s="678"/>
      <c r="HXG35" s="678"/>
      <c r="HXH35" s="678"/>
      <c r="HXI35" s="678"/>
      <c r="HXJ35" s="678"/>
      <c r="HXK35" s="678"/>
      <c r="HXL35" s="678"/>
      <c r="HXM35" s="678"/>
      <c r="HXN35" s="678"/>
      <c r="HXO35" s="678"/>
      <c r="HXP35" s="678"/>
      <c r="HXQ35" s="678"/>
      <c r="HXR35" s="678"/>
      <c r="HXS35" s="678"/>
      <c r="HXT35" s="678"/>
      <c r="HXU35" s="678"/>
      <c r="HXV35" s="678"/>
      <c r="HXW35" s="678"/>
      <c r="HXX35" s="678"/>
      <c r="HXY35" s="678"/>
      <c r="HXZ35" s="678"/>
      <c r="HYA35" s="678"/>
      <c r="HYB35" s="678"/>
      <c r="HYC35" s="678"/>
      <c r="HYD35" s="678"/>
      <c r="HYE35" s="678"/>
      <c r="HYF35" s="678"/>
      <c r="HYG35" s="678"/>
      <c r="HYH35" s="678"/>
      <c r="HYI35" s="678"/>
      <c r="HYJ35" s="678"/>
      <c r="HYK35" s="678"/>
      <c r="HYL35" s="678"/>
      <c r="HYM35" s="678"/>
      <c r="HYN35" s="678"/>
      <c r="HYO35" s="678"/>
      <c r="HYP35" s="678"/>
      <c r="HYQ35" s="678"/>
      <c r="HYR35" s="678"/>
      <c r="HYS35" s="678"/>
      <c r="HYT35" s="678"/>
      <c r="HYU35" s="678"/>
      <c r="HYV35" s="678"/>
      <c r="HYW35" s="678"/>
      <c r="HYX35" s="678"/>
      <c r="HYY35" s="678"/>
      <c r="HYZ35" s="678"/>
      <c r="HZA35" s="678"/>
      <c r="HZB35" s="678"/>
      <c r="HZC35" s="678"/>
      <c r="HZD35" s="678"/>
      <c r="HZE35" s="678"/>
      <c r="HZF35" s="678"/>
      <c r="HZG35" s="678"/>
      <c r="HZH35" s="678"/>
      <c r="HZI35" s="678"/>
      <c r="HZJ35" s="678"/>
      <c r="HZK35" s="678"/>
      <c r="HZL35" s="678"/>
      <c r="HZM35" s="678"/>
      <c r="HZN35" s="678"/>
      <c r="HZO35" s="678"/>
      <c r="HZP35" s="678"/>
      <c r="HZQ35" s="678"/>
      <c r="HZR35" s="678"/>
      <c r="HZS35" s="678"/>
      <c r="HZT35" s="678"/>
      <c r="HZU35" s="678"/>
      <c r="HZV35" s="678"/>
      <c r="HZW35" s="678"/>
      <c r="HZX35" s="678"/>
      <c r="HZY35" s="678"/>
      <c r="HZZ35" s="678"/>
      <c r="IAA35" s="678"/>
      <c r="IAB35" s="678"/>
      <c r="IAC35" s="678"/>
      <c r="IAD35" s="678"/>
      <c r="IAE35" s="678"/>
      <c r="IAF35" s="678"/>
      <c r="IAG35" s="678"/>
      <c r="IAH35" s="678"/>
      <c r="IAI35" s="678"/>
      <c r="IAJ35" s="678"/>
      <c r="IAK35" s="678"/>
      <c r="IAL35" s="678"/>
      <c r="IAM35" s="678"/>
      <c r="IAN35" s="678"/>
      <c r="IAO35" s="678"/>
      <c r="IAP35" s="678"/>
      <c r="IAQ35" s="678"/>
      <c r="IAR35" s="678"/>
      <c r="IAS35" s="678"/>
      <c r="IAT35" s="678"/>
      <c r="IAU35" s="678"/>
      <c r="IAV35" s="678"/>
      <c r="IAW35" s="678"/>
      <c r="IAX35" s="678"/>
      <c r="IAY35" s="678"/>
      <c r="IAZ35" s="678"/>
      <c r="IBA35" s="678"/>
      <c r="IBB35" s="678"/>
      <c r="IBC35" s="678"/>
      <c r="IBD35" s="678"/>
      <c r="IBE35" s="678"/>
      <c r="IBF35" s="678"/>
      <c r="IBG35" s="678"/>
      <c r="IBH35" s="678"/>
      <c r="IBI35" s="678"/>
      <c r="IBJ35" s="678"/>
      <c r="IBK35" s="678"/>
      <c r="IBL35" s="678"/>
      <c r="IBM35" s="678"/>
      <c r="IBN35" s="678"/>
      <c r="IBO35" s="678"/>
      <c r="IBP35" s="678"/>
      <c r="IBQ35" s="678"/>
      <c r="IBR35" s="678"/>
      <c r="IBS35" s="678"/>
      <c r="IBT35" s="678"/>
      <c r="IBU35" s="678"/>
      <c r="IBV35" s="678"/>
      <c r="IBW35" s="678"/>
      <c r="IBX35" s="678"/>
      <c r="IBY35" s="678"/>
      <c r="IBZ35" s="678"/>
      <c r="ICA35" s="678"/>
      <c r="ICB35" s="678"/>
      <c r="ICC35" s="678"/>
      <c r="ICD35" s="678"/>
      <c r="ICE35" s="678"/>
      <c r="ICF35" s="678"/>
      <c r="ICG35" s="678"/>
      <c r="ICH35" s="678"/>
      <c r="ICI35" s="678"/>
      <c r="ICJ35" s="678"/>
      <c r="ICK35" s="678"/>
      <c r="ICL35" s="678"/>
      <c r="ICM35" s="678"/>
      <c r="ICN35" s="678"/>
      <c r="ICO35" s="678"/>
      <c r="ICP35" s="678"/>
      <c r="ICQ35" s="678"/>
      <c r="ICR35" s="678"/>
      <c r="ICS35" s="678"/>
      <c r="ICT35" s="678"/>
      <c r="ICU35" s="678"/>
      <c r="ICV35" s="678"/>
      <c r="ICW35" s="678"/>
      <c r="ICX35" s="678"/>
      <c r="ICY35" s="678"/>
      <c r="ICZ35" s="678"/>
      <c r="IDA35" s="678"/>
      <c r="IDB35" s="678"/>
      <c r="IDC35" s="678"/>
      <c r="IDD35" s="678"/>
      <c r="IDE35" s="678"/>
      <c r="IDF35" s="678"/>
      <c r="IDG35" s="678"/>
      <c r="IDH35" s="678"/>
      <c r="IDI35" s="678"/>
      <c r="IDJ35" s="678"/>
      <c r="IDK35" s="678"/>
      <c r="IDL35" s="678"/>
      <c r="IDM35" s="678"/>
      <c r="IDN35" s="678"/>
      <c r="IDO35" s="678"/>
      <c r="IDP35" s="678"/>
      <c r="IDQ35" s="678"/>
      <c r="IDR35" s="678"/>
      <c r="IDS35" s="678"/>
      <c r="IDT35" s="678"/>
      <c r="IDU35" s="678"/>
      <c r="IDV35" s="678"/>
      <c r="IDW35" s="678"/>
      <c r="IDX35" s="678"/>
      <c r="IDY35" s="678"/>
      <c r="IDZ35" s="678"/>
      <c r="IEA35" s="678"/>
      <c r="IEB35" s="678"/>
      <c r="IEC35" s="678"/>
      <c r="IED35" s="678"/>
      <c r="IEE35" s="678"/>
      <c r="IEF35" s="678"/>
      <c r="IEG35" s="678"/>
      <c r="IEH35" s="678"/>
      <c r="IEI35" s="678"/>
      <c r="IEJ35" s="678"/>
      <c r="IEK35" s="678"/>
      <c r="IEL35" s="678"/>
      <c r="IEM35" s="678"/>
      <c r="IEN35" s="678"/>
      <c r="IEO35" s="678"/>
      <c r="IEP35" s="678"/>
      <c r="IEQ35" s="678"/>
      <c r="IER35" s="678"/>
      <c r="IES35" s="678"/>
      <c r="IET35" s="678"/>
      <c r="IEU35" s="678"/>
      <c r="IEV35" s="678"/>
      <c r="IEW35" s="678"/>
      <c r="IEX35" s="678"/>
      <c r="IEY35" s="678"/>
      <c r="IEZ35" s="678"/>
      <c r="IFA35" s="678"/>
      <c r="IFB35" s="678"/>
      <c r="IFC35" s="678"/>
      <c r="IFD35" s="678"/>
      <c r="IFE35" s="678"/>
      <c r="IFF35" s="678"/>
      <c r="IFG35" s="678"/>
      <c r="IFH35" s="678"/>
      <c r="IFI35" s="678"/>
      <c r="IFJ35" s="678"/>
      <c r="IFK35" s="678"/>
      <c r="IFL35" s="678"/>
      <c r="IFM35" s="678"/>
      <c r="IFN35" s="678"/>
      <c r="IFO35" s="678"/>
      <c r="IFP35" s="678"/>
      <c r="IFQ35" s="678"/>
      <c r="IFR35" s="678"/>
      <c r="IFS35" s="678"/>
      <c r="IFT35" s="678"/>
      <c r="IFU35" s="678"/>
      <c r="IFV35" s="678"/>
      <c r="IFW35" s="678"/>
      <c r="IFX35" s="678"/>
      <c r="IFY35" s="678"/>
      <c r="IFZ35" s="678"/>
      <c r="IGA35" s="678"/>
      <c r="IGB35" s="678"/>
      <c r="IGC35" s="678"/>
      <c r="IGD35" s="678"/>
      <c r="IGE35" s="678"/>
      <c r="IGF35" s="678"/>
      <c r="IGG35" s="678"/>
      <c r="IGH35" s="678"/>
      <c r="IGI35" s="678"/>
      <c r="IGJ35" s="678"/>
      <c r="IGK35" s="678"/>
      <c r="IGL35" s="678"/>
      <c r="IGM35" s="678"/>
      <c r="IGN35" s="678"/>
      <c r="IGO35" s="678"/>
      <c r="IGP35" s="678"/>
      <c r="IGQ35" s="678"/>
      <c r="IGR35" s="678"/>
      <c r="IGS35" s="678"/>
      <c r="IGT35" s="678"/>
      <c r="IGU35" s="678"/>
      <c r="IGV35" s="678"/>
      <c r="IGW35" s="678"/>
      <c r="IGX35" s="678"/>
      <c r="IGY35" s="678"/>
      <c r="IGZ35" s="678"/>
      <c r="IHA35" s="678"/>
      <c r="IHB35" s="678"/>
      <c r="IHC35" s="678"/>
      <c r="IHD35" s="678"/>
      <c r="IHE35" s="678"/>
      <c r="IHF35" s="678"/>
      <c r="IHG35" s="678"/>
      <c r="IHH35" s="678"/>
      <c r="IHI35" s="678"/>
      <c r="IHJ35" s="678"/>
      <c r="IHK35" s="678"/>
      <c r="IHL35" s="678"/>
      <c r="IHM35" s="678"/>
      <c r="IHN35" s="678"/>
      <c r="IHO35" s="678"/>
      <c r="IHP35" s="678"/>
      <c r="IHQ35" s="678"/>
      <c r="IHR35" s="678"/>
      <c r="IHS35" s="678"/>
      <c r="IHT35" s="678"/>
      <c r="IHU35" s="678"/>
      <c r="IHV35" s="678"/>
      <c r="IHW35" s="678"/>
      <c r="IHX35" s="678"/>
      <c r="IHY35" s="678"/>
      <c r="IHZ35" s="678"/>
      <c r="IIA35" s="678"/>
      <c r="IIB35" s="678"/>
      <c r="IIC35" s="678"/>
      <c r="IID35" s="678"/>
      <c r="IIE35" s="678"/>
      <c r="IIF35" s="678"/>
      <c r="IIG35" s="678"/>
      <c r="IIH35" s="678"/>
      <c r="III35" s="678"/>
      <c r="IIJ35" s="678"/>
      <c r="IIK35" s="678"/>
      <c r="IIL35" s="678"/>
      <c r="IIM35" s="678"/>
      <c r="IIN35" s="678"/>
      <c r="IIO35" s="678"/>
      <c r="IIP35" s="678"/>
      <c r="IIQ35" s="678"/>
      <c r="IIR35" s="678"/>
      <c r="IIS35" s="678"/>
      <c r="IIT35" s="678"/>
      <c r="IIU35" s="678"/>
      <c r="IIV35" s="678"/>
      <c r="IIW35" s="678"/>
      <c r="IIX35" s="678"/>
      <c r="IIY35" s="678"/>
      <c r="IIZ35" s="678"/>
      <c r="IJA35" s="678"/>
      <c r="IJB35" s="678"/>
      <c r="IJC35" s="678"/>
      <c r="IJD35" s="678"/>
      <c r="IJE35" s="678"/>
      <c r="IJF35" s="678"/>
      <c r="IJG35" s="678"/>
      <c r="IJH35" s="678"/>
      <c r="IJI35" s="678"/>
      <c r="IJJ35" s="678"/>
      <c r="IJK35" s="678"/>
      <c r="IJL35" s="678"/>
      <c r="IJM35" s="678"/>
      <c r="IJN35" s="678"/>
      <c r="IJO35" s="678"/>
      <c r="IJP35" s="678"/>
      <c r="IJQ35" s="678"/>
      <c r="IJR35" s="678"/>
      <c r="IJS35" s="678"/>
      <c r="IJT35" s="678"/>
      <c r="IJU35" s="678"/>
      <c r="IJV35" s="678"/>
      <c r="IJW35" s="678"/>
      <c r="IJX35" s="678"/>
      <c r="IJY35" s="678"/>
      <c r="IJZ35" s="678"/>
      <c r="IKA35" s="678"/>
      <c r="IKB35" s="678"/>
      <c r="IKC35" s="678"/>
      <c r="IKD35" s="678"/>
      <c r="IKE35" s="678"/>
      <c r="IKF35" s="678"/>
      <c r="IKG35" s="678"/>
      <c r="IKH35" s="678"/>
      <c r="IKI35" s="678"/>
      <c r="IKJ35" s="678"/>
      <c r="IKK35" s="678"/>
      <c r="IKL35" s="678"/>
      <c r="IKM35" s="678"/>
      <c r="IKN35" s="678"/>
      <c r="IKO35" s="678"/>
      <c r="IKP35" s="678"/>
      <c r="IKQ35" s="678"/>
      <c r="IKR35" s="678"/>
      <c r="IKS35" s="678"/>
      <c r="IKT35" s="678"/>
      <c r="IKU35" s="678"/>
      <c r="IKV35" s="678"/>
      <c r="IKW35" s="678"/>
      <c r="IKX35" s="678"/>
      <c r="IKY35" s="678"/>
      <c r="IKZ35" s="678"/>
      <c r="ILA35" s="678"/>
      <c r="ILB35" s="678"/>
      <c r="ILC35" s="678"/>
      <c r="ILD35" s="678"/>
      <c r="ILE35" s="678"/>
      <c r="ILF35" s="678"/>
      <c r="ILG35" s="678"/>
      <c r="ILH35" s="678"/>
      <c r="ILI35" s="678"/>
      <c r="ILJ35" s="678"/>
      <c r="ILK35" s="678"/>
      <c r="ILL35" s="678"/>
      <c r="ILM35" s="678"/>
      <c r="ILN35" s="678"/>
      <c r="ILO35" s="678"/>
      <c r="ILP35" s="678"/>
      <c r="ILQ35" s="678"/>
      <c r="ILR35" s="678"/>
      <c r="ILS35" s="678"/>
      <c r="ILT35" s="678"/>
      <c r="ILU35" s="678"/>
      <c r="ILV35" s="678"/>
      <c r="ILW35" s="678"/>
      <c r="ILX35" s="678"/>
      <c r="ILY35" s="678"/>
      <c r="ILZ35" s="678"/>
      <c r="IMA35" s="678"/>
      <c r="IMB35" s="678"/>
      <c r="IMC35" s="678"/>
      <c r="IMD35" s="678"/>
      <c r="IME35" s="678"/>
      <c r="IMF35" s="678"/>
      <c r="IMG35" s="678"/>
      <c r="IMH35" s="678"/>
      <c r="IMI35" s="678"/>
      <c r="IMJ35" s="678"/>
      <c r="IMK35" s="678"/>
      <c r="IML35" s="678"/>
      <c r="IMM35" s="678"/>
      <c r="IMN35" s="678"/>
      <c r="IMO35" s="678"/>
      <c r="IMP35" s="678"/>
      <c r="IMQ35" s="678"/>
      <c r="IMR35" s="678"/>
      <c r="IMS35" s="678"/>
      <c r="IMT35" s="678"/>
      <c r="IMU35" s="678"/>
      <c r="IMV35" s="678"/>
      <c r="IMW35" s="678"/>
      <c r="IMX35" s="678"/>
      <c r="IMY35" s="678"/>
      <c r="IMZ35" s="678"/>
      <c r="INA35" s="678"/>
      <c r="INB35" s="678"/>
      <c r="INC35" s="678"/>
      <c r="IND35" s="678"/>
      <c r="INE35" s="678"/>
      <c r="INF35" s="678"/>
      <c r="ING35" s="678"/>
      <c r="INH35" s="678"/>
      <c r="INI35" s="678"/>
      <c r="INJ35" s="678"/>
      <c r="INK35" s="678"/>
      <c r="INL35" s="678"/>
      <c r="INM35" s="678"/>
      <c r="INN35" s="678"/>
      <c r="INO35" s="678"/>
      <c r="INP35" s="678"/>
      <c r="INQ35" s="678"/>
      <c r="INR35" s="678"/>
      <c r="INS35" s="678"/>
      <c r="INT35" s="678"/>
      <c r="INU35" s="678"/>
      <c r="INV35" s="678"/>
      <c r="INW35" s="678"/>
      <c r="INX35" s="678"/>
      <c r="INY35" s="678"/>
      <c r="INZ35" s="678"/>
      <c r="IOA35" s="678"/>
      <c r="IOB35" s="678"/>
      <c r="IOC35" s="678"/>
      <c r="IOD35" s="678"/>
      <c r="IOE35" s="678"/>
      <c r="IOF35" s="678"/>
      <c r="IOG35" s="678"/>
      <c r="IOH35" s="678"/>
      <c r="IOI35" s="678"/>
      <c r="IOJ35" s="678"/>
      <c r="IOK35" s="678"/>
      <c r="IOL35" s="678"/>
      <c r="IOM35" s="678"/>
      <c r="ION35" s="678"/>
      <c r="IOO35" s="678"/>
      <c r="IOP35" s="678"/>
      <c r="IOQ35" s="678"/>
      <c r="IOR35" s="678"/>
      <c r="IOS35" s="678"/>
      <c r="IOT35" s="678"/>
      <c r="IOU35" s="678"/>
      <c r="IOV35" s="678"/>
      <c r="IOW35" s="678"/>
      <c r="IOX35" s="678"/>
      <c r="IOY35" s="678"/>
      <c r="IOZ35" s="678"/>
      <c r="IPA35" s="678"/>
      <c r="IPB35" s="678"/>
      <c r="IPC35" s="678"/>
      <c r="IPD35" s="678"/>
      <c r="IPE35" s="678"/>
      <c r="IPF35" s="678"/>
      <c r="IPG35" s="678"/>
      <c r="IPH35" s="678"/>
      <c r="IPI35" s="678"/>
      <c r="IPJ35" s="678"/>
      <c r="IPK35" s="678"/>
      <c r="IPL35" s="678"/>
      <c r="IPM35" s="678"/>
      <c r="IPN35" s="678"/>
      <c r="IPO35" s="678"/>
      <c r="IPP35" s="678"/>
      <c r="IPQ35" s="678"/>
      <c r="IPR35" s="678"/>
      <c r="IPS35" s="678"/>
      <c r="IPT35" s="678"/>
      <c r="IPU35" s="678"/>
      <c r="IPV35" s="678"/>
      <c r="IPW35" s="678"/>
      <c r="IPX35" s="678"/>
      <c r="IPY35" s="678"/>
      <c r="IPZ35" s="678"/>
      <c r="IQA35" s="678"/>
      <c r="IQB35" s="678"/>
      <c r="IQC35" s="678"/>
      <c r="IQD35" s="678"/>
      <c r="IQE35" s="678"/>
      <c r="IQF35" s="678"/>
      <c r="IQG35" s="678"/>
      <c r="IQH35" s="678"/>
      <c r="IQI35" s="678"/>
      <c r="IQJ35" s="678"/>
      <c r="IQK35" s="678"/>
      <c r="IQL35" s="678"/>
      <c r="IQM35" s="678"/>
      <c r="IQN35" s="678"/>
      <c r="IQO35" s="678"/>
      <c r="IQP35" s="678"/>
      <c r="IQQ35" s="678"/>
      <c r="IQR35" s="678"/>
      <c r="IQS35" s="678"/>
      <c r="IQT35" s="678"/>
      <c r="IQU35" s="678"/>
      <c r="IQV35" s="678"/>
      <c r="IQW35" s="678"/>
      <c r="IQX35" s="678"/>
      <c r="IQY35" s="678"/>
      <c r="IQZ35" s="678"/>
      <c r="IRA35" s="678"/>
      <c r="IRB35" s="678"/>
      <c r="IRC35" s="678"/>
      <c r="IRD35" s="678"/>
      <c r="IRE35" s="678"/>
      <c r="IRF35" s="678"/>
      <c r="IRG35" s="678"/>
      <c r="IRH35" s="678"/>
      <c r="IRI35" s="678"/>
      <c r="IRJ35" s="678"/>
      <c r="IRK35" s="678"/>
      <c r="IRL35" s="678"/>
      <c r="IRM35" s="678"/>
      <c r="IRN35" s="678"/>
      <c r="IRO35" s="678"/>
      <c r="IRP35" s="678"/>
      <c r="IRQ35" s="678"/>
      <c r="IRR35" s="678"/>
      <c r="IRS35" s="678"/>
      <c r="IRT35" s="678"/>
      <c r="IRU35" s="678"/>
      <c r="IRV35" s="678"/>
      <c r="IRW35" s="678"/>
      <c r="IRX35" s="678"/>
      <c r="IRY35" s="678"/>
      <c r="IRZ35" s="678"/>
      <c r="ISA35" s="678"/>
      <c r="ISB35" s="678"/>
      <c r="ISC35" s="678"/>
      <c r="ISD35" s="678"/>
      <c r="ISE35" s="678"/>
      <c r="ISF35" s="678"/>
      <c r="ISG35" s="678"/>
      <c r="ISH35" s="678"/>
      <c r="ISI35" s="678"/>
      <c r="ISJ35" s="678"/>
      <c r="ISK35" s="678"/>
      <c r="ISL35" s="678"/>
      <c r="ISM35" s="678"/>
      <c r="ISN35" s="678"/>
      <c r="ISO35" s="678"/>
      <c r="ISP35" s="678"/>
      <c r="ISQ35" s="678"/>
      <c r="ISR35" s="678"/>
      <c r="ISS35" s="678"/>
      <c r="IST35" s="678"/>
      <c r="ISU35" s="678"/>
      <c r="ISV35" s="678"/>
      <c r="ISW35" s="678"/>
      <c r="ISX35" s="678"/>
      <c r="ISY35" s="678"/>
      <c r="ISZ35" s="678"/>
      <c r="ITA35" s="678"/>
      <c r="ITB35" s="678"/>
      <c r="ITC35" s="678"/>
      <c r="ITD35" s="678"/>
      <c r="ITE35" s="678"/>
      <c r="ITF35" s="678"/>
      <c r="ITG35" s="678"/>
      <c r="ITH35" s="678"/>
      <c r="ITI35" s="678"/>
      <c r="ITJ35" s="678"/>
      <c r="ITK35" s="678"/>
      <c r="ITL35" s="678"/>
      <c r="ITM35" s="678"/>
      <c r="ITN35" s="678"/>
      <c r="ITO35" s="678"/>
      <c r="ITP35" s="678"/>
      <c r="ITQ35" s="678"/>
      <c r="ITR35" s="678"/>
      <c r="ITS35" s="678"/>
      <c r="ITT35" s="678"/>
      <c r="ITU35" s="678"/>
      <c r="ITV35" s="678"/>
      <c r="ITW35" s="678"/>
      <c r="ITX35" s="678"/>
      <c r="ITY35" s="678"/>
      <c r="ITZ35" s="678"/>
      <c r="IUA35" s="678"/>
      <c r="IUB35" s="678"/>
      <c r="IUC35" s="678"/>
      <c r="IUD35" s="678"/>
      <c r="IUE35" s="678"/>
      <c r="IUF35" s="678"/>
      <c r="IUG35" s="678"/>
      <c r="IUH35" s="678"/>
      <c r="IUI35" s="678"/>
      <c r="IUJ35" s="678"/>
      <c r="IUK35" s="678"/>
      <c r="IUL35" s="678"/>
      <c r="IUM35" s="678"/>
      <c r="IUN35" s="678"/>
      <c r="IUO35" s="678"/>
      <c r="IUP35" s="678"/>
      <c r="IUQ35" s="678"/>
      <c r="IUR35" s="678"/>
      <c r="IUS35" s="678"/>
      <c r="IUT35" s="678"/>
      <c r="IUU35" s="678"/>
      <c r="IUV35" s="678"/>
      <c r="IUW35" s="678"/>
      <c r="IUX35" s="678"/>
      <c r="IUY35" s="678"/>
      <c r="IUZ35" s="678"/>
      <c r="IVA35" s="678"/>
      <c r="IVB35" s="678"/>
      <c r="IVC35" s="678"/>
      <c r="IVD35" s="678"/>
      <c r="IVE35" s="678"/>
      <c r="IVF35" s="678"/>
      <c r="IVG35" s="678"/>
      <c r="IVH35" s="678"/>
      <c r="IVI35" s="678"/>
      <c r="IVJ35" s="678"/>
      <c r="IVK35" s="678"/>
      <c r="IVL35" s="678"/>
      <c r="IVM35" s="678"/>
      <c r="IVN35" s="678"/>
      <c r="IVO35" s="678"/>
      <c r="IVP35" s="678"/>
      <c r="IVQ35" s="678"/>
      <c r="IVR35" s="678"/>
      <c r="IVS35" s="678"/>
      <c r="IVT35" s="678"/>
      <c r="IVU35" s="678"/>
      <c r="IVV35" s="678"/>
      <c r="IVW35" s="678"/>
      <c r="IVX35" s="678"/>
      <c r="IVY35" s="678"/>
      <c r="IVZ35" s="678"/>
      <c r="IWA35" s="678"/>
      <c r="IWB35" s="678"/>
      <c r="IWC35" s="678"/>
      <c r="IWD35" s="678"/>
      <c r="IWE35" s="678"/>
      <c r="IWF35" s="678"/>
      <c r="IWG35" s="678"/>
      <c r="IWH35" s="678"/>
      <c r="IWI35" s="678"/>
      <c r="IWJ35" s="678"/>
      <c r="IWK35" s="678"/>
      <c r="IWL35" s="678"/>
      <c r="IWM35" s="678"/>
      <c r="IWN35" s="678"/>
      <c r="IWO35" s="678"/>
      <c r="IWP35" s="678"/>
      <c r="IWQ35" s="678"/>
      <c r="IWR35" s="678"/>
      <c r="IWS35" s="678"/>
      <c r="IWT35" s="678"/>
      <c r="IWU35" s="678"/>
      <c r="IWV35" s="678"/>
      <c r="IWW35" s="678"/>
      <c r="IWX35" s="678"/>
      <c r="IWY35" s="678"/>
      <c r="IWZ35" s="678"/>
      <c r="IXA35" s="678"/>
      <c r="IXB35" s="678"/>
      <c r="IXC35" s="678"/>
      <c r="IXD35" s="678"/>
      <c r="IXE35" s="678"/>
      <c r="IXF35" s="678"/>
      <c r="IXG35" s="678"/>
      <c r="IXH35" s="678"/>
      <c r="IXI35" s="678"/>
      <c r="IXJ35" s="678"/>
      <c r="IXK35" s="678"/>
      <c r="IXL35" s="678"/>
      <c r="IXM35" s="678"/>
      <c r="IXN35" s="678"/>
      <c r="IXO35" s="678"/>
      <c r="IXP35" s="678"/>
      <c r="IXQ35" s="678"/>
      <c r="IXR35" s="678"/>
      <c r="IXS35" s="678"/>
      <c r="IXT35" s="678"/>
      <c r="IXU35" s="678"/>
      <c r="IXV35" s="678"/>
      <c r="IXW35" s="678"/>
      <c r="IXX35" s="678"/>
      <c r="IXY35" s="678"/>
      <c r="IXZ35" s="678"/>
      <c r="IYA35" s="678"/>
      <c r="IYB35" s="678"/>
      <c r="IYC35" s="678"/>
      <c r="IYD35" s="678"/>
      <c r="IYE35" s="678"/>
      <c r="IYF35" s="678"/>
      <c r="IYG35" s="678"/>
      <c r="IYH35" s="678"/>
      <c r="IYI35" s="678"/>
      <c r="IYJ35" s="678"/>
      <c r="IYK35" s="678"/>
      <c r="IYL35" s="678"/>
      <c r="IYM35" s="678"/>
      <c r="IYN35" s="678"/>
      <c r="IYO35" s="678"/>
      <c r="IYP35" s="678"/>
      <c r="IYQ35" s="678"/>
      <c r="IYR35" s="678"/>
      <c r="IYS35" s="678"/>
      <c r="IYT35" s="678"/>
      <c r="IYU35" s="678"/>
      <c r="IYV35" s="678"/>
      <c r="IYW35" s="678"/>
      <c r="IYX35" s="678"/>
      <c r="IYY35" s="678"/>
      <c r="IYZ35" s="678"/>
      <c r="IZA35" s="678"/>
      <c r="IZB35" s="678"/>
      <c r="IZC35" s="678"/>
      <c r="IZD35" s="678"/>
      <c r="IZE35" s="678"/>
      <c r="IZF35" s="678"/>
      <c r="IZG35" s="678"/>
      <c r="IZH35" s="678"/>
      <c r="IZI35" s="678"/>
      <c r="IZJ35" s="678"/>
      <c r="IZK35" s="678"/>
      <c r="IZL35" s="678"/>
      <c r="IZM35" s="678"/>
      <c r="IZN35" s="678"/>
      <c r="IZO35" s="678"/>
      <c r="IZP35" s="678"/>
      <c r="IZQ35" s="678"/>
      <c r="IZR35" s="678"/>
      <c r="IZS35" s="678"/>
      <c r="IZT35" s="678"/>
      <c r="IZU35" s="678"/>
      <c r="IZV35" s="678"/>
      <c r="IZW35" s="678"/>
      <c r="IZX35" s="678"/>
      <c r="IZY35" s="678"/>
      <c r="IZZ35" s="678"/>
      <c r="JAA35" s="678"/>
      <c r="JAB35" s="678"/>
      <c r="JAC35" s="678"/>
      <c r="JAD35" s="678"/>
      <c r="JAE35" s="678"/>
      <c r="JAF35" s="678"/>
      <c r="JAG35" s="678"/>
      <c r="JAH35" s="678"/>
      <c r="JAI35" s="678"/>
      <c r="JAJ35" s="678"/>
      <c r="JAK35" s="678"/>
      <c r="JAL35" s="678"/>
      <c r="JAM35" s="678"/>
      <c r="JAN35" s="678"/>
      <c r="JAO35" s="678"/>
      <c r="JAP35" s="678"/>
      <c r="JAQ35" s="678"/>
      <c r="JAR35" s="678"/>
      <c r="JAS35" s="678"/>
      <c r="JAT35" s="678"/>
      <c r="JAU35" s="678"/>
      <c r="JAV35" s="678"/>
      <c r="JAW35" s="678"/>
      <c r="JAX35" s="678"/>
      <c r="JAY35" s="678"/>
      <c r="JAZ35" s="678"/>
      <c r="JBA35" s="678"/>
      <c r="JBB35" s="678"/>
      <c r="JBC35" s="678"/>
      <c r="JBD35" s="678"/>
      <c r="JBE35" s="678"/>
      <c r="JBF35" s="678"/>
      <c r="JBG35" s="678"/>
      <c r="JBH35" s="678"/>
      <c r="JBI35" s="678"/>
      <c r="JBJ35" s="678"/>
      <c r="JBK35" s="678"/>
      <c r="JBL35" s="678"/>
      <c r="JBM35" s="678"/>
      <c r="JBN35" s="678"/>
      <c r="JBO35" s="678"/>
      <c r="JBP35" s="678"/>
      <c r="JBQ35" s="678"/>
      <c r="JBR35" s="678"/>
      <c r="JBS35" s="678"/>
      <c r="JBT35" s="678"/>
      <c r="JBU35" s="678"/>
      <c r="JBV35" s="678"/>
      <c r="JBW35" s="678"/>
      <c r="JBX35" s="678"/>
      <c r="JBY35" s="678"/>
      <c r="JBZ35" s="678"/>
      <c r="JCA35" s="678"/>
      <c r="JCB35" s="678"/>
      <c r="JCC35" s="678"/>
      <c r="JCD35" s="678"/>
      <c r="JCE35" s="678"/>
      <c r="JCF35" s="678"/>
      <c r="JCG35" s="678"/>
      <c r="JCH35" s="678"/>
      <c r="JCI35" s="678"/>
      <c r="JCJ35" s="678"/>
      <c r="JCK35" s="678"/>
      <c r="JCL35" s="678"/>
      <c r="JCM35" s="678"/>
      <c r="JCN35" s="678"/>
      <c r="JCO35" s="678"/>
      <c r="JCP35" s="678"/>
      <c r="JCQ35" s="678"/>
      <c r="JCR35" s="678"/>
      <c r="JCS35" s="678"/>
      <c r="JCT35" s="678"/>
      <c r="JCU35" s="678"/>
      <c r="JCV35" s="678"/>
      <c r="JCW35" s="678"/>
      <c r="JCX35" s="678"/>
      <c r="JCY35" s="678"/>
      <c r="JCZ35" s="678"/>
      <c r="JDA35" s="678"/>
      <c r="JDB35" s="678"/>
      <c r="JDC35" s="678"/>
      <c r="JDD35" s="678"/>
      <c r="JDE35" s="678"/>
      <c r="JDF35" s="678"/>
      <c r="JDG35" s="678"/>
      <c r="JDH35" s="678"/>
      <c r="JDI35" s="678"/>
      <c r="JDJ35" s="678"/>
      <c r="JDK35" s="678"/>
      <c r="JDL35" s="678"/>
      <c r="JDM35" s="678"/>
      <c r="JDN35" s="678"/>
      <c r="JDO35" s="678"/>
      <c r="JDP35" s="678"/>
      <c r="JDQ35" s="678"/>
      <c r="JDR35" s="678"/>
      <c r="JDS35" s="678"/>
      <c r="JDT35" s="678"/>
      <c r="JDU35" s="678"/>
      <c r="JDV35" s="678"/>
      <c r="JDW35" s="678"/>
      <c r="JDX35" s="678"/>
      <c r="JDY35" s="678"/>
      <c r="JDZ35" s="678"/>
      <c r="JEA35" s="678"/>
      <c r="JEB35" s="678"/>
      <c r="JEC35" s="678"/>
      <c r="JED35" s="678"/>
      <c r="JEE35" s="678"/>
      <c r="JEF35" s="678"/>
      <c r="JEG35" s="678"/>
      <c r="JEH35" s="678"/>
      <c r="JEI35" s="678"/>
      <c r="JEJ35" s="678"/>
      <c r="JEK35" s="678"/>
      <c r="JEL35" s="678"/>
      <c r="JEM35" s="678"/>
      <c r="JEN35" s="678"/>
      <c r="JEO35" s="678"/>
      <c r="JEP35" s="678"/>
      <c r="JEQ35" s="678"/>
      <c r="JER35" s="678"/>
      <c r="JES35" s="678"/>
      <c r="JET35" s="678"/>
      <c r="JEU35" s="678"/>
      <c r="JEV35" s="678"/>
      <c r="JEW35" s="678"/>
      <c r="JEX35" s="678"/>
      <c r="JEY35" s="678"/>
      <c r="JEZ35" s="678"/>
      <c r="JFA35" s="678"/>
      <c r="JFB35" s="678"/>
      <c r="JFC35" s="678"/>
      <c r="JFD35" s="678"/>
      <c r="JFE35" s="678"/>
      <c r="JFF35" s="678"/>
      <c r="JFG35" s="678"/>
      <c r="JFH35" s="678"/>
      <c r="JFI35" s="678"/>
      <c r="JFJ35" s="678"/>
      <c r="JFK35" s="678"/>
      <c r="JFL35" s="678"/>
      <c r="JFM35" s="678"/>
      <c r="JFN35" s="678"/>
      <c r="JFO35" s="678"/>
      <c r="JFP35" s="678"/>
      <c r="JFQ35" s="678"/>
      <c r="JFR35" s="678"/>
      <c r="JFS35" s="678"/>
      <c r="JFT35" s="678"/>
      <c r="JFU35" s="678"/>
      <c r="JFV35" s="678"/>
      <c r="JFW35" s="678"/>
      <c r="JFX35" s="678"/>
      <c r="JFY35" s="678"/>
      <c r="JFZ35" s="678"/>
      <c r="JGA35" s="678"/>
      <c r="JGB35" s="678"/>
      <c r="JGC35" s="678"/>
      <c r="JGD35" s="678"/>
      <c r="JGE35" s="678"/>
      <c r="JGF35" s="678"/>
      <c r="JGG35" s="678"/>
      <c r="JGH35" s="678"/>
      <c r="JGI35" s="678"/>
      <c r="JGJ35" s="678"/>
      <c r="JGK35" s="678"/>
      <c r="JGL35" s="678"/>
      <c r="JGM35" s="678"/>
      <c r="JGN35" s="678"/>
      <c r="JGO35" s="678"/>
      <c r="JGP35" s="678"/>
      <c r="JGQ35" s="678"/>
      <c r="JGR35" s="678"/>
      <c r="JGS35" s="678"/>
      <c r="JGT35" s="678"/>
      <c r="JGU35" s="678"/>
      <c r="JGV35" s="678"/>
      <c r="JGW35" s="678"/>
      <c r="JGX35" s="678"/>
      <c r="JGY35" s="678"/>
      <c r="JGZ35" s="678"/>
      <c r="JHA35" s="678"/>
      <c r="JHB35" s="678"/>
      <c r="JHC35" s="678"/>
      <c r="JHD35" s="678"/>
      <c r="JHE35" s="678"/>
      <c r="JHF35" s="678"/>
      <c r="JHG35" s="678"/>
      <c r="JHH35" s="678"/>
      <c r="JHI35" s="678"/>
      <c r="JHJ35" s="678"/>
      <c r="JHK35" s="678"/>
      <c r="JHL35" s="678"/>
      <c r="JHM35" s="678"/>
      <c r="JHN35" s="678"/>
      <c r="JHO35" s="678"/>
      <c r="JHP35" s="678"/>
      <c r="JHQ35" s="678"/>
      <c r="JHR35" s="678"/>
      <c r="JHS35" s="678"/>
      <c r="JHT35" s="678"/>
      <c r="JHU35" s="678"/>
      <c r="JHV35" s="678"/>
      <c r="JHW35" s="678"/>
      <c r="JHX35" s="678"/>
      <c r="JHY35" s="678"/>
      <c r="JHZ35" s="678"/>
      <c r="JIA35" s="678"/>
      <c r="JIB35" s="678"/>
      <c r="JIC35" s="678"/>
      <c r="JID35" s="678"/>
      <c r="JIE35" s="678"/>
      <c r="JIF35" s="678"/>
      <c r="JIG35" s="678"/>
      <c r="JIH35" s="678"/>
      <c r="JII35" s="678"/>
      <c r="JIJ35" s="678"/>
      <c r="JIK35" s="678"/>
      <c r="JIL35" s="678"/>
      <c r="JIM35" s="678"/>
      <c r="JIN35" s="678"/>
      <c r="JIO35" s="678"/>
      <c r="JIP35" s="678"/>
      <c r="JIQ35" s="678"/>
      <c r="JIR35" s="678"/>
      <c r="JIS35" s="678"/>
      <c r="JIT35" s="678"/>
      <c r="JIU35" s="678"/>
      <c r="JIV35" s="678"/>
      <c r="JIW35" s="678"/>
      <c r="JIX35" s="678"/>
      <c r="JIY35" s="678"/>
      <c r="JIZ35" s="678"/>
      <c r="JJA35" s="678"/>
      <c r="JJB35" s="678"/>
      <c r="JJC35" s="678"/>
      <c r="JJD35" s="678"/>
      <c r="JJE35" s="678"/>
      <c r="JJF35" s="678"/>
      <c r="JJG35" s="678"/>
      <c r="JJH35" s="678"/>
      <c r="JJI35" s="678"/>
      <c r="JJJ35" s="678"/>
      <c r="JJK35" s="678"/>
      <c r="JJL35" s="678"/>
      <c r="JJM35" s="678"/>
      <c r="JJN35" s="678"/>
      <c r="JJO35" s="678"/>
      <c r="JJP35" s="678"/>
      <c r="JJQ35" s="678"/>
      <c r="JJR35" s="678"/>
      <c r="JJS35" s="678"/>
      <c r="JJT35" s="678"/>
      <c r="JJU35" s="678"/>
      <c r="JJV35" s="678"/>
      <c r="JJW35" s="678"/>
      <c r="JJX35" s="678"/>
      <c r="JJY35" s="678"/>
      <c r="JJZ35" s="678"/>
      <c r="JKA35" s="678"/>
      <c r="JKB35" s="678"/>
      <c r="JKC35" s="678"/>
      <c r="JKD35" s="678"/>
      <c r="JKE35" s="678"/>
      <c r="JKF35" s="678"/>
      <c r="JKG35" s="678"/>
      <c r="JKH35" s="678"/>
      <c r="JKI35" s="678"/>
      <c r="JKJ35" s="678"/>
      <c r="JKK35" s="678"/>
      <c r="JKL35" s="678"/>
      <c r="JKM35" s="678"/>
      <c r="JKN35" s="678"/>
      <c r="JKO35" s="678"/>
      <c r="JKP35" s="678"/>
      <c r="JKQ35" s="678"/>
      <c r="JKR35" s="678"/>
      <c r="JKS35" s="678"/>
      <c r="JKT35" s="678"/>
      <c r="JKU35" s="678"/>
      <c r="JKV35" s="678"/>
      <c r="JKW35" s="678"/>
      <c r="JKX35" s="678"/>
      <c r="JKY35" s="678"/>
      <c r="JKZ35" s="678"/>
      <c r="JLA35" s="678"/>
      <c r="JLB35" s="678"/>
      <c r="JLC35" s="678"/>
      <c r="JLD35" s="678"/>
      <c r="JLE35" s="678"/>
      <c r="JLF35" s="678"/>
      <c r="JLG35" s="678"/>
      <c r="JLH35" s="678"/>
      <c r="JLI35" s="678"/>
      <c r="JLJ35" s="678"/>
      <c r="JLK35" s="678"/>
      <c r="JLL35" s="678"/>
      <c r="JLM35" s="678"/>
      <c r="JLN35" s="678"/>
      <c r="JLO35" s="678"/>
      <c r="JLP35" s="678"/>
      <c r="JLQ35" s="678"/>
      <c r="JLR35" s="678"/>
      <c r="JLS35" s="678"/>
      <c r="JLT35" s="678"/>
      <c r="JLU35" s="678"/>
      <c r="JLV35" s="678"/>
      <c r="JLW35" s="678"/>
      <c r="JLX35" s="678"/>
      <c r="JLY35" s="678"/>
      <c r="JLZ35" s="678"/>
      <c r="JMA35" s="678"/>
      <c r="JMB35" s="678"/>
      <c r="JMC35" s="678"/>
      <c r="JMD35" s="678"/>
      <c r="JME35" s="678"/>
      <c r="JMF35" s="678"/>
      <c r="JMG35" s="678"/>
      <c r="JMH35" s="678"/>
      <c r="JMI35" s="678"/>
      <c r="JMJ35" s="678"/>
      <c r="JMK35" s="678"/>
      <c r="JML35" s="678"/>
      <c r="JMM35" s="678"/>
      <c r="JMN35" s="678"/>
      <c r="JMO35" s="678"/>
      <c r="JMP35" s="678"/>
      <c r="JMQ35" s="678"/>
      <c r="JMR35" s="678"/>
      <c r="JMS35" s="678"/>
      <c r="JMT35" s="678"/>
      <c r="JMU35" s="678"/>
      <c r="JMV35" s="678"/>
      <c r="JMW35" s="678"/>
      <c r="JMX35" s="678"/>
      <c r="JMY35" s="678"/>
      <c r="JMZ35" s="678"/>
      <c r="JNA35" s="678"/>
      <c r="JNB35" s="678"/>
      <c r="JNC35" s="678"/>
      <c r="JND35" s="678"/>
      <c r="JNE35" s="678"/>
      <c r="JNF35" s="678"/>
      <c r="JNG35" s="678"/>
      <c r="JNH35" s="678"/>
      <c r="JNI35" s="678"/>
      <c r="JNJ35" s="678"/>
      <c r="JNK35" s="678"/>
      <c r="JNL35" s="678"/>
      <c r="JNM35" s="678"/>
      <c r="JNN35" s="678"/>
      <c r="JNO35" s="678"/>
      <c r="JNP35" s="678"/>
      <c r="JNQ35" s="678"/>
      <c r="JNR35" s="678"/>
      <c r="JNS35" s="678"/>
      <c r="JNT35" s="678"/>
      <c r="JNU35" s="678"/>
      <c r="JNV35" s="678"/>
      <c r="JNW35" s="678"/>
      <c r="JNX35" s="678"/>
      <c r="JNY35" s="678"/>
      <c r="JNZ35" s="678"/>
      <c r="JOA35" s="678"/>
      <c r="JOB35" s="678"/>
      <c r="JOC35" s="678"/>
      <c r="JOD35" s="678"/>
      <c r="JOE35" s="678"/>
      <c r="JOF35" s="678"/>
      <c r="JOG35" s="678"/>
      <c r="JOH35" s="678"/>
      <c r="JOI35" s="678"/>
      <c r="JOJ35" s="678"/>
      <c r="JOK35" s="678"/>
      <c r="JOL35" s="678"/>
      <c r="JOM35" s="678"/>
      <c r="JON35" s="678"/>
      <c r="JOO35" s="678"/>
      <c r="JOP35" s="678"/>
      <c r="JOQ35" s="678"/>
      <c r="JOR35" s="678"/>
      <c r="JOS35" s="678"/>
      <c r="JOT35" s="678"/>
      <c r="JOU35" s="678"/>
      <c r="JOV35" s="678"/>
      <c r="JOW35" s="678"/>
      <c r="JOX35" s="678"/>
      <c r="JOY35" s="678"/>
      <c r="JOZ35" s="678"/>
      <c r="JPA35" s="678"/>
      <c r="JPB35" s="678"/>
      <c r="JPC35" s="678"/>
      <c r="JPD35" s="678"/>
      <c r="JPE35" s="678"/>
      <c r="JPF35" s="678"/>
      <c r="JPG35" s="678"/>
      <c r="JPH35" s="678"/>
      <c r="JPI35" s="678"/>
      <c r="JPJ35" s="678"/>
      <c r="JPK35" s="678"/>
      <c r="JPL35" s="678"/>
      <c r="JPM35" s="678"/>
      <c r="JPN35" s="678"/>
      <c r="JPO35" s="678"/>
      <c r="JPP35" s="678"/>
      <c r="JPQ35" s="678"/>
      <c r="JPR35" s="678"/>
      <c r="JPS35" s="678"/>
      <c r="JPT35" s="678"/>
      <c r="JPU35" s="678"/>
      <c r="JPV35" s="678"/>
      <c r="JPW35" s="678"/>
      <c r="JPX35" s="678"/>
      <c r="JPY35" s="678"/>
      <c r="JPZ35" s="678"/>
      <c r="JQA35" s="678"/>
      <c r="JQB35" s="678"/>
      <c r="JQC35" s="678"/>
      <c r="JQD35" s="678"/>
      <c r="JQE35" s="678"/>
      <c r="JQF35" s="678"/>
      <c r="JQG35" s="678"/>
      <c r="JQH35" s="678"/>
      <c r="JQI35" s="678"/>
      <c r="JQJ35" s="678"/>
      <c r="JQK35" s="678"/>
      <c r="JQL35" s="678"/>
      <c r="JQM35" s="678"/>
      <c r="JQN35" s="678"/>
      <c r="JQO35" s="678"/>
      <c r="JQP35" s="678"/>
      <c r="JQQ35" s="678"/>
      <c r="JQR35" s="678"/>
      <c r="JQS35" s="678"/>
      <c r="JQT35" s="678"/>
      <c r="JQU35" s="678"/>
      <c r="JQV35" s="678"/>
      <c r="JQW35" s="678"/>
      <c r="JQX35" s="678"/>
      <c r="JQY35" s="678"/>
      <c r="JQZ35" s="678"/>
      <c r="JRA35" s="678"/>
      <c r="JRB35" s="678"/>
      <c r="JRC35" s="678"/>
      <c r="JRD35" s="678"/>
      <c r="JRE35" s="678"/>
      <c r="JRF35" s="678"/>
      <c r="JRG35" s="678"/>
      <c r="JRH35" s="678"/>
      <c r="JRI35" s="678"/>
      <c r="JRJ35" s="678"/>
      <c r="JRK35" s="678"/>
      <c r="JRL35" s="678"/>
      <c r="JRM35" s="678"/>
      <c r="JRN35" s="678"/>
      <c r="JRO35" s="678"/>
      <c r="JRP35" s="678"/>
      <c r="JRQ35" s="678"/>
      <c r="JRR35" s="678"/>
      <c r="JRS35" s="678"/>
      <c r="JRT35" s="678"/>
      <c r="JRU35" s="678"/>
      <c r="JRV35" s="678"/>
      <c r="JRW35" s="678"/>
      <c r="JRX35" s="678"/>
      <c r="JRY35" s="678"/>
      <c r="JRZ35" s="678"/>
      <c r="JSA35" s="678"/>
      <c r="JSB35" s="678"/>
      <c r="JSC35" s="678"/>
      <c r="JSD35" s="678"/>
      <c r="JSE35" s="678"/>
      <c r="JSF35" s="678"/>
      <c r="JSG35" s="678"/>
      <c r="JSH35" s="678"/>
      <c r="JSI35" s="678"/>
      <c r="JSJ35" s="678"/>
      <c r="JSK35" s="678"/>
      <c r="JSL35" s="678"/>
      <c r="JSM35" s="678"/>
      <c r="JSN35" s="678"/>
      <c r="JSO35" s="678"/>
      <c r="JSP35" s="678"/>
      <c r="JSQ35" s="678"/>
      <c r="JSR35" s="678"/>
      <c r="JSS35" s="678"/>
      <c r="JST35" s="678"/>
      <c r="JSU35" s="678"/>
      <c r="JSV35" s="678"/>
      <c r="JSW35" s="678"/>
      <c r="JSX35" s="678"/>
      <c r="JSY35" s="678"/>
      <c r="JSZ35" s="678"/>
      <c r="JTA35" s="678"/>
      <c r="JTB35" s="678"/>
      <c r="JTC35" s="678"/>
      <c r="JTD35" s="678"/>
      <c r="JTE35" s="678"/>
      <c r="JTF35" s="678"/>
      <c r="JTG35" s="678"/>
      <c r="JTH35" s="678"/>
      <c r="JTI35" s="678"/>
      <c r="JTJ35" s="678"/>
      <c r="JTK35" s="678"/>
      <c r="JTL35" s="678"/>
      <c r="JTM35" s="678"/>
      <c r="JTN35" s="678"/>
      <c r="JTO35" s="678"/>
      <c r="JTP35" s="678"/>
      <c r="JTQ35" s="678"/>
      <c r="JTR35" s="678"/>
      <c r="JTS35" s="678"/>
      <c r="JTT35" s="678"/>
      <c r="JTU35" s="678"/>
      <c r="JTV35" s="678"/>
      <c r="JTW35" s="678"/>
      <c r="JTX35" s="678"/>
      <c r="JTY35" s="678"/>
      <c r="JTZ35" s="678"/>
      <c r="JUA35" s="678"/>
      <c r="JUB35" s="678"/>
      <c r="JUC35" s="678"/>
      <c r="JUD35" s="678"/>
      <c r="JUE35" s="678"/>
      <c r="JUF35" s="678"/>
      <c r="JUG35" s="678"/>
      <c r="JUH35" s="678"/>
      <c r="JUI35" s="678"/>
      <c r="JUJ35" s="678"/>
      <c r="JUK35" s="678"/>
      <c r="JUL35" s="678"/>
      <c r="JUM35" s="678"/>
      <c r="JUN35" s="678"/>
      <c r="JUO35" s="678"/>
      <c r="JUP35" s="678"/>
      <c r="JUQ35" s="678"/>
      <c r="JUR35" s="678"/>
      <c r="JUS35" s="678"/>
      <c r="JUT35" s="678"/>
      <c r="JUU35" s="678"/>
      <c r="JUV35" s="678"/>
      <c r="JUW35" s="678"/>
      <c r="JUX35" s="678"/>
      <c r="JUY35" s="678"/>
      <c r="JUZ35" s="678"/>
      <c r="JVA35" s="678"/>
      <c r="JVB35" s="678"/>
      <c r="JVC35" s="678"/>
      <c r="JVD35" s="678"/>
      <c r="JVE35" s="678"/>
      <c r="JVF35" s="678"/>
      <c r="JVG35" s="678"/>
      <c r="JVH35" s="678"/>
      <c r="JVI35" s="678"/>
      <c r="JVJ35" s="678"/>
      <c r="JVK35" s="678"/>
      <c r="JVL35" s="678"/>
      <c r="JVM35" s="678"/>
      <c r="JVN35" s="678"/>
      <c r="JVO35" s="678"/>
      <c r="JVP35" s="678"/>
      <c r="JVQ35" s="678"/>
      <c r="JVR35" s="678"/>
      <c r="JVS35" s="678"/>
      <c r="JVT35" s="678"/>
      <c r="JVU35" s="678"/>
      <c r="JVV35" s="678"/>
      <c r="JVW35" s="678"/>
      <c r="JVX35" s="678"/>
      <c r="JVY35" s="678"/>
      <c r="JVZ35" s="678"/>
      <c r="JWA35" s="678"/>
      <c r="JWB35" s="678"/>
      <c r="JWC35" s="678"/>
      <c r="JWD35" s="678"/>
      <c r="JWE35" s="678"/>
      <c r="JWF35" s="678"/>
      <c r="JWG35" s="678"/>
      <c r="JWH35" s="678"/>
      <c r="JWI35" s="678"/>
      <c r="JWJ35" s="678"/>
      <c r="JWK35" s="678"/>
      <c r="JWL35" s="678"/>
      <c r="JWM35" s="678"/>
      <c r="JWN35" s="678"/>
      <c r="JWO35" s="678"/>
      <c r="JWP35" s="678"/>
      <c r="JWQ35" s="678"/>
      <c r="JWR35" s="678"/>
      <c r="JWS35" s="678"/>
      <c r="JWT35" s="678"/>
      <c r="JWU35" s="678"/>
      <c r="JWV35" s="678"/>
      <c r="JWW35" s="678"/>
      <c r="JWX35" s="678"/>
      <c r="JWY35" s="678"/>
      <c r="JWZ35" s="678"/>
      <c r="JXA35" s="678"/>
      <c r="JXB35" s="678"/>
      <c r="JXC35" s="678"/>
      <c r="JXD35" s="678"/>
      <c r="JXE35" s="678"/>
      <c r="JXF35" s="678"/>
      <c r="JXG35" s="678"/>
      <c r="JXH35" s="678"/>
      <c r="JXI35" s="678"/>
      <c r="JXJ35" s="678"/>
      <c r="JXK35" s="678"/>
      <c r="JXL35" s="678"/>
      <c r="JXM35" s="678"/>
      <c r="JXN35" s="678"/>
      <c r="JXO35" s="678"/>
      <c r="JXP35" s="678"/>
      <c r="JXQ35" s="678"/>
      <c r="JXR35" s="678"/>
      <c r="JXS35" s="678"/>
      <c r="JXT35" s="678"/>
      <c r="JXU35" s="678"/>
      <c r="JXV35" s="678"/>
      <c r="JXW35" s="678"/>
      <c r="JXX35" s="678"/>
      <c r="JXY35" s="678"/>
      <c r="JXZ35" s="678"/>
      <c r="JYA35" s="678"/>
      <c r="JYB35" s="678"/>
      <c r="JYC35" s="678"/>
      <c r="JYD35" s="678"/>
      <c r="JYE35" s="678"/>
      <c r="JYF35" s="678"/>
      <c r="JYG35" s="678"/>
      <c r="JYH35" s="678"/>
      <c r="JYI35" s="678"/>
      <c r="JYJ35" s="678"/>
      <c r="JYK35" s="678"/>
      <c r="JYL35" s="678"/>
      <c r="JYM35" s="678"/>
      <c r="JYN35" s="678"/>
      <c r="JYO35" s="678"/>
      <c r="JYP35" s="678"/>
      <c r="JYQ35" s="678"/>
      <c r="JYR35" s="678"/>
      <c r="JYS35" s="678"/>
      <c r="JYT35" s="678"/>
      <c r="JYU35" s="678"/>
      <c r="JYV35" s="678"/>
      <c r="JYW35" s="678"/>
      <c r="JYX35" s="678"/>
      <c r="JYY35" s="678"/>
      <c r="JYZ35" s="678"/>
      <c r="JZA35" s="678"/>
      <c r="JZB35" s="678"/>
      <c r="JZC35" s="678"/>
      <c r="JZD35" s="678"/>
      <c r="JZE35" s="678"/>
      <c r="JZF35" s="678"/>
      <c r="JZG35" s="678"/>
      <c r="JZH35" s="678"/>
      <c r="JZI35" s="678"/>
      <c r="JZJ35" s="678"/>
      <c r="JZK35" s="678"/>
      <c r="JZL35" s="678"/>
      <c r="JZM35" s="678"/>
      <c r="JZN35" s="678"/>
      <c r="JZO35" s="678"/>
      <c r="JZP35" s="678"/>
      <c r="JZQ35" s="678"/>
      <c r="JZR35" s="678"/>
      <c r="JZS35" s="678"/>
      <c r="JZT35" s="678"/>
      <c r="JZU35" s="678"/>
      <c r="JZV35" s="678"/>
      <c r="JZW35" s="678"/>
      <c r="JZX35" s="678"/>
      <c r="JZY35" s="678"/>
      <c r="JZZ35" s="678"/>
      <c r="KAA35" s="678"/>
      <c r="KAB35" s="678"/>
      <c r="KAC35" s="678"/>
      <c r="KAD35" s="678"/>
      <c r="KAE35" s="678"/>
      <c r="KAF35" s="678"/>
      <c r="KAG35" s="678"/>
      <c r="KAH35" s="678"/>
      <c r="KAI35" s="678"/>
      <c r="KAJ35" s="678"/>
      <c r="KAK35" s="678"/>
      <c r="KAL35" s="678"/>
      <c r="KAM35" s="678"/>
      <c r="KAN35" s="678"/>
      <c r="KAO35" s="678"/>
      <c r="KAP35" s="678"/>
      <c r="KAQ35" s="678"/>
      <c r="KAR35" s="678"/>
      <c r="KAS35" s="678"/>
      <c r="KAT35" s="678"/>
      <c r="KAU35" s="678"/>
      <c r="KAV35" s="678"/>
      <c r="KAW35" s="678"/>
      <c r="KAX35" s="678"/>
      <c r="KAY35" s="678"/>
      <c r="KAZ35" s="678"/>
      <c r="KBA35" s="678"/>
      <c r="KBB35" s="678"/>
      <c r="KBC35" s="678"/>
      <c r="KBD35" s="678"/>
      <c r="KBE35" s="678"/>
      <c r="KBF35" s="678"/>
      <c r="KBG35" s="678"/>
      <c r="KBH35" s="678"/>
      <c r="KBI35" s="678"/>
      <c r="KBJ35" s="678"/>
      <c r="KBK35" s="678"/>
      <c r="KBL35" s="678"/>
      <c r="KBM35" s="678"/>
      <c r="KBN35" s="678"/>
      <c r="KBO35" s="678"/>
      <c r="KBP35" s="678"/>
      <c r="KBQ35" s="678"/>
      <c r="KBR35" s="678"/>
      <c r="KBS35" s="678"/>
      <c r="KBT35" s="678"/>
      <c r="KBU35" s="678"/>
      <c r="KBV35" s="678"/>
      <c r="KBW35" s="678"/>
      <c r="KBX35" s="678"/>
      <c r="KBY35" s="678"/>
      <c r="KBZ35" s="678"/>
      <c r="KCA35" s="678"/>
      <c r="KCB35" s="678"/>
      <c r="KCC35" s="678"/>
      <c r="KCD35" s="678"/>
      <c r="KCE35" s="678"/>
      <c r="KCF35" s="678"/>
      <c r="KCG35" s="678"/>
      <c r="KCH35" s="678"/>
      <c r="KCI35" s="678"/>
      <c r="KCJ35" s="678"/>
      <c r="KCK35" s="678"/>
      <c r="KCL35" s="678"/>
      <c r="KCM35" s="678"/>
      <c r="KCN35" s="678"/>
      <c r="KCO35" s="678"/>
      <c r="KCP35" s="678"/>
      <c r="KCQ35" s="678"/>
      <c r="KCR35" s="678"/>
      <c r="KCS35" s="678"/>
      <c r="KCT35" s="678"/>
      <c r="KCU35" s="678"/>
      <c r="KCV35" s="678"/>
      <c r="KCW35" s="678"/>
      <c r="KCX35" s="678"/>
      <c r="KCY35" s="678"/>
      <c r="KCZ35" s="678"/>
      <c r="KDA35" s="678"/>
      <c r="KDB35" s="678"/>
      <c r="KDC35" s="678"/>
      <c r="KDD35" s="678"/>
      <c r="KDE35" s="678"/>
      <c r="KDF35" s="678"/>
      <c r="KDG35" s="678"/>
      <c r="KDH35" s="678"/>
      <c r="KDI35" s="678"/>
      <c r="KDJ35" s="678"/>
      <c r="KDK35" s="678"/>
      <c r="KDL35" s="678"/>
      <c r="KDM35" s="678"/>
      <c r="KDN35" s="678"/>
      <c r="KDO35" s="678"/>
      <c r="KDP35" s="678"/>
      <c r="KDQ35" s="678"/>
      <c r="KDR35" s="678"/>
      <c r="KDS35" s="678"/>
      <c r="KDT35" s="678"/>
      <c r="KDU35" s="678"/>
      <c r="KDV35" s="678"/>
      <c r="KDW35" s="678"/>
      <c r="KDX35" s="678"/>
      <c r="KDY35" s="678"/>
      <c r="KDZ35" s="678"/>
      <c r="KEA35" s="678"/>
      <c r="KEB35" s="678"/>
      <c r="KEC35" s="678"/>
      <c r="KED35" s="678"/>
      <c r="KEE35" s="678"/>
      <c r="KEF35" s="678"/>
      <c r="KEG35" s="678"/>
      <c r="KEH35" s="678"/>
      <c r="KEI35" s="678"/>
      <c r="KEJ35" s="678"/>
      <c r="KEK35" s="678"/>
      <c r="KEL35" s="678"/>
      <c r="KEM35" s="678"/>
      <c r="KEN35" s="678"/>
      <c r="KEO35" s="678"/>
      <c r="KEP35" s="678"/>
      <c r="KEQ35" s="678"/>
      <c r="KER35" s="678"/>
      <c r="KES35" s="678"/>
      <c r="KET35" s="678"/>
      <c r="KEU35" s="678"/>
      <c r="KEV35" s="678"/>
      <c r="KEW35" s="678"/>
      <c r="KEX35" s="678"/>
      <c r="KEY35" s="678"/>
      <c r="KEZ35" s="678"/>
      <c r="KFA35" s="678"/>
      <c r="KFB35" s="678"/>
      <c r="KFC35" s="678"/>
      <c r="KFD35" s="678"/>
      <c r="KFE35" s="678"/>
      <c r="KFF35" s="678"/>
      <c r="KFG35" s="678"/>
      <c r="KFH35" s="678"/>
      <c r="KFI35" s="678"/>
      <c r="KFJ35" s="678"/>
      <c r="KFK35" s="678"/>
      <c r="KFL35" s="678"/>
      <c r="KFM35" s="678"/>
      <c r="KFN35" s="678"/>
      <c r="KFO35" s="678"/>
      <c r="KFP35" s="678"/>
      <c r="KFQ35" s="678"/>
      <c r="KFR35" s="678"/>
      <c r="KFS35" s="678"/>
      <c r="KFT35" s="678"/>
      <c r="KFU35" s="678"/>
      <c r="KFV35" s="678"/>
      <c r="KFW35" s="678"/>
      <c r="KFX35" s="678"/>
      <c r="KFY35" s="678"/>
      <c r="KFZ35" s="678"/>
      <c r="KGA35" s="678"/>
      <c r="KGB35" s="678"/>
      <c r="KGC35" s="678"/>
      <c r="KGD35" s="678"/>
      <c r="KGE35" s="678"/>
      <c r="KGF35" s="678"/>
      <c r="KGG35" s="678"/>
      <c r="KGH35" s="678"/>
      <c r="KGI35" s="678"/>
      <c r="KGJ35" s="678"/>
      <c r="KGK35" s="678"/>
      <c r="KGL35" s="678"/>
      <c r="KGM35" s="678"/>
      <c r="KGN35" s="678"/>
      <c r="KGO35" s="678"/>
      <c r="KGP35" s="678"/>
      <c r="KGQ35" s="678"/>
      <c r="KGR35" s="678"/>
      <c r="KGS35" s="678"/>
      <c r="KGT35" s="678"/>
      <c r="KGU35" s="678"/>
      <c r="KGV35" s="678"/>
      <c r="KGW35" s="678"/>
      <c r="KGX35" s="678"/>
      <c r="KGY35" s="678"/>
      <c r="KGZ35" s="678"/>
      <c r="KHA35" s="678"/>
      <c r="KHB35" s="678"/>
      <c r="KHC35" s="678"/>
      <c r="KHD35" s="678"/>
      <c r="KHE35" s="678"/>
      <c r="KHF35" s="678"/>
      <c r="KHG35" s="678"/>
      <c r="KHH35" s="678"/>
      <c r="KHI35" s="678"/>
      <c r="KHJ35" s="678"/>
      <c r="KHK35" s="678"/>
      <c r="KHL35" s="678"/>
      <c r="KHM35" s="678"/>
      <c r="KHN35" s="678"/>
      <c r="KHO35" s="678"/>
      <c r="KHP35" s="678"/>
      <c r="KHQ35" s="678"/>
      <c r="KHR35" s="678"/>
      <c r="KHS35" s="678"/>
      <c r="KHT35" s="678"/>
      <c r="KHU35" s="678"/>
      <c r="KHV35" s="678"/>
      <c r="KHW35" s="678"/>
      <c r="KHX35" s="678"/>
      <c r="KHY35" s="678"/>
      <c r="KHZ35" s="678"/>
      <c r="KIA35" s="678"/>
      <c r="KIB35" s="678"/>
      <c r="KIC35" s="678"/>
      <c r="KID35" s="678"/>
      <c r="KIE35" s="678"/>
      <c r="KIF35" s="678"/>
      <c r="KIG35" s="678"/>
      <c r="KIH35" s="678"/>
      <c r="KII35" s="678"/>
      <c r="KIJ35" s="678"/>
      <c r="KIK35" s="678"/>
      <c r="KIL35" s="678"/>
      <c r="KIM35" s="678"/>
      <c r="KIN35" s="678"/>
      <c r="KIO35" s="678"/>
      <c r="KIP35" s="678"/>
      <c r="KIQ35" s="678"/>
      <c r="KIR35" s="678"/>
      <c r="KIS35" s="678"/>
      <c r="KIT35" s="678"/>
      <c r="KIU35" s="678"/>
      <c r="KIV35" s="678"/>
      <c r="KIW35" s="678"/>
      <c r="KIX35" s="678"/>
      <c r="KIY35" s="678"/>
      <c r="KIZ35" s="678"/>
      <c r="KJA35" s="678"/>
      <c r="KJB35" s="678"/>
      <c r="KJC35" s="678"/>
      <c r="KJD35" s="678"/>
      <c r="KJE35" s="678"/>
      <c r="KJF35" s="678"/>
      <c r="KJG35" s="678"/>
      <c r="KJH35" s="678"/>
      <c r="KJI35" s="678"/>
      <c r="KJJ35" s="678"/>
      <c r="KJK35" s="678"/>
      <c r="KJL35" s="678"/>
      <c r="KJM35" s="678"/>
      <c r="KJN35" s="678"/>
      <c r="KJO35" s="678"/>
      <c r="KJP35" s="678"/>
      <c r="KJQ35" s="678"/>
      <c r="KJR35" s="678"/>
      <c r="KJS35" s="678"/>
      <c r="KJT35" s="678"/>
      <c r="KJU35" s="678"/>
      <c r="KJV35" s="678"/>
      <c r="KJW35" s="678"/>
      <c r="KJX35" s="678"/>
      <c r="KJY35" s="678"/>
      <c r="KJZ35" s="678"/>
      <c r="KKA35" s="678"/>
      <c r="KKB35" s="678"/>
      <c r="KKC35" s="678"/>
      <c r="KKD35" s="678"/>
      <c r="KKE35" s="678"/>
      <c r="KKF35" s="678"/>
      <c r="KKG35" s="678"/>
      <c r="KKH35" s="678"/>
      <c r="KKI35" s="678"/>
      <c r="KKJ35" s="678"/>
      <c r="KKK35" s="678"/>
      <c r="KKL35" s="678"/>
      <c r="KKM35" s="678"/>
      <c r="KKN35" s="678"/>
      <c r="KKO35" s="678"/>
      <c r="KKP35" s="678"/>
      <c r="KKQ35" s="678"/>
      <c r="KKR35" s="678"/>
      <c r="KKS35" s="678"/>
      <c r="KKT35" s="678"/>
      <c r="KKU35" s="678"/>
      <c r="KKV35" s="678"/>
      <c r="KKW35" s="678"/>
      <c r="KKX35" s="678"/>
      <c r="KKY35" s="678"/>
      <c r="KKZ35" s="678"/>
      <c r="KLA35" s="678"/>
      <c r="KLB35" s="678"/>
      <c r="KLC35" s="678"/>
      <c r="KLD35" s="678"/>
      <c r="KLE35" s="678"/>
      <c r="KLF35" s="678"/>
      <c r="KLG35" s="678"/>
      <c r="KLH35" s="678"/>
      <c r="KLI35" s="678"/>
      <c r="KLJ35" s="678"/>
      <c r="KLK35" s="678"/>
      <c r="KLL35" s="678"/>
      <c r="KLM35" s="678"/>
      <c r="KLN35" s="678"/>
      <c r="KLO35" s="678"/>
      <c r="KLP35" s="678"/>
      <c r="KLQ35" s="678"/>
      <c r="KLR35" s="678"/>
      <c r="KLS35" s="678"/>
      <c r="KLT35" s="678"/>
      <c r="KLU35" s="678"/>
      <c r="KLV35" s="678"/>
      <c r="KLW35" s="678"/>
      <c r="KLX35" s="678"/>
      <c r="KLY35" s="678"/>
      <c r="KLZ35" s="678"/>
      <c r="KMA35" s="678"/>
      <c r="KMB35" s="678"/>
      <c r="KMC35" s="678"/>
      <c r="KMD35" s="678"/>
      <c r="KME35" s="678"/>
      <c r="KMF35" s="678"/>
      <c r="KMG35" s="678"/>
      <c r="KMH35" s="678"/>
      <c r="KMI35" s="678"/>
      <c r="KMJ35" s="678"/>
      <c r="KMK35" s="678"/>
      <c r="KML35" s="678"/>
      <c r="KMM35" s="678"/>
      <c r="KMN35" s="678"/>
      <c r="KMO35" s="678"/>
      <c r="KMP35" s="678"/>
      <c r="KMQ35" s="678"/>
      <c r="KMR35" s="678"/>
      <c r="KMS35" s="678"/>
      <c r="KMT35" s="678"/>
      <c r="KMU35" s="678"/>
      <c r="KMV35" s="678"/>
      <c r="KMW35" s="678"/>
      <c r="KMX35" s="678"/>
      <c r="KMY35" s="678"/>
      <c r="KMZ35" s="678"/>
      <c r="KNA35" s="678"/>
      <c r="KNB35" s="678"/>
      <c r="KNC35" s="678"/>
      <c r="KND35" s="678"/>
      <c r="KNE35" s="678"/>
      <c r="KNF35" s="678"/>
      <c r="KNG35" s="678"/>
      <c r="KNH35" s="678"/>
      <c r="KNI35" s="678"/>
      <c r="KNJ35" s="678"/>
      <c r="KNK35" s="678"/>
      <c r="KNL35" s="678"/>
      <c r="KNM35" s="678"/>
      <c r="KNN35" s="678"/>
      <c r="KNO35" s="678"/>
      <c r="KNP35" s="678"/>
      <c r="KNQ35" s="678"/>
      <c r="KNR35" s="678"/>
      <c r="KNS35" s="678"/>
      <c r="KNT35" s="678"/>
      <c r="KNU35" s="678"/>
      <c r="KNV35" s="678"/>
      <c r="KNW35" s="678"/>
      <c r="KNX35" s="678"/>
      <c r="KNY35" s="678"/>
      <c r="KNZ35" s="678"/>
      <c r="KOA35" s="678"/>
      <c r="KOB35" s="678"/>
      <c r="KOC35" s="678"/>
      <c r="KOD35" s="678"/>
      <c r="KOE35" s="678"/>
      <c r="KOF35" s="678"/>
      <c r="KOG35" s="678"/>
      <c r="KOH35" s="678"/>
      <c r="KOI35" s="678"/>
      <c r="KOJ35" s="678"/>
      <c r="KOK35" s="678"/>
      <c r="KOL35" s="678"/>
      <c r="KOM35" s="678"/>
      <c r="KON35" s="678"/>
      <c r="KOO35" s="678"/>
      <c r="KOP35" s="678"/>
      <c r="KOQ35" s="678"/>
      <c r="KOR35" s="678"/>
      <c r="KOS35" s="678"/>
      <c r="KOT35" s="678"/>
      <c r="KOU35" s="678"/>
      <c r="KOV35" s="678"/>
      <c r="KOW35" s="678"/>
      <c r="KOX35" s="678"/>
      <c r="KOY35" s="678"/>
      <c r="KOZ35" s="678"/>
      <c r="KPA35" s="678"/>
      <c r="KPB35" s="678"/>
      <c r="KPC35" s="678"/>
      <c r="KPD35" s="678"/>
      <c r="KPE35" s="678"/>
      <c r="KPF35" s="678"/>
      <c r="KPG35" s="678"/>
      <c r="KPH35" s="678"/>
      <c r="KPI35" s="678"/>
      <c r="KPJ35" s="678"/>
      <c r="KPK35" s="678"/>
      <c r="KPL35" s="678"/>
      <c r="KPM35" s="678"/>
      <c r="KPN35" s="678"/>
      <c r="KPO35" s="678"/>
      <c r="KPP35" s="678"/>
      <c r="KPQ35" s="678"/>
      <c r="KPR35" s="678"/>
      <c r="KPS35" s="678"/>
      <c r="KPT35" s="678"/>
      <c r="KPU35" s="678"/>
      <c r="KPV35" s="678"/>
      <c r="KPW35" s="678"/>
      <c r="KPX35" s="678"/>
      <c r="KPY35" s="678"/>
      <c r="KPZ35" s="678"/>
      <c r="KQA35" s="678"/>
      <c r="KQB35" s="678"/>
      <c r="KQC35" s="678"/>
      <c r="KQD35" s="678"/>
      <c r="KQE35" s="678"/>
      <c r="KQF35" s="678"/>
      <c r="KQG35" s="678"/>
      <c r="KQH35" s="678"/>
      <c r="KQI35" s="678"/>
      <c r="KQJ35" s="678"/>
      <c r="KQK35" s="678"/>
      <c r="KQL35" s="678"/>
      <c r="KQM35" s="678"/>
      <c r="KQN35" s="678"/>
      <c r="KQO35" s="678"/>
      <c r="KQP35" s="678"/>
      <c r="KQQ35" s="678"/>
      <c r="KQR35" s="678"/>
      <c r="KQS35" s="678"/>
      <c r="KQT35" s="678"/>
      <c r="KQU35" s="678"/>
      <c r="KQV35" s="678"/>
      <c r="KQW35" s="678"/>
      <c r="KQX35" s="678"/>
      <c r="KQY35" s="678"/>
      <c r="KQZ35" s="678"/>
      <c r="KRA35" s="678"/>
      <c r="KRB35" s="678"/>
      <c r="KRC35" s="678"/>
      <c r="KRD35" s="678"/>
      <c r="KRE35" s="678"/>
      <c r="KRF35" s="678"/>
      <c r="KRG35" s="678"/>
      <c r="KRH35" s="678"/>
      <c r="KRI35" s="678"/>
      <c r="KRJ35" s="678"/>
      <c r="KRK35" s="678"/>
      <c r="KRL35" s="678"/>
      <c r="KRM35" s="678"/>
      <c r="KRN35" s="678"/>
      <c r="KRO35" s="678"/>
      <c r="KRP35" s="678"/>
      <c r="KRQ35" s="678"/>
      <c r="KRR35" s="678"/>
      <c r="KRS35" s="678"/>
      <c r="KRT35" s="678"/>
      <c r="KRU35" s="678"/>
      <c r="KRV35" s="678"/>
      <c r="KRW35" s="678"/>
      <c r="KRX35" s="678"/>
      <c r="KRY35" s="678"/>
      <c r="KRZ35" s="678"/>
      <c r="KSA35" s="678"/>
      <c r="KSB35" s="678"/>
      <c r="KSC35" s="678"/>
      <c r="KSD35" s="678"/>
      <c r="KSE35" s="678"/>
      <c r="KSF35" s="678"/>
      <c r="KSG35" s="678"/>
      <c r="KSH35" s="678"/>
      <c r="KSI35" s="678"/>
      <c r="KSJ35" s="678"/>
      <c r="KSK35" s="678"/>
      <c r="KSL35" s="678"/>
      <c r="KSM35" s="678"/>
      <c r="KSN35" s="678"/>
      <c r="KSO35" s="678"/>
      <c r="KSP35" s="678"/>
      <c r="KSQ35" s="678"/>
      <c r="KSR35" s="678"/>
      <c r="KSS35" s="678"/>
      <c r="KST35" s="678"/>
      <c r="KSU35" s="678"/>
      <c r="KSV35" s="678"/>
      <c r="KSW35" s="678"/>
      <c r="KSX35" s="678"/>
      <c r="KSY35" s="678"/>
      <c r="KSZ35" s="678"/>
      <c r="KTA35" s="678"/>
      <c r="KTB35" s="678"/>
      <c r="KTC35" s="678"/>
      <c r="KTD35" s="678"/>
      <c r="KTE35" s="678"/>
      <c r="KTF35" s="678"/>
      <c r="KTG35" s="678"/>
      <c r="KTH35" s="678"/>
      <c r="KTI35" s="678"/>
      <c r="KTJ35" s="678"/>
      <c r="KTK35" s="678"/>
      <c r="KTL35" s="678"/>
      <c r="KTM35" s="678"/>
      <c r="KTN35" s="678"/>
      <c r="KTO35" s="678"/>
      <c r="KTP35" s="678"/>
      <c r="KTQ35" s="678"/>
      <c r="KTR35" s="678"/>
      <c r="KTS35" s="678"/>
      <c r="KTT35" s="678"/>
      <c r="KTU35" s="678"/>
      <c r="KTV35" s="678"/>
      <c r="KTW35" s="678"/>
      <c r="KTX35" s="678"/>
      <c r="KTY35" s="678"/>
      <c r="KTZ35" s="678"/>
      <c r="KUA35" s="678"/>
      <c r="KUB35" s="678"/>
      <c r="KUC35" s="678"/>
      <c r="KUD35" s="678"/>
      <c r="KUE35" s="678"/>
      <c r="KUF35" s="678"/>
      <c r="KUG35" s="678"/>
      <c r="KUH35" s="678"/>
      <c r="KUI35" s="678"/>
      <c r="KUJ35" s="678"/>
      <c r="KUK35" s="678"/>
      <c r="KUL35" s="678"/>
      <c r="KUM35" s="678"/>
      <c r="KUN35" s="678"/>
      <c r="KUO35" s="678"/>
      <c r="KUP35" s="678"/>
      <c r="KUQ35" s="678"/>
      <c r="KUR35" s="678"/>
      <c r="KUS35" s="678"/>
      <c r="KUT35" s="678"/>
      <c r="KUU35" s="678"/>
      <c r="KUV35" s="678"/>
      <c r="KUW35" s="678"/>
      <c r="KUX35" s="678"/>
      <c r="KUY35" s="678"/>
      <c r="KUZ35" s="678"/>
      <c r="KVA35" s="678"/>
      <c r="KVB35" s="678"/>
      <c r="KVC35" s="678"/>
      <c r="KVD35" s="678"/>
      <c r="KVE35" s="678"/>
      <c r="KVF35" s="678"/>
      <c r="KVG35" s="678"/>
      <c r="KVH35" s="678"/>
      <c r="KVI35" s="678"/>
      <c r="KVJ35" s="678"/>
      <c r="KVK35" s="678"/>
      <c r="KVL35" s="678"/>
      <c r="KVM35" s="678"/>
      <c r="KVN35" s="678"/>
      <c r="KVO35" s="678"/>
      <c r="KVP35" s="678"/>
      <c r="KVQ35" s="678"/>
      <c r="KVR35" s="678"/>
      <c r="KVS35" s="678"/>
      <c r="KVT35" s="678"/>
      <c r="KVU35" s="678"/>
      <c r="KVV35" s="678"/>
      <c r="KVW35" s="678"/>
      <c r="KVX35" s="678"/>
      <c r="KVY35" s="678"/>
      <c r="KVZ35" s="678"/>
      <c r="KWA35" s="678"/>
      <c r="KWB35" s="678"/>
      <c r="KWC35" s="678"/>
      <c r="KWD35" s="678"/>
      <c r="KWE35" s="678"/>
      <c r="KWF35" s="678"/>
      <c r="KWG35" s="678"/>
      <c r="KWH35" s="678"/>
      <c r="KWI35" s="678"/>
      <c r="KWJ35" s="678"/>
      <c r="KWK35" s="678"/>
      <c r="KWL35" s="678"/>
      <c r="KWM35" s="678"/>
      <c r="KWN35" s="678"/>
      <c r="KWO35" s="678"/>
      <c r="KWP35" s="678"/>
      <c r="KWQ35" s="678"/>
      <c r="KWR35" s="678"/>
      <c r="KWS35" s="678"/>
      <c r="KWT35" s="678"/>
      <c r="KWU35" s="678"/>
      <c r="KWV35" s="678"/>
      <c r="KWW35" s="678"/>
      <c r="KWX35" s="678"/>
      <c r="KWY35" s="678"/>
      <c r="KWZ35" s="678"/>
      <c r="KXA35" s="678"/>
      <c r="KXB35" s="678"/>
      <c r="KXC35" s="678"/>
      <c r="KXD35" s="678"/>
      <c r="KXE35" s="678"/>
      <c r="KXF35" s="678"/>
      <c r="KXG35" s="678"/>
      <c r="KXH35" s="678"/>
      <c r="KXI35" s="678"/>
      <c r="KXJ35" s="678"/>
      <c r="KXK35" s="678"/>
      <c r="KXL35" s="678"/>
      <c r="KXM35" s="678"/>
      <c r="KXN35" s="678"/>
      <c r="KXO35" s="678"/>
      <c r="KXP35" s="678"/>
      <c r="KXQ35" s="678"/>
      <c r="KXR35" s="678"/>
      <c r="KXS35" s="678"/>
      <c r="KXT35" s="678"/>
      <c r="KXU35" s="678"/>
      <c r="KXV35" s="678"/>
      <c r="KXW35" s="678"/>
      <c r="KXX35" s="678"/>
      <c r="KXY35" s="678"/>
      <c r="KXZ35" s="678"/>
      <c r="KYA35" s="678"/>
      <c r="KYB35" s="678"/>
      <c r="KYC35" s="678"/>
      <c r="KYD35" s="678"/>
      <c r="KYE35" s="678"/>
      <c r="KYF35" s="678"/>
      <c r="KYG35" s="678"/>
      <c r="KYH35" s="678"/>
      <c r="KYI35" s="678"/>
      <c r="KYJ35" s="678"/>
      <c r="KYK35" s="678"/>
      <c r="KYL35" s="678"/>
      <c r="KYM35" s="678"/>
      <c r="KYN35" s="678"/>
      <c r="KYO35" s="678"/>
      <c r="KYP35" s="678"/>
      <c r="KYQ35" s="678"/>
      <c r="KYR35" s="678"/>
      <c r="KYS35" s="678"/>
      <c r="KYT35" s="678"/>
      <c r="KYU35" s="678"/>
      <c r="KYV35" s="678"/>
      <c r="KYW35" s="678"/>
      <c r="KYX35" s="678"/>
      <c r="KYY35" s="678"/>
      <c r="KYZ35" s="678"/>
      <c r="KZA35" s="678"/>
      <c r="KZB35" s="678"/>
      <c r="KZC35" s="678"/>
      <c r="KZD35" s="678"/>
      <c r="KZE35" s="678"/>
      <c r="KZF35" s="678"/>
      <c r="KZG35" s="678"/>
      <c r="KZH35" s="678"/>
      <c r="KZI35" s="678"/>
      <c r="KZJ35" s="678"/>
      <c r="KZK35" s="678"/>
      <c r="KZL35" s="678"/>
      <c r="KZM35" s="678"/>
      <c r="KZN35" s="678"/>
      <c r="KZO35" s="678"/>
      <c r="KZP35" s="678"/>
      <c r="KZQ35" s="678"/>
      <c r="KZR35" s="678"/>
      <c r="KZS35" s="678"/>
      <c r="KZT35" s="678"/>
      <c r="KZU35" s="678"/>
      <c r="KZV35" s="678"/>
      <c r="KZW35" s="678"/>
      <c r="KZX35" s="678"/>
      <c r="KZY35" s="678"/>
      <c r="KZZ35" s="678"/>
      <c r="LAA35" s="678"/>
      <c r="LAB35" s="678"/>
      <c r="LAC35" s="678"/>
      <c r="LAD35" s="678"/>
      <c r="LAE35" s="678"/>
      <c r="LAF35" s="678"/>
      <c r="LAG35" s="678"/>
      <c r="LAH35" s="678"/>
      <c r="LAI35" s="678"/>
      <c r="LAJ35" s="678"/>
      <c r="LAK35" s="678"/>
      <c r="LAL35" s="678"/>
      <c r="LAM35" s="678"/>
      <c r="LAN35" s="678"/>
      <c r="LAO35" s="678"/>
      <c r="LAP35" s="678"/>
      <c r="LAQ35" s="678"/>
      <c r="LAR35" s="678"/>
      <c r="LAS35" s="678"/>
      <c r="LAT35" s="678"/>
      <c r="LAU35" s="678"/>
      <c r="LAV35" s="678"/>
      <c r="LAW35" s="678"/>
      <c r="LAX35" s="678"/>
      <c r="LAY35" s="678"/>
      <c r="LAZ35" s="678"/>
      <c r="LBA35" s="678"/>
      <c r="LBB35" s="678"/>
      <c r="LBC35" s="678"/>
      <c r="LBD35" s="678"/>
      <c r="LBE35" s="678"/>
      <c r="LBF35" s="678"/>
      <c r="LBG35" s="678"/>
      <c r="LBH35" s="678"/>
      <c r="LBI35" s="678"/>
      <c r="LBJ35" s="678"/>
      <c r="LBK35" s="678"/>
      <c r="LBL35" s="678"/>
      <c r="LBM35" s="678"/>
      <c r="LBN35" s="678"/>
      <c r="LBO35" s="678"/>
      <c r="LBP35" s="678"/>
      <c r="LBQ35" s="678"/>
      <c r="LBR35" s="678"/>
      <c r="LBS35" s="678"/>
      <c r="LBT35" s="678"/>
      <c r="LBU35" s="678"/>
      <c r="LBV35" s="678"/>
      <c r="LBW35" s="678"/>
      <c r="LBX35" s="678"/>
      <c r="LBY35" s="678"/>
      <c r="LBZ35" s="678"/>
      <c r="LCA35" s="678"/>
      <c r="LCB35" s="678"/>
      <c r="LCC35" s="678"/>
      <c r="LCD35" s="678"/>
      <c r="LCE35" s="678"/>
      <c r="LCF35" s="678"/>
      <c r="LCG35" s="678"/>
      <c r="LCH35" s="678"/>
      <c r="LCI35" s="678"/>
      <c r="LCJ35" s="678"/>
      <c r="LCK35" s="678"/>
      <c r="LCL35" s="678"/>
      <c r="LCM35" s="678"/>
      <c r="LCN35" s="678"/>
      <c r="LCO35" s="678"/>
      <c r="LCP35" s="678"/>
      <c r="LCQ35" s="678"/>
      <c r="LCR35" s="678"/>
      <c r="LCS35" s="678"/>
      <c r="LCT35" s="678"/>
      <c r="LCU35" s="678"/>
      <c r="LCV35" s="678"/>
      <c r="LCW35" s="678"/>
      <c r="LCX35" s="678"/>
      <c r="LCY35" s="678"/>
      <c r="LCZ35" s="678"/>
      <c r="LDA35" s="678"/>
      <c r="LDB35" s="678"/>
      <c r="LDC35" s="678"/>
      <c r="LDD35" s="678"/>
      <c r="LDE35" s="678"/>
      <c r="LDF35" s="678"/>
      <c r="LDG35" s="678"/>
      <c r="LDH35" s="678"/>
      <c r="LDI35" s="678"/>
      <c r="LDJ35" s="678"/>
      <c r="LDK35" s="678"/>
      <c r="LDL35" s="678"/>
      <c r="LDM35" s="678"/>
      <c r="LDN35" s="678"/>
      <c r="LDO35" s="678"/>
      <c r="LDP35" s="678"/>
      <c r="LDQ35" s="678"/>
      <c r="LDR35" s="678"/>
      <c r="LDS35" s="678"/>
      <c r="LDT35" s="678"/>
      <c r="LDU35" s="678"/>
      <c r="LDV35" s="678"/>
      <c r="LDW35" s="678"/>
      <c r="LDX35" s="678"/>
      <c r="LDY35" s="678"/>
      <c r="LDZ35" s="678"/>
      <c r="LEA35" s="678"/>
      <c r="LEB35" s="678"/>
      <c r="LEC35" s="678"/>
      <c r="LED35" s="678"/>
      <c r="LEE35" s="678"/>
      <c r="LEF35" s="678"/>
      <c r="LEG35" s="678"/>
      <c r="LEH35" s="678"/>
      <c r="LEI35" s="678"/>
      <c r="LEJ35" s="678"/>
      <c r="LEK35" s="678"/>
      <c r="LEL35" s="678"/>
      <c r="LEM35" s="678"/>
      <c r="LEN35" s="678"/>
      <c r="LEO35" s="678"/>
      <c r="LEP35" s="678"/>
      <c r="LEQ35" s="678"/>
      <c r="LER35" s="678"/>
      <c r="LES35" s="678"/>
      <c r="LET35" s="678"/>
      <c r="LEU35" s="678"/>
      <c r="LEV35" s="678"/>
      <c r="LEW35" s="678"/>
      <c r="LEX35" s="678"/>
      <c r="LEY35" s="678"/>
      <c r="LEZ35" s="678"/>
      <c r="LFA35" s="678"/>
      <c r="LFB35" s="678"/>
      <c r="LFC35" s="678"/>
      <c r="LFD35" s="678"/>
      <c r="LFE35" s="678"/>
      <c r="LFF35" s="678"/>
      <c r="LFG35" s="678"/>
      <c r="LFH35" s="678"/>
      <c r="LFI35" s="678"/>
      <c r="LFJ35" s="678"/>
      <c r="LFK35" s="678"/>
      <c r="LFL35" s="678"/>
      <c r="LFM35" s="678"/>
      <c r="LFN35" s="678"/>
      <c r="LFO35" s="678"/>
      <c r="LFP35" s="678"/>
      <c r="LFQ35" s="678"/>
      <c r="LFR35" s="678"/>
      <c r="LFS35" s="678"/>
      <c r="LFT35" s="678"/>
      <c r="LFU35" s="678"/>
      <c r="LFV35" s="678"/>
      <c r="LFW35" s="678"/>
      <c r="LFX35" s="678"/>
      <c r="LFY35" s="678"/>
      <c r="LFZ35" s="678"/>
      <c r="LGA35" s="678"/>
      <c r="LGB35" s="678"/>
      <c r="LGC35" s="678"/>
      <c r="LGD35" s="678"/>
      <c r="LGE35" s="678"/>
      <c r="LGF35" s="678"/>
      <c r="LGG35" s="678"/>
      <c r="LGH35" s="678"/>
      <c r="LGI35" s="678"/>
      <c r="LGJ35" s="678"/>
      <c r="LGK35" s="678"/>
      <c r="LGL35" s="678"/>
      <c r="LGM35" s="678"/>
      <c r="LGN35" s="678"/>
      <c r="LGO35" s="678"/>
      <c r="LGP35" s="678"/>
      <c r="LGQ35" s="678"/>
      <c r="LGR35" s="678"/>
      <c r="LGS35" s="678"/>
      <c r="LGT35" s="678"/>
      <c r="LGU35" s="678"/>
      <c r="LGV35" s="678"/>
      <c r="LGW35" s="678"/>
      <c r="LGX35" s="678"/>
      <c r="LGY35" s="678"/>
      <c r="LGZ35" s="678"/>
      <c r="LHA35" s="678"/>
      <c r="LHB35" s="678"/>
      <c r="LHC35" s="678"/>
      <c r="LHD35" s="678"/>
      <c r="LHE35" s="678"/>
      <c r="LHF35" s="678"/>
      <c r="LHG35" s="678"/>
      <c r="LHH35" s="678"/>
      <c r="LHI35" s="678"/>
      <c r="LHJ35" s="678"/>
      <c r="LHK35" s="678"/>
      <c r="LHL35" s="678"/>
      <c r="LHM35" s="678"/>
      <c r="LHN35" s="678"/>
      <c r="LHO35" s="678"/>
      <c r="LHP35" s="678"/>
      <c r="LHQ35" s="678"/>
      <c r="LHR35" s="678"/>
      <c r="LHS35" s="678"/>
      <c r="LHT35" s="678"/>
      <c r="LHU35" s="678"/>
      <c r="LHV35" s="678"/>
      <c r="LHW35" s="678"/>
      <c r="LHX35" s="678"/>
      <c r="LHY35" s="678"/>
      <c r="LHZ35" s="678"/>
      <c r="LIA35" s="678"/>
      <c r="LIB35" s="678"/>
      <c r="LIC35" s="678"/>
      <c r="LID35" s="678"/>
      <c r="LIE35" s="678"/>
      <c r="LIF35" s="678"/>
      <c r="LIG35" s="678"/>
      <c r="LIH35" s="678"/>
      <c r="LII35" s="678"/>
      <c r="LIJ35" s="678"/>
      <c r="LIK35" s="678"/>
      <c r="LIL35" s="678"/>
      <c r="LIM35" s="678"/>
      <c r="LIN35" s="678"/>
      <c r="LIO35" s="678"/>
      <c r="LIP35" s="678"/>
      <c r="LIQ35" s="678"/>
      <c r="LIR35" s="678"/>
      <c r="LIS35" s="678"/>
      <c r="LIT35" s="678"/>
      <c r="LIU35" s="678"/>
      <c r="LIV35" s="678"/>
      <c r="LIW35" s="678"/>
      <c r="LIX35" s="678"/>
      <c r="LIY35" s="678"/>
      <c r="LIZ35" s="678"/>
      <c r="LJA35" s="678"/>
      <c r="LJB35" s="678"/>
      <c r="LJC35" s="678"/>
      <c r="LJD35" s="678"/>
      <c r="LJE35" s="678"/>
      <c r="LJF35" s="678"/>
      <c r="LJG35" s="678"/>
      <c r="LJH35" s="678"/>
      <c r="LJI35" s="678"/>
      <c r="LJJ35" s="678"/>
      <c r="LJK35" s="678"/>
      <c r="LJL35" s="678"/>
      <c r="LJM35" s="678"/>
      <c r="LJN35" s="678"/>
      <c r="LJO35" s="678"/>
      <c r="LJP35" s="678"/>
      <c r="LJQ35" s="678"/>
      <c r="LJR35" s="678"/>
      <c r="LJS35" s="678"/>
      <c r="LJT35" s="678"/>
      <c r="LJU35" s="678"/>
      <c r="LJV35" s="678"/>
      <c r="LJW35" s="678"/>
      <c r="LJX35" s="678"/>
      <c r="LJY35" s="678"/>
      <c r="LJZ35" s="678"/>
      <c r="LKA35" s="678"/>
      <c r="LKB35" s="678"/>
      <c r="LKC35" s="678"/>
      <c r="LKD35" s="678"/>
      <c r="LKE35" s="678"/>
      <c r="LKF35" s="678"/>
      <c r="LKG35" s="678"/>
      <c r="LKH35" s="678"/>
      <c r="LKI35" s="678"/>
      <c r="LKJ35" s="678"/>
      <c r="LKK35" s="678"/>
      <c r="LKL35" s="678"/>
      <c r="LKM35" s="678"/>
      <c r="LKN35" s="678"/>
      <c r="LKO35" s="678"/>
      <c r="LKP35" s="678"/>
      <c r="LKQ35" s="678"/>
      <c r="LKR35" s="678"/>
      <c r="LKS35" s="678"/>
      <c r="LKT35" s="678"/>
      <c r="LKU35" s="678"/>
      <c r="LKV35" s="678"/>
      <c r="LKW35" s="678"/>
      <c r="LKX35" s="678"/>
      <c r="LKY35" s="678"/>
      <c r="LKZ35" s="678"/>
      <c r="LLA35" s="678"/>
      <c r="LLB35" s="678"/>
      <c r="LLC35" s="678"/>
      <c r="LLD35" s="678"/>
      <c r="LLE35" s="678"/>
      <c r="LLF35" s="678"/>
      <c r="LLG35" s="678"/>
      <c r="LLH35" s="678"/>
      <c r="LLI35" s="678"/>
      <c r="LLJ35" s="678"/>
      <c r="LLK35" s="678"/>
      <c r="LLL35" s="678"/>
      <c r="LLM35" s="678"/>
      <c r="LLN35" s="678"/>
      <c r="LLO35" s="678"/>
      <c r="LLP35" s="678"/>
      <c r="LLQ35" s="678"/>
      <c r="LLR35" s="678"/>
      <c r="LLS35" s="678"/>
      <c r="LLT35" s="678"/>
      <c r="LLU35" s="678"/>
      <c r="LLV35" s="678"/>
      <c r="LLW35" s="678"/>
      <c r="LLX35" s="678"/>
      <c r="LLY35" s="678"/>
      <c r="LLZ35" s="678"/>
      <c r="LMA35" s="678"/>
      <c r="LMB35" s="678"/>
      <c r="LMC35" s="678"/>
      <c r="LMD35" s="678"/>
      <c r="LME35" s="678"/>
      <c r="LMF35" s="678"/>
      <c r="LMG35" s="678"/>
      <c r="LMH35" s="678"/>
      <c r="LMI35" s="678"/>
      <c r="LMJ35" s="678"/>
      <c r="LMK35" s="678"/>
      <c r="LML35" s="678"/>
      <c r="LMM35" s="678"/>
      <c r="LMN35" s="678"/>
      <c r="LMO35" s="678"/>
      <c r="LMP35" s="678"/>
      <c r="LMQ35" s="678"/>
      <c r="LMR35" s="678"/>
      <c r="LMS35" s="678"/>
      <c r="LMT35" s="678"/>
      <c r="LMU35" s="678"/>
      <c r="LMV35" s="678"/>
      <c r="LMW35" s="678"/>
      <c r="LMX35" s="678"/>
      <c r="LMY35" s="678"/>
      <c r="LMZ35" s="678"/>
      <c r="LNA35" s="678"/>
      <c r="LNB35" s="678"/>
      <c r="LNC35" s="678"/>
      <c r="LND35" s="678"/>
      <c r="LNE35" s="678"/>
      <c r="LNF35" s="678"/>
      <c r="LNG35" s="678"/>
      <c r="LNH35" s="678"/>
      <c r="LNI35" s="678"/>
      <c r="LNJ35" s="678"/>
      <c r="LNK35" s="678"/>
      <c r="LNL35" s="678"/>
      <c r="LNM35" s="678"/>
      <c r="LNN35" s="678"/>
      <c r="LNO35" s="678"/>
      <c r="LNP35" s="678"/>
      <c r="LNQ35" s="678"/>
      <c r="LNR35" s="678"/>
      <c r="LNS35" s="678"/>
      <c r="LNT35" s="678"/>
      <c r="LNU35" s="678"/>
      <c r="LNV35" s="678"/>
      <c r="LNW35" s="678"/>
      <c r="LNX35" s="678"/>
      <c r="LNY35" s="678"/>
      <c r="LNZ35" s="678"/>
      <c r="LOA35" s="678"/>
      <c r="LOB35" s="678"/>
      <c r="LOC35" s="678"/>
      <c r="LOD35" s="678"/>
      <c r="LOE35" s="678"/>
      <c r="LOF35" s="678"/>
      <c r="LOG35" s="678"/>
      <c r="LOH35" s="678"/>
      <c r="LOI35" s="678"/>
      <c r="LOJ35" s="678"/>
      <c r="LOK35" s="678"/>
      <c r="LOL35" s="678"/>
      <c r="LOM35" s="678"/>
      <c r="LON35" s="678"/>
      <c r="LOO35" s="678"/>
      <c r="LOP35" s="678"/>
      <c r="LOQ35" s="678"/>
      <c r="LOR35" s="678"/>
      <c r="LOS35" s="678"/>
      <c r="LOT35" s="678"/>
      <c r="LOU35" s="678"/>
      <c r="LOV35" s="678"/>
      <c r="LOW35" s="678"/>
      <c r="LOX35" s="678"/>
      <c r="LOY35" s="678"/>
      <c r="LOZ35" s="678"/>
      <c r="LPA35" s="678"/>
      <c r="LPB35" s="678"/>
      <c r="LPC35" s="678"/>
      <c r="LPD35" s="678"/>
      <c r="LPE35" s="678"/>
      <c r="LPF35" s="678"/>
      <c r="LPG35" s="678"/>
      <c r="LPH35" s="678"/>
      <c r="LPI35" s="678"/>
      <c r="LPJ35" s="678"/>
      <c r="LPK35" s="678"/>
      <c r="LPL35" s="678"/>
      <c r="LPM35" s="678"/>
      <c r="LPN35" s="678"/>
      <c r="LPO35" s="678"/>
      <c r="LPP35" s="678"/>
      <c r="LPQ35" s="678"/>
      <c r="LPR35" s="678"/>
      <c r="LPS35" s="678"/>
      <c r="LPT35" s="678"/>
      <c r="LPU35" s="678"/>
      <c r="LPV35" s="678"/>
      <c r="LPW35" s="678"/>
      <c r="LPX35" s="678"/>
      <c r="LPY35" s="678"/>
      <c r="LPZ35" s="678"/>
      <c r="LQA35" s="678"/>
      <c r="LQB35" s="678"/>
      <c r="LQC35" s="678"/>
      <c r="LQD35" s="678"/>
      <c r="LQE35" s="678"/>
      <c r="LQF35" s="678"/>
      <c r="LQG35" s="678"/>
      <c r="LQH35" s="678"/>
      <c r="LQI35" s="678"/>
      <c r="LQJ35" s="678"/>
      <c r="LQK35" s="678"/>
      <c r="LQL35" s="678"/>
      <c r="LQM35" s="678"/>
      <c r="LQN35" s="678"/>
      <c r="LQO35" s="678"/>
      <c r="LQP35" s="678"/>
      <c r="LQQ35" s="678"/>
      <c r="LQR35" s="678"/>
      <c r="LQS35" s="678"/>
      <c r="LQT35" s="678"/>
      <c r="LQU35" s="678"/>
      <c r="LQV35" s="678"/>
      <c r="LQW35" s="678"/>
      <c r="LQX35" s="678"/>
      <c r="LQY35" s="678"/>
      <c r="LQZ35" s="678"/>
      <c r="LRA35" s="678"/>
      <c r="LRB35" s="678"/>
      <c r="LRC35" s="678"/>
      <c r="LRD35" s="678"/>
      <c r="LRE35" s="678"/>
      <c r="LRF35" s="678"/>
      <c r="LRG35" s="678"/>
      <c r="LRH35" s="678"/>
      <c r="LRI35" s="678"/>
      <c r="LRJ35" s="678"/>
      <c r="LRK35" s="678"/>
      <c r="LRL35" s="678"/>
      <c r="LRM35" s="678"/>
      <c r="LRN35" s="678"/>
      <c r="LRO35" s="678"/>
      <c r="LRP35" s="678"/>
      <c r="LRQ35" s="678"/>
      <c r="LRR35" s="678"/>
      <c r="LRS35" s="678"/>
      <c r="LRT35" s="678"/>
      <c r="LRU35" s="678"/>
      <c r="LRV35" s="678"/>
      <c r="LRW35" s="678"/>
      <c r="LRX35" s="678"/>
      <c r="LRY35" s="678"/>
      <c r="LRZ35" s="678"/>
      <c r="LSA35" s="678"/>
      <c r="LSB35" s="678"/>
      <c r="LSC35" s="678"/>
      <c r="LSD35" s="678"/>
      <c r="LSE35" s="678"/>
      <c r="LSF35" s="678"/>
      <c r="LSG35" s="678"/>
      <c r="LSH35" s="678"/>
      <c r="LSI35" s="678"/>
      <c r="LSJ35" s="678"/>
      <c r="LSK35" s="678"/>
      <c r="LSL35" s="678"/>
      <c r="LSM35" s="678"/>
      <c r="LSN35" s="678"/>
      <c r="LSO35" s="678"/>
      <c r="LSP35" s="678"/>
      <c r="LSQ35" s="678"/>
      <c r="LSR35" s="678"/>
      <c r="LSS35" s="678"/>
      <c r="LST35" s="678"/>
      <c r="LSU35" s="678"/>
      <c r="LSV35" s="678"/>
      <c r="LSW35" s="678"/>
      <c r="LSX35" s="678"/>
      <c r="LSY35" s="678"/>
      <c r="LSZ35" s="678"/>
      <c r="LTA35" s="678"/>
      <c r="LTB35" s="678"/>
      <c r="LTC35" s="678"/>
      <c r="LTD35" s="678"/>
      <c r="LTE35" s="678"/>
      <c r="LTF35" s="678"/>
      <c r="LTG35" s="678"/>
      <c r="LTH35" s="678"/>
      <c r="LTI35" s="678"/>
      <c r="LTJ35" s="678"/>
      <c r="LTK35" s="678"/>
      <c r="LTL35" s="678"/>
      <c r="LTM35" s="678"/>
      <c r="LTN35" s="678"/>
      <c r="LTO35" s="678"/>
      <c r="LTP35" s="678"/>
      <c r="LTQ35" s="678"/>
      <c r="LTR35" s="678"/>
      <c r="LTS35" s="678"/>
      <c r="LTT35" s="678"/>
      <c r="LTU35" s="678"/>
      <c r="LTV35" s="678"/>
      <c r="LTW35" s="678"/>
      <c r="LTX35" s="678"/>
      <c r="LTY35" s="678"/>
      <c r="LTZ35" s="678"/>
      <c r="LUA35" s="678"/>
      <c r="LUB35" s="678"/>
      <c r="LUC35" s="678"/>
      <c r="LUD35" s="678"/>
      <c r="LUE35" s="678"/>
      <c r="LUF35" s="678"/>
      <c r="LUG35" s="678"/>
      <c r="LUH35" s="678"/>
      <c r="LUI35" s="678"/>
      <c r="LUJ35" s="678"/>
      <c r="LUK35" s="678"/>
      <c r="LUL35" s="678"/>
      <c r="LUM35" s="678"/>
      <c r="LUN35" s="678"/>
      <c r="LUO35" s="678"/>
      <c r="LUP35" s="678"/>
      <c r="LUQ35" s="678"/>
      <c r="LUR35" s="678"/>
      <c r="LUS35" s="678"/>
      <c r="LUT35" s="678"/>
      <c r="LUU35" s="678"/>
      <c r="LUV35" s="678"/>
      <c r="LUW35" s="678"/>
      <c r="LUX35" s="678"/>
      <c r="LUY35" s="678"/>
      <c r="LUZ35" s="678"/>
      <c r="LVA35" s="678"/>
      <c r="LVB35" s="678"/>
      <c r="LVC35" s="678"/>
      <c r="LVD35" s="678"/>
      <c r="LVE35" s="678"/>
      <c r="LVF35" s="678"/>
      <c r="LVG35" s="678"/>
      <c r="LVH35" s="678"/>
      <c r="LVI35" s="678"/>
      <c r="LVJ35" s="678"/>
      <c r="LVK35" s="678"/>
      <c r="LVL35" s="678"/>
      <c r="LVM35" s="678"/>
      <c r="LVN35" s="678"/>
      <c r="LVO35" s="678"/>
      <c r="LVP35" s="678"/>
      <c r="LVQ35" s="678"/>
      <c r="LVR35" s="678"/>
      <c r="LVS35" s="678"/>
      <c r="LVT35" s="678"/>
      <c r="LVU35" s="678"/>
      <c r="LVV35" s="678"/>
      <c r="LVW35" s="678"/>
      <c r="LVX35" s="678"/>
      <c r="LVY35" s="678"/>
      <c r="LVZ35" s="678"/>
      <c r="LWA35" s="678"/>
      <c r="LWB35" s="678"/>
      <c r="LWC35" s="678"/>
      <c r="LWD35" s="678"/>
      <c r="LWE35" s="678"/>
      <c r="LWF35" s="678"/>
      <c r="LWG35" s="678"/>
      <c r="LWH35" s="678"/>
      <c r="LWI35" s="678"/>
      <c r="LWJ35" s="678"/>
      <c r="LWK35" s="678"/>
      <c r="LWL35" s="678"/>
      <c r="LWM35" s="678"/>
      <c r="LWN35" s="678"/>
      <c r="LWO35" s="678"/>
      <c r="LWP35" s="678"/>
      <c r="LWQ35" s="678"/>
      <c r="LWR35" s="678"/>
      <c r="LWS35" s="678"/>
      <c r="LWT35" s="678"/>
      <c r="LWU35" s="678"/>
      <c r="LWV35" s="678"/>
      <c r="LWW35" s="678"/>
      <c r="LWX35" s="678"/>
      <c r="LWY35" s="678"/>
      <c r="LWZ35" s="678"/>
      <c r="LXA35" s="678"/>
      <c r="LXB35" s="678"/>
      <c r="LXC35" s="678"/>
      <c r="LXD35" s="678"/>
      <c r="LXE35" s="678"/>
      <c r="LXF35" s="678"/>
      <c r="LXG35" s="678"/>
      <c r="LXH35" s="678"/>
      <c r="LXI35" s="678"/>
      <c r="LXJ35" s="678"/>
      <c r="LXK35" s="678"/>
      <c r="LXL35" s="678"/>
      <c r="LXM35" s="678"/>
      <c r="LXN35" s="678"/>
      <c r="LXO35" s="678"/>
      <c r="LXP35" s="678"/>
      <c r="LXQ35" s="678"/>
      <c r="LXR35" s="678"/>
      <c r="LXS35" s="678"/>
      <c r="LXT35" s="678"/>
      <c r="LXU35" s="678"/>
      <c r="LXV35" s="678"/>
      <c r="LXW35" s="678"/>
      <c r="LXX35" s="678"/>
      <c r="LXY35" s="678"/>
      <c r="LXZ35" s="678"/>
      <c r="LYA35" s="678"/>
      <c r="LYB35" s="678"/>
      <c r="LYC35" s="678"/>
      <c r="LYD35" s="678"/>
      <c r="LYE35" s="678"/>
      <c r="LYF35" s="678"/>
      <c r="LYG35" s="678"/>
      <c r="LYH35" s="678"/>
      <c r="LYI35" s="678"/>
      <c r="LYJ35" s="678"/>
      <c r="LYK35" s="678"/>
      <c r="LYL35" s="678"/>
      <c r="LYM35" s="678"/>
      <c r="LYN35" s="678"/>
      <c r="LYO35" s="678"/>
      <c r="LYP35" s="678"/>
      <c r="LYQ35" s="678"/>
      <c r="LYR35" s="678"/>
      <c r="LYS35" s="678"/>
      <c r="LYT35" s="678"/>
      <c r="LYU35" s="678"/>
      <c r="LYV35" s="678"/>
      <c r="LYW35" s="678"/>
      <c r="LYX35" s="678"/>
      <c r="LYY35" s="678"/>
      <c r="LYZ35" s="678"/>
      <c r="LZA35" s="678"/>
      <c r="LZB35" s="678"/>
      <c r="LZC35" s="678"/>
      <c r="LZD35" s="678"/>
      <c r="LZE35" s="678"/>
      <c r="LZF35" s="678"/>
      <c r="LZG35" s="678"/>
      <c r="LZH35" s="678"/>
      <c r="LZI35" s="678"/>
      <c r="LZJ35" s="678"/>
      <c r="LZK35" s="678"/>
      <c r="LZL35" s="678"/>
      <c r="LZM35" s="678"/>
      <c r="LZN35" s="678"/>
      <c r="LZO35" s="678"/>
      <c r="LZP35" s="678"/>
      <c r="LZQ35" s="678"/>
      <c r="LZR35" s="678"/>
      <c r="LZS35" s="678"/>
      <c r="LZT35" s="678"/>
      <c r="LZU35" s="678"/>
      <c r="LZV35" s="678"/>
      <c r="LZW35" s="678"/>
      <c r="LZX35" s="678"/>
      <c r="LZY35" s="678"/>
      <c r="LZZ35" s="678"/>
      <c r="MAA35" s="678"/>
      <c r="MAB35" s="678"/>
      <c r="MAC35" s="678"/>
      <c r="MAD35" s="678"/>
      <c r="MAE35" s="678"/>
      <c r="MAF35" s="678"/>
      <c r="MAG35" s="678"/>
      <c r="MAH35" s="678"/>
      <c r="MAI35" s="678"/>
      <c r="MAJ35" s="678"/>
      <c r="MAK35" s="678"/>
      <c r="MAL35" s="678"/>
      <c r="MAM35" s="678"/>
      <c r="MAN35" s="678"/>
      <c r="MAO35" s="678"/>
      <c r="MAP35" s="678"/>
      <c r="MAQ35" s="678"/>
      <c r="MAR35" s="678"/>
      <c r="MAS35" s="678"/>
      <c r="MAT35" s="678"/>
      <c r="MAU35" s="678"/>
      <c r="MAV35" s="678"/>
      <c r="MAW35" s="678"/>
      <c r="MAX35" s="678"/>
      <c r="MAY35" s="678"/>
      <c r="MAZ35" s="678"/>
      <c r="MBA35" s="678"/>
      <c r="MBB35" s="678"/>
      <c r="MBC35" s="678"/>
      <c r="MBD35" s="678"/>
      <c r="MBE35" s="678"/>
      <c r="MBF35" s="678"/>
      <c r="MBG35" s="678"/>
      <c r="MBH35" s="678"/>
      <c r="MBI35" s="678"/>
      <c r="MBJ35" s="678"/>
      <c r="MBK35" s="678"/>
      <c r="MBL35" s="678"/>
      <c r="MBM35" s="678"/>
      <c r="MBN35" s="678"/>
      <c r="MBO35" s="678"/>
      <c r="MBP35" s="678"/>
      <c r="MBQ35" s="678"/>
      <c r="MBR35" s="678"/>
      <c r="MBS35" s="678"/>
      <c r="MBT35" s="678"/>
      <c r="MBU35" s="678"/>
      <c r="MBV35" s="678"/>
      <c r="MBW35" s="678"/>
      <c r="MBX35" s="678"/>
      <c r="MBY35" s="678"/>
      <c r="MBZ35" s="678"/>
      <c r="MCA35" s="678"/>
      <c r="MCB35" s="678"/>
      <c r="MCC35" s="678"/>
      <c r="MCD35" s="678"/>
      <c r="MCE35" s="678"/>
      <c r="MCF35" s="678"/>
      <c r="MCG35" s="678"/>
      <c r="MCH35" s="678"/>
      <c r="MCI35" s="678"/>
      <c r="MCJ35" s="678"/>
      <c r="MCK35" s="678"/>
      <c r="MCL35" s="678"/>
      <c r="MCM35" s="678"/>
      <c r="MCN35" s="678"/>
      <c r="MCO35" s="678"/>
      <c r="MCP35" s="678"/>
      <c r="MCQ35" s="678"/>
      <c r="MCR35" s="678"/>
      <c r="MCS35" s="678"/>
      <c r="MCT35" s="678"/>
      <c r="MCU35" s="678"/>
      <c r="MCV35" s="678"/>
      <c r="MCW35" s="678"/>
      <c r="MCX35" s="678"/>
      <c r="MCY35" s="678"/>
      <c r="MCZ35" s="678"/>
      <c r="MDA35" s="678"/>
      <c r="MDB35" s="678"/>
      <c r="MDC35" s="678"/>
      <c r="MDD35" s="678"/>
      <c r="MDE35" s="678"/>
      <c r="MDF35" s="678"/>
      <c r="MDG35" s="678"/>
      <c r="MDH35" s="678"/>
      <c r="MDI35" s="678"/>
      <c r="MDJ35" s="678"/>
      <c r="MDK35" s="678"/>
      <c r="MDL35" s="678"/>
      <c r="MDM35" s="678"/>
      <c r="MDN35" s="678"/>
      <c r="MDO35" s="678"/>
      <c r="MDP35" s="678"/>
      <c r="MDQ35" s="678"/>
      <c r="MDR35" s="678"/>
      <c r="MDS35" s="678"/>
      <c r="MDT35" s="678"/>
      <c r="MDU35" s="678"/>
      <c r="MDV35" s="678"/>
      <c r="MDW35" s="678"/>
      <c r="MDX35" s="678"/>
      <c r="MDY35" s="678"/>
      <c r="MDZ35" s="678"/>
      <c r="MEA35" s="678"/>
      <c r="MEB35" s="678"/>
      <c r="MEC35" s="678"/>
      <c r="MED35" s="678"/>
      <c r="MEE35" s="678"/>
      <c r="MEF35" s="678"/>
      <c r="MEG35" s="678"/>
      <c r="MEH35" s="678"/>
      <c r="MEI35" s="678"/>
      <c r="MEJ35" s="678"/>
      <c r="MEK35" s="678"/>
      <c r="MEL35" s="678"/>
      <c r="MEM35" s="678"/>
      <c r="MEN35" s="678"/>
      <c r="MEO35" s="678"/>
      <c r="MEP35" s="678"/>
      <c r="MEQ35" s="678"/>
      <c r="MER35" s="678"/>
      <c r="MES35" s="678"/>
      <c r="MET35" s="678"/>
      <c r="MEU35" s="678"/>
      <c r="MEV35" s="678"/>
      <c r="MEW35" s="678"/>
      <c r="MEX35" s="678"/>
      <c r="MEY35" s="678"/>
      <c r="MEZ35" s="678"/>
      <c r="MFA35" s="678"/>
      <c r="MFB35" s="678"/>
      <c r="MFC35" s="678"/>
      <c r="MFD35" s="678"/>
      <c r="MFE35" s="678"/>
      <c r="MFF35" s="678"/>
      <c r="MFG35" s="678"/>
      <c r="MFH35" s="678"/>
      <c r="MFI35" s="678"/>
      <c r="MFJ35" s="678"/>
      <c r="MFK35" s="678"/>
      <c r="MFL35" s="678"/>
      <c r="MFM35" s="678"/>
      <c r="MFN35" s="678"/>
      <c r="MFO35" s="678"/>
      <c r="MFP35" s="678"/>
      <c r="MFQ35" s="678"/>
      <c r="MFR35" s="678"/>
      <c r="MFS35" s="678"/>
      <c r="MFT35" s="678"/>
      <c r="MFU35" s="678"/>
      <c r="MFV35" s="678"/>
      <c r="MFW35" s="678"/>
      <c r="MFX35" s="678"/>
      <c r="MFY35" s="678"/>
      <c r="MFZ35" s="678"/>
      <c r="MGA35" s="678"/>
      <c r="MGB35" s="678"/>
      <c r="MGC35" s="678"/>
      <c r="MGD35" s="678"/>
      <c r="MGE35" s="678"/>
      <c r="MGF35" s="678"/>
      <c r="MGG35" s="678"/>
      <c r="MGH35" s="678"/>
      <c r="MGI35" s="678"/>
      <c r="MGJ35" s="678"/>
      <c r="MGK35" s="678"/>
      <c r="MGL35" s="678"/>
      <c r="MGM35" s="678"/>
      <c r="MGN35" s="678"/>
      <c r="MGO35" s="678"/>
      <c r="MGP35" s="678"/>
      <c r="MGQ35" s="678"/>
      <c r="MGR35" s="678"/>
      <c r="MGS35" s="678"/>
      <c r="MGT35" s="678"/>
      <c r="MGU35" s="678"/>
      <c r="MGV35" s="678"/>
      <c r="MGW35" s="678"/>
      <c r="MGX35" s="678"/>
      <c r="MGY35" s="678"/>
      <c r="MGZ35" s="678"/>
      <c r="MHA35" s="678"/>
      <c r="MHB35" s="678"/>
      <c r="MHC35" s="678"/>
      <c r="MHD35" s="678"/>
      <c r="MHE35" s="678"/>
      <c r="MHF35" s="678"/>
      <c r="MHG35" s="678"/>
      <c r="MHH35" s="678"/>
      <c r="MHI35" s="678"/>
      <c r="MHJ35" s="678"/>
      <c r="MHK35" s="678"/>
      <c r="MHL35" s="678"/>
      <c r="MHM35" s="678"/>
      <c r="MHN35" s="678"/>
      <c r="MHO35" s="678"/>
      <c r="MHP35" s="678"/>
      <c r="MHQ35" s="678"/>
      <c r="MHR35" s="678"/>
      <c r="MHS35" s="678"/>
      <c r="MHT35" s="678"/>
      <c r="MHU35" s="678"/>
      <c r="MHV35" s="678"/>
      <c r="MHW35" s="678"/>
      <c r="MHX35" s="678"/>
      <c r="MHY35" s="678"/>
      <c r="MHZ35" s="678"/>
      <c r="MIA35" s="678"/>
      <c r="MIB35" s="678"/>
      <c r="MIC35" s="678"/>
      <c r="MID35" s="678"/>
      <c r="MIE35" s="678"/>
      <c r="MIF35" s="678"/>
      <c r="MIG35" s="678"/>
      <c r="MIH35" s="678"/>
      <c r="MII35" s="678"/>
      <c r="MIJ35" s="678"/>
      <c r="MIK35" s="678"/>
      <c r="MIL35" s="678"/>
      <c r="MIM35" s="678"/>
      <c r="MIN35" s="678"/>
      <c r="MIO35" s="678"/>
      <c r="MIP35" s="678"/>
      <c r="MIQ35" s="678"/>
      <c r="MIR35" s="678"/>
      <c r="MIS35" s="678"/>
      <c r="MIT35" s="678"/>
      <c r="MIU35" s="678"/>
      <c r="MIV35" s="678"/>
      <c r="MIW35" s="678"/>
      <c r="MIX35" s="678"/>
      <c r="MIY35" s="678"/>
      <c r="MIZ35" s="678"/>
      <c r="MJA35" s="678"/>
      <c r="MJB35" s="678"/>
      <c r="MJC35" s="678"/>
      <c r="MJD35" s="678"/>
      <c r="MJE35" s="678"/>
      <c r="MJF35" s="678"/>
      <c r="MJG35" s="678"/>
      <c r="MJH35" s="678"/>
      <c r="MJI35" s="678"/>
      <c r="MJJ35" s="678"/>
      <c r="MJK35" s="678"/>
      <c r="MJL35" s="678"/>
      <c r="MJM35" s="678"/>
      <c r="MJN35" s="678"/>
      <c r="MJO35" s="678"/>
      <c r="MJP35" s="678"/>
      <c r="MJQ35" s="678"/>
      <c r="MJR35" s="678"/>
      <c r="MJS35" s="678"/>
      <c r="MJT35" s="678"/>
      <c r="MJU35" s="678"/>
      <c r="MJV35" s="678"/>
      <c r="MJW35" s="678"/>
      <c r="MJX35" s="678"/>
      <c r="MJY35" s="678"/>
      <c r="MJZ35" s="678"/>
      <c r="MKA35" s="678"/>
      <c r="MKB35" s="678"/>
      <c r="MKC35" s="678"/>
      <c r="MKD35" s="678"/>
      <c r="MKE35" s="678"/>
      <c r="MKF35" s="678"/>
      <c r="MKG35" s="678"/>
      <c r="MKH35" s="678"/>
      <c r="MKI35" s="678"/>
      <c r="MKJ35" s="678"/>
      <c r="MKK35" s="678"/>
      <c r="MKL35" s="678"/>
      <c r="MKM35" s="678"/>
      <c r="MKN35" s="678"/>
      <c r="MKO35" s="678"/>
      <c r="MKP35" s="678"/>
      <c r="MKQ35" s="678"/>
      <c r="MKR35" s="678"/>
      <c r="MKS35" s="678"/>
      <c r="MKT35" s="678"/>
      <c r="MKU35" s="678"/>
      <c r="MKV35" s="678"/>
      <c r="MKW35" s="678"/>
      <c r="MKX35" s="678"/>
      <c r="MKY35" s="678"/>
      <c r="MKZ35" s="678"/>
      <c r="MLA35" s="678"/>
      <c r="MLB35" s="678"/>
      <c r="MLC35" s="678"/>
      <c r="MLD35" s="678"/>
      <c r="MLE35" s="678"/>
      <c r="MLF35" s="678"/>
      <c r="MLG35" s="678"/>
      <c r="MLH35" s="678"/>
      <c r="MLI35" s="678"/>
      <c r="MLJ35" s="678"/>
      <c r="MLK35" s="678"/>
      <c r="MLL35" s="678"/>
      <c r="MLM35" s="678"/>
      <c r="MLN35" s="678"/>
      <c r="MLO35" s="678"/>
      <c r="MLP35" s="678"/>
      <c r="MLQ35" s="678"/>
      <c r="MLR35" s="678"/>
      <c r="MLS35" s="678"/>
      <c r="MLT35" s="678"/>
      <c r="MLU35" s="678"/>
      <c r="MLV35" s="678"/>
      <c r="MLW35" s="678"/>
      <c r="MLX35" s="678"/>
      <c r="MLY35" s="678"/>
      <c r="MLZ35" s="678"/>
      <c r="MMA35" s="678"/>
      <c r="MMB35" s="678"/>
      <c r="MMC35" s="678"/>
      <c r="MMD35" s="678"/>
      <c r="MME35" s="678"/>
      <c r="MMF35" s="678"/>
      <c r="MMG35" s="678"/>
      <c r="MMH35" s="678"/>
      <c r="MMI35" s="678"/>
      <c r="MMJ35" s="678"/>
      <c r="MMK35" s="678"/>
      <c r="MML35" s="678"/>
      <c r="MMM35" s="678"/>
      <c r="MMN35" s="678"/>
      <c r="MMO35" s="678"/>
      <c r="MMP35" s="678"/>
      <c r="MMQ35" s="678"/>
      <c r="MMR35" s="678"/>
      <c r="MMS35" s="678"/>
      <c r="MMT35" s="678"/>
      <c r="MMU35" s="678"/>
      <c r="MMV35" s="678"/>
      <c r="MMW35" s="678"/>
      <c r="MMX35" s="678"/>
      <c r="MMY35" s="678"/>
      <c r="MMZ35" s="678"/>
      <c r="MNA35" s="678"/>
      <c r="MNB35" s="678"/>
      <c r="MNC35" s="678"/>
      <c r="MND35" s="678"/>
      <c r="MNE35" s="678"/>
      <c r="MNF35" s="678"/>
      <c r="MNG35" s="678"/>
      <c r="MNH35" s="678"/>
      <c r="MNI35" s="678"/>
      <c r="MNJ35" s="678"/>
      <c r="MNK35" s="678"/>
      <c r="MNL35" s="678"/>
      <c r="MNM35" s="678"/>
      <c r="MNN35" s="678"/>
      <c r="MNO35" s="678"/>
      <c r="MNP35" s="678"/>
      <c r="MNQ35" s="678"/>
      <c r="MNR35" s="678"/>
      <c r="MNS35" s="678"/>
      <c r="MNT35" s="678"/>
      <c r="MNU35" s="678"/>
      <c r="MNV35" s="678"/>
      <c r="MNW35" s="678"/>
      <c r="MNX35" s="678"/>
      <c r="MNY35" s="678"/>
      <c r="MNZ35" s="678"/>
      <c r="MOA35" s="678"/>
      <c r="MOB35" s="678"/>
      <c r="MOC35" s="678"/>
      <c r="MOD35" s="678"/>
      <c r="MOE35" s="678"/>
      <c r="MOF35" s="678"/>
      <c r="MOG35" s="678"/>
      <c r="MOH35" s="678"/>
      <c r="MOI35" s="678"/>
      <c r="MOJ35" s="678"/>
      <c r="MOK35" s="678"/>
      <c r="MOL35" s="678"/>
      <c r="MOM35" s="678"/>
      <c r="MON35" s="678"/>
      <c r="MOO35" s="678"/>
      <c r="MOP35" s="678"/>
      <c r="MOQ35" s="678"/>
      <c r="MOR35" s="678"/>
      <c r="MOS35" s="678"/>
      <c r="MOT35" s="678"/>
      <c r="MOU35" s="678"/>
      <c r="MOV35" s="678"/>
      <c r="MOW35" s="678"/>
      <c r="MOX35" s="678"/>
      <c r="MOY35" s="678"/>
      <c r="MOZ35" s="678"/>
      <c r="MPA35" s="678"/>
      <c r="MPB35" s="678"/>
      <c r="MPC35" s="678"/>
      <c r="MPD35" s="678"/>
      <c r="MPE35" s="678"/>
      <c r="MPF35" s="678"/>
      <c r="MPG35" s="678"/>
      <c r="MPH35" s="678"/>
      <c r="MPI35" s="678"/>
      <c r="MPJ35" s="678"/>
      <c r="MPK35" s="678"/>
      <c r="MPL35" s="678"/>
      <c r="MPM35" s="678"/>
      <c r="MPN35" s="678"/>
      <c r="MPO35" s="678"/>
      <c r="MPP35" s="678"/>
      <c r="MPQ35" s="678"/>
      <c r="MPR35" s="678"/>
      <c r="MPS35" s="678"/>
      <c r="MPT35" s="678"/>
      <c r="MPU35" s="678"/>
      <c r="MPV35" s="678"/>
      <c r="MPW35" s="678"/>
      <c r="MPX35" s="678"/>
      <c r="MPY35" s="678"/>
      <c r="MPZ35" s="678"/>
      <c r="MQA35" s="678"/>
      <c r="MQB35" s="678"/>
      <c r="MQC35" s="678"/>
      <c r="MQD35" s="678"/>
      <c r="MQE35" s="678"/>
      <c r="MQF35" s="678"/>
      <c r="MQG35" s="678"/>
      <c r="MQH35" s="678"/>
      <c r="MQI35" s="678"/>
      <c r="MQJ35" s="678"/>
      <c r="MQK35" s="678"/>
      <c r="MQL35" s="678"/>
      <c r="MQM35" s="678"/>
      <c r="MQN35" s="678"/>
      <c r="MQO35" s="678"/>
      <c r="MQP35" s="678"/>
      <c r="MQQ35" s="678"/>
      <c r="MQR35" s="678"/>
      <c r="MQS35" s="678"/>
      <c r="MQT35" s="678"/>
      <c r="MQU35" s="678"/>
      <c r="MQV35" s="678"/>
      <c r="MQW35" s="678"/>
      <c r="MQX35" s="678"/>
      <c r="MQY35" s="678"/>
      <c r="MQZ35" s="678"/>
      <c r="MRA35" s="678"/>
      <c r="MRB35" s="678"/>
      <c r="MRC35" s="678"/>
      <c r="MRD35" s="678"/>
      <c r="MRE35" s="678"/>
      <c r="MRF35" s="678"/>
      <c r="MRG35" s="678"/>
      <c r="MRH35" s="678"/>
      <c r="MRI35" s="678"/>
      <c r="MRJ35" s="678"/>
      <c r="MRK35" s="678"/>
      <c r="MRL35" s="678"/>
      <c r="MRM35" s="678"/>
      <c r="MRN35" s="678"/>
      <c r="MRO35" s="678"/>
      <c r="MRP35" s="678"/>
      <c r="MRQ35" s="678"/>
      <c r="MRR35" s="678"/>
      <c r="MRS35" s="678"/>
      <c r="MRT35" s="678"/>
      <c r="MRU35" s="678"/>
      <c r="MRV35" s="678"/>
      <c r="MRW35" s="678"/>
      <c r="MRX35" s="678"/>
      <c r="MRY35" s="678"/>
      <c r="MRZ35" s="678"/>
      <c r="MSA35" s="678"/>
      <c r="MSB35" s="678"/>
      <c r="MSC35" s="678"/>
      <c r="MSD35" s="678"/>
      <c r="MSE35" s="678"/>
      <c r="MSF35" s="678"/>
      <c r="MSG35" s="678"/>
      <c r="MSH35" s="678"/>
      <c r="MSI35" s="678"/>
      <c r="MSJ35" s="678"/>
      <c r="MSK35" s="678"/>
      <c r="MSL35" s="678"/>
      <c r="MSM35" s="678"/>
      <c r="MSN35" s="678"/>
      <c r="MSO35" s="678"/>
      <c r="MSP35" s="678"/>
      <c r="MSQ35" s="678"/>
      <c r="MSR35" s="678"/>
      <c r="MSS35" s="678"/>
      <c r="MST35" s="678"/>
      <c r="MSU35" s="678"/>
      <c r="MSV35" s="678"/>
      <c r="MSW35" s="678"/>
      <c r="MSX35" s="678"/>
      <c r="MSY35" s="678"/>
      <c r="MSZ35" s="678"/>
      <c r="MTA35" s="678"/>
      <c r="MTB35" s="678"/>
      <c r="MTC35" s="678"/>
      <c r="MTD35" s="678"/>
      <c r="MTE35" s="678"/>
      <c r="MTF35" s="678"/>
      <c r="MTG35" s="678"/>
      <c r="MTH35" s="678"/>
      <c r="MTI35" s="678"/>
      <c r="MTJ35" s="678"/>
      <c r="MTK35" s="678"/>
      <c r="MTL35" s="678"/>
      <c r="MTM35" s="678"/>
      <c r="MTN35" s="678"/>
      <c r="MTO35" s="678"/>
      <c r="MTP35" s="678"/>
      <c r="MTQ35" s="678"/>
      <c r="MTR35" s="678"/>
      <c r="MTS35" s="678"/>
      <c r="MTT35" s="678"/>
      <c r="MTU35" s="678"/>
      <c r="MTV35" s="678"/>
      <c r="MTW35" s="678"/>
      <c r="MTX35" s="678"/>
      <c r="MTY35" s="678"/>
      <c r="MTZ35" s="678"/>
      <c r="MUA35" s="678"/>
      <c r="MUB35" s="678"/>
      <c r="MUC35" s="678"/>
      <c r="MUD35" s="678"/>
      <c r="MUE35" s="678"/>
      <c r="MUF35" s="678"/>
      <c r="MUG35" s="678"/>
      <c r="MUH35" s="678"/>
      <c r="MUI35" s="678"/>
      <c r="MUJ35" s="678"/>
      <c r="MUK35" s="678"/>
      <c r="MUL35" s="678"/>
      <c r="MUM35" s="678"/>
      <c r="MUN35" s="678"/>
      <c r="MUO35" s="678"/>
      <c r="MUP35" s="678"/>
      <c r="MUQ35" s="678"/>
      <c r="MUR35" s="678"/>
      <c r="MUS35" s="678"/>
      <c r="MUT35" s="678"/>
      <c r="MUU35" s="678"/>
      <c r="MUV35" s="678"/>
      <c r="MUW35" s="678"/>
      <c r="MUX35" s="678"/>
      <c r="MUY35" s="678"/>
      <c r="MUZ35" s="678"/>
      <c r="MVA35" s="678"/>
      <c r="MVB35" s="678"/>
      <c r="MVC35" s="678"/>
      <c r="MVD35" s="678"/>
      <c r="MVE35" s="678"/>
      <c r="MVF35" s="678"/>
      <c r="MVG35" s="678"/>
      <c r="MVH35" s="678"/>
      <c r="MVI35" s="678"/>
      <c r="MVJ35" s="678"/>
      <c r="MVK35" s="678"/>
      <c r="MVL35" s="678"/>
      <c r="MVM35" s="678"/>
      <c r="MVN35" s="678"/>
      <c r="MVO35" s="678"/>
      <c r="MVP35" s="678"/>
      <c r="MVQ35" s="678"/>
      <c r="MVR35" s="678"/>
      <c r="MVS35" s="678"/>
      <c r="MVT35" s="678"/>
      <c r="MVU35" s="678"/>
      <c r="MVV35" s="678"/>
      <c r="MVW35" s="678"/>
      <c r="MVX35" s="678"/>
      <c r="MVY35" s="678"/>
      <c r="MVZ35" s="678"/>
      <c r="MWA35" s="678"/>
      <c r="MWB35" s="678"/>
      <c r="MWC35" s="678"/>
      <c r="MWD35" s="678"/>
      <c r="MWE35" s="678"/>
      <c r="MWF35" s="678"/>
      <c r="MWG35" s="678"/>
      <c r="MWH35" s="678"/>
      <c r="MWI35" s="678"/>
      <c r="MWJ35" s="678"/>
      <c r="MWK35" s="678"/>
      <c r="MWL35" s="678"/>
      <c r="MWM35" s="678"/>
      <c r="MWN35" s="678"/>
      <c r="MWO35" s="678"/>
      <c r="MWP35" s="678"/>
      <c r="MWQ35" s="678"/>
      <c r="MWR35" s="678"/>
      <c r="MWS35" s="678"/>
      <c r="MWT35" s="678"/>
      <c r="MWU35" s="678"/>
      <c r="MWV35" s="678"/>
      <c r="MWW35" s="678"/>
      <c r="MWX35" s="678"/>
      <c r="MWY35" s="678"/>
      <c r="MWZ35" s="678"/>
      <c r="MXA35" s="678"/>
      <c r="MXB35" s="678"/>
      <c r="MXC35" s="678"/>
      <c r="MXD35" s="678"/>
      <c r="MXE35" s="678"/>
      <c r="MXF35" s="678"/>
      <c r="MXG35" s="678"/>
      <c r="MXH35" s="678"/>
      <c r="MXI35" s="678"/>
      <c r="MXJ35" s="678"/>
      <c r="MXK35" s="678"/>
      <c r="MXL35" s="678"/>
      <c r="MXM35" s="678"/>
      <c r="MXN35" s="678"/>
      <c r="MXO35" s="678"/>
      <c r="MXP35" s="678"/>
      <c r="MXQ35" s="678"/>
      <c r="MXR35" s="678"/>
      <c r="MXS35" s="678"/>
      <c r="MXT35" s="678"/>
      <c r="MXU35" s="678"/>
      <c r="MXV35" s="678"/>
      <c r="MXW35" s="678"/>
      <c r="MXX35" s="678"/>
      <c r="MXY35" s="678"/>
      <c r="MXZ35" s="678"/>
      <c r="MYA35" s="678"/>
      <c r="MYB35" s="678"/>
      <c r="MYC35" s="678"/>
      <c r="MYD35" s="678"/>
      <c r="MYE35" s="678"/>
      <c r="MYF35" s="678"/>
      <c r="MYG35" s="678"/>
      <c r="MYH35" s="678"/>
      <c r="MYI35" s="678"/>
      <c r="MYJ35" s="678"/>
      <c r="MYK35" s="678"/>
      <c r="MYL35" s="678"/>
      <c r="MYM35" s="678"/>
      <c r="MYN35" s="678"/>
      <c r="MYO35" s="678"/>
      <c r="MYP35" s="678"/>
      <c r="MYQ35" s="678"/>
      <c r="MYR35" s="678"/>
      <c r="MYS35" s="678"/>
      <c r="MYT35" s="678"/>
      <c r="MYU35" s="678"/>
      <c r="MYV35" s="678"/>
      <c r="MYW35" s="678"/>
      <c r="MYX35" s="678"/>
      <c r="MYY35" s="678"/>
      <c r="MYZ35" s="678"/>
      <c r="MZA35" s="678"/>
      <c r="MZB35" s="678"/>
      <c r="MZC35" s="678"/>
      <c r="MZD35" s="678"/>
      <c r="MZE35" s="678"/>
      <c r="MZF35" s="678"/>
      <c r="MZG35" s="678"/>
      <c r="MZH35" s="678"/>
      <c r="MZI35" s="678"/>
      <c r="MZJ35" s="678"/>
      <c r="MZK35" s="678"/>
      <c r="MZL35" s="678"/>
      <c r="MZM35" s="678"/>
      <c r="MZN35" s="678"/>
      <c r="MZO35" s="678"/>
      <c r="MZP35" s="678"/>
      <c r="MZQ35" s="678"/>
      <c r="MZR35" s="678"/>
      <c r="MZS35" s="678"/>
      <c r="MZT35" s="678"/>
      <c r="MZU35" s="678"/>
      <c r="MZV35" s="678"/>
      <c r="MZW35" s="678"/>
      <c r="MZX35" s="678"/>
      <c r="MZY35" s="678"/>
      <c r="MZZ35" s="678"/>
      <c r="NAA35" s="678"/>
      <c r="NAB35" s="678"/>
      <c r="NAC35" s="678"/>
      <c r="NAD35" s="678"/>
      <c r="NAE35" s="678"/>
      <c r="NAF35" s="678"/>
      <c r="NAG35" s="678"/>
      <c r="NAH35" s="678"/>
      <c r="NAI35" s="678"/>
      <c r="NAJ35" s="678"/>
      <c r="NAK35" s="678"/>
      <c r="NAL35" s="678"/>
      <c r="NAM35" s="678"/>
      <c r="NAN35" s="678"/>
      <c r="NAO35" s="678"/>
      <c r="NAP35" s="678"/>
      <c r="NAQ35" s="678"/>
      <c r="NAR35" s="678"/>
      <c r="NAS35" s="678"/>
      <c r="NAT35" s="678"/>
      <c r="NAU35" s="678"/>
      <c r="NAV35" s="678"/>
      <c r="NAW35" s="678"/>
      <c r="NAX35" s="678"/>
      <c r="NAY35" s="678"/>
      <c r="NAZ35" s="678"/>
      <c r="NBA35" s="678"/>
      <c r="NBB35" s="678"/>
      <c r="NBC35" s="678"/>
      <c r="NBD35" s="678"/>
      <c r="NBE35" s="678"/>
      <c r="NBF35" s="678"/>
      <c r="NBG35" s="678"/>
      <c r="NBH35" s="678"/>
      <c r="NBI35" s="678"/>
      <c r="NBJ35" s="678"/>
      <c r="NBK35" s="678"/>
      <c r="NBL35" s="678"/>
      <c r="NBM35" s="678"/>
      <c r="NBN35" s="678"/>
      <c r="NBO35" s="678"/>
      <c r="NBP35" s="678"/>
      <c r="NBQ35" s="678"/>
      <c r="NBR35" s="678"/>
      <c r="NBS35" s="678"/>
      <c r="NBT35" s="678"/>
      <c r="NBU35" s="678"/>
      <c r="NBV35" s="678"/>
      <c r="NBW35" s="678"/>
      <c r="NBX35" s="678"/>
      <c r="NBY35" s="678"/>
      <c r="NBZ35" s="678"/>
      <c r="NCA35" s="678"/>
      <c r="NCB35" s="678"/>
      <c r="NCC35" s="678"/>
      <c r="NCD35" s="678"/>
      <c r="NCE35" s="678"/>
      <c r="NCF35" s="678"/>
      <c r="NCG35" s="678"/>
      <c r="NCH35" s="678"/>
      <c r="NCI35" s="678"/>
      <c r="NCJ35" s="678"/>
      <c r="NCK35" s="678"/>
      <c r="NCL35" s="678"/>
      <c r="NCM35" s="678"/>
      <c r="NCN35" s="678"/>
      <c r="NCO35" s="678"/>
      <c r="NCP35" s="678"/>
      <c r="NCQ35" s="678"/>
      <c r="NCR35" s="678"/>
      <c r="NCS35" s="678"/>
      <c r="NCT35" s="678"/>
      <c r="NCU35" s="678"/>
      <c r="NCV35" s="678"/>
      <c r="NCW35" s="678"/>
      <c r="NCX35" s="678"/>
      <c r="NCY35" s="678"/>
      <c r="NCZ35" s="678"/>
      <c r="NDA35" s="678"/>
      <c r="NDB35" s="678"/>
      <c r="NDC35" s="678"/>
      <c r="NDD35" s="678"/>
      <c r="NDE35" s="678"/>
      <c r="NDF35" s="678"/>
      <c r="NDG35" s="678"/>
      <c r="NDH35" s="678"/>
      <c r="NDI35" s="678"/>
      <c r="NDJ35" s="678"/>
      <c r="NDK35" s="678"/>
      <c r="NDL35" s="678"/>
      <c r="NDM35" s="678"/>
      <c r="NDN35" s="678"/>
      <c r="NDO35" s="678"/>
      <c r="NDP35" s="678"/>
      <c r="NDQ35" s="678"/>
      <c r="NDR35" s="678"/>
      <c r="NDS35" s="678"/>
      <c r="NDT35" s="678"/>
      <c r="NDU35" s="678"/>
      <c r="NDV35" s="678"/>
      <c r="NDW35" s="678"/>
      <c r="NDX35" s="678"/>
      <c r="NDY35" s="678"/>
      <c r="NDZ35" s="678"/>
      <c r="NEA35" s="678"/>
      <c r="NEB35" s="678"/>
      <c r="NEC35" s="678"/>
      <c r="NED35" s="678"/>
      <c r="NEE35" s="678"/>
      <c r="NEF35" s="678"/>
      <c r="NEG35" s="678"/>
      <c r="NEH35" s="678"/>
      <c r="NEI35" s="678"/>
      <c r="NEJ35" s="678"/>
      <c r="NEK35" s="678"/>
      <c r="NEL35" s="678"/>
      <c r="NEM35" s="678"/>
      <c r="NEN35" s="678"/>
      <c r="NEO35" s="678"/>
      <c r="NEP35" s="678"/>
      <c r="NEQ35" s="678"/>
      <c r="NER35" s="678"/>
      <c r="NES35" s="678"/>
      <c r="NET35" s="678"/>
      <c r="NEU35" s="678"/>
      <c r="NEV35" s="678"/>
      <c r="NEW35" s="678"/>
      <c r="NEX35" s="678"/>
      <c r="NEY35" s="678"/>
      <c r="NEZ35" s="678"/>
      <c r="NFA35" s="678"/>
      <c r="NFB35" s="678"/>
      <c r="NFC35" s="678"/>
      <c r="NFD35" s="678"/>
      <c r="NFE35" s="678"/>
      <c r="NFF35" s="678"/>
      <c r="NFG35" s="678"/>
      <c r="NFH35" s="678"/>
      <c r="NFI35" s="678"/>
      <c r="NFJ35" s="678"/>
      <c r="NFK35" s="678"/>
      <c r="NFL35" s="678"/>
      <c r="NFM35" s="678"/>
      <c r="NFN35" s="678"/>
      <c r="NFO35" s="678"/>
      <c r="NFP35" s="678"/>
      <c r="NFQ35" s="678"/>
      <c r="NFR35" s="678"/>
      <c r="NFS35" s="678"/>
      <c r="NFT35" s="678"/>
      <c r="NFU35" s="678"/>
      <c r="NFV35" s="678"/>
      <c r="NFW35" s="678"/>
      <c r="NFX35" s="678"/>
      <c r="NFY35" s="678"/>
      <c r="NFZ35" s="678"/>
      <c r="NGA35" s="678"/>
      <c r="NGB35" s="678"/>
      <c r="NGC35" s="678"/>
      <c r="NGD35" s="678"/>
      <c r="NGE35" s="678"/>
      <c r="NGF35" s="678"/>
      <c r="NGG35" s="678"/>
      <c r="NGH35" s="678"/>
      <c r="NGI35" s="678"/>
      <c r="NGJ35" s="678"/>
      <c r="NGK35" s="678"/>
      <c r="NGL35" s="678"/>
      <c r="NGM35" s="678"/>
      <c r="NGN35" s="678"/>
      <c r="NGO35" s="678"/>
      <c r="NGP35" s="678"/>
      <c r="NGQ35" s="678"/>
      <c r="NGR35" s="678"/>
      <c r="NGS35" s="678"/>
      <c r="NGT35" s="678"/>
      <c r="NGU35" s="678"/>
      <c r="NGV35" s="678"/>
      <c r="NGW35" s="678"/>
      <c r="NGX35" s="678"/>
      <c r="NGY35" s="678"/>
      <c r="NGZ35" s="678"/>
      <c r="NHA35" s="678"/>
      <c r="NHB35" s="678"/>
      <c r="NHC35" s="678"/>
      <c r="NHD35" s="678"/>
      <c r="NHE35" s="678"/>
      <c r="NHF35" s="678"/>
      <c r="NHG35" s="678"/>
      <c r="NHH35" s="678"/>
      <c r="NHI35" s="678"/>
      <c r="NHJ35" s="678"/>
      <c r="NHK35" s="678"/>
      <c r="NHL35" s="678"/>
      <c r="NHM35" s="678"/>
      <c r="NHN35" s="678"/>
      <c r="NHO35" s="678"/>
      <c r="NHP35" s="678"/>
      <c r="NHQ35" s="678"/>
      <c r="NHR35" s="678"/>
      <c r="NHS35" s="678"/>
      <c r="NHT35" s="678"/>
      <c r="NHU35" s="678"/>
      <c r="NHV35" s="678"/>
      <c r="NHW35" s="678"/>
      <c r="NHX35" s="678"/>
      <c r="NHY35" s="678"/>
      <c r="NHZ35" s="678"/>
      <c r="NIA35" s="678"/>
      <c r="NIB35" s="678"/>
      <c r="NIC35" s="678"/>
      <c r="NID35" s="678"/>
      <c r="NIE35" s="678"/>
      <c r="NIF35" s="678"/>
      <c r="NIG35" s="678"/>
      <c r="NIH35" s="678"/>
      <c r="NII35" s="678"/>
      <c r="NIJ35" s="678"/>
      <c r="NIK35" s="678"/>
      <c r="NIL35" s="678"/>
      <c r="NIM35" s="678"/>
      <c r="NIN35" s="678"/>
      <c r="NIO35" s="678"/>
      <c r="NIP35" s="678"/>
      <c r="NIQ35" s="678"/>
      <c r="NIR35" s="678"/>
      <c r="NIS35" s="678"/>
      <c r="NIT35" s="678"/>
      <c r="NIU35" s="678"/>
      <c r="NIV35" s="678"/>
      <c r="NIW35" s="678"/>
      <c r="NIX35" s="678"/>
      <c r="NIY35" s="678"/>
      <c r="NIZ35" s="678"/>
      <c r="NJA35" s="678"/>
      <c r="NJB35" s="678"/>
      <c r="NJC35" s="678"/>
      <c r="NJD35" s="678"/>
      <c r="NJE35" s="678"/>
      <c r="NJF35" s="678"/>
      <c r="NJG35" s="678"/>
      <c r="NJH35" s="678"/>
      <c r="NJI35" s="678"/>
      <c r="NJJ35" s="678"/>
      <c r="NJK35" s="678"/>
      <c r="NJL35" s="678"/>
      <c r="NJM35" s="678"/>
      <c r="NJN35" s="678"/>
      <c r="NJO35" s="678"/>
      <c r="NJP35" s="678"/>
      <c r="NJQ35" s="678"/>
      <c r="NJR35" s="678"/>
      <c r="NJS35" s="678"/>
      <c r="NJT35" s="678"/>
      <c r="NJU35" s="678"/>
      <c r="NJV35" s="678"/>
      <c r="NJW35" s="678"/>
      <c r="NJX35" s="678"/>
      <c r="NJY35" s="678"/>
      <c r="NJZ35" s="678"/>
      <c r="NKA35" s="678"/>
      <c r="NKB35" s="678"/>
      <c r="NKC35" s="678"/>
      <c r="NKD35" s="678"/>
      <c r="NKE35" s="678"/>
      <c r="NKF35" s="678"/>
      <c r="NKG35" s="678"/>
      <c r="NKH35" s="678"/>
      <c r="NKI35" s="678"/>
      <c r="NKJ35" s="678"/>
      <c r="NKK35" s="678"/>
      <c r="NKL35" s="678"/>
      <c r="NKM35" s="678"/>
      <c r="NKN35" s="678"/>
      <c r="NKO35" s="678"/>
      <c r="NKP35" s="678"/>
      <c r="NKQ35" s="678"/>
      <c r="NKR35" s="678"/>
      <c r="NKS35" s="678"/>
      <c r="NKT35" s="678"/>
      <c r="NKU35" s="678"/>
      <c r="NKV35" s="678"/>
      <c r="NKW35" s="678"/>
      <c r="NKX35" s="678"/>
      <c r="NKY35" s="678"/>
      <c r="NKZ35" s="678"/>
      <c r="NLA35" s="678"/>
      <c r="NLB35" s="678"/>
      <c r="NLC35" s="678"/>
      <c r="NLD35" s="678"/>
      <c r="NLE35" s="678"/>
      <c r="NLF35" s="678"/>
      <c r="NLG35" s="678"/>
      <c r="NLH35" s="678"/>
      <c r="NLI35" s="678"/>
      <c r="NLJ35" s="678"/>
      <c r="NLK35" s="678"/>
      <c r="NLL35" s="678"/>
      <c r="NLM35" s="678"/>
      <c r="NLN35" s="678"/>
      <c r="NLO35" s="678"/>
      <c r="NLP35" s="678"/>
      <c r="NLQ35" s="678"/>
      <c r="NLR35" s="678"/>
      <c r="NLS35" s="678"/>
      <c r="NLT35" s="678"/>
      <c r="NLU35" s="678"/>
      <c r="NLV35" s="678"/>
      <c r="NLW35" s="678"/>
      <c r="NLX35" s="678"/>
      <c r="NLY35" s="678"/>
      <c r="NLZ35" s="678"/>
      <c r="NMA35" s="678"/>
      <c r="NMB35" s="678"/>
      <c r="NMC35" s="678"/>
      <c r="NMD35" s="678"/>
      <c r="NME35" s="678"/>
      <c r="NMF35" s="678"/>
      <c r="NMG35" s="678"/>
      <c r="NMH35" s="678"/>
      <c r="NMI35" s="678"/>
      <c r="NMJ35" s="678"/>
      <c r="NMK35" s="678"/>
      <c r="NML35" s="678"/>
      <c r="NMM35" s="678"/>
      <c r="NMN35" s="678"/>
      <c r="NMO35" s="678"/>
      <c r="NMP35" s="678"/>
      <c r="NMQ35" s="678"/>
      <c r="NMR35" s="678"/>
      <c r="NMS35" s="678"/>
      <c r="NMT35" s="678"/>
      <c r="NMU35" s="678"/>
      <c r="NMV35" s="678"/>
      <c r="NMW35" s="678"/>
      <c r="NMX35" s="678"/>
      <c r="NMY35" s="678"/>
      <c r="NMZ35" s="678"/>
      <c r="NNA35" s="678"/>
      <c r="NNB35" s="678"/>
      <c r="NNC35" s="678"/>
      <c r="NND35" s="678"/>
      <c r="NNE35" s="678"/>
      <c r="NNF35" s="678"/>
      <c r="NNG35" s="678"/>
      <c r="NNH35" s="678"/>
      <c r="NNI35" s="678"/>
      <c r="NNJ35" s="678"/>
      <c r="NNK35" s="678"/>
      <c r="NNL35" s="678"/>
      <c r="NNM35" s="678"/>
      <c r="NNN35" s="678"/>
      <c r="NNO35" s="678"/>
      <c r="NNP35" s="678"/>
      <c r="NNQ35" s="678"/>
      <c r="NNR35" s="678"/>
      <c r="NNS35" s="678"/>
      <c r="NNT35" s="678"/>
      <c r="NNU35" s="678"/>
      <c r="NNV35" s="678"/>
      <c r="NNW35" s="678"/>
      <c r="NNX35" s="678"/>
      <c r="NNY35" s="678"/>
      <c r="NNZ35" s="678"/>
      <c r="NOA35" s="678"/>
      <c r="NOB35" s="678"/>
      <c r="NOC35" s="678"/>
      <c r="NOD35" s="678"/>
      <c r="NOE35" s="678"/>
      <c r="NOF35" s="678"/>
      <c r="NOG35" s="678"/>
      <c r="NOH35" s="678"/>
      <c r="NOI35" s="678"/>
      <c r="NOJ35" s="678"/>
      <c r="NOK35" s="678"/>
      <c r="NOL35" s="678"/>
      <c r="NOM35" s="678"/>
      <c r="NON35" s="678"/>
      <c r="NOO35" s="678"/>
      <c r="NOP35" s="678"/>
      <c r="NOQ35" s="678"/>
      <c r="NOR35" s="678"/>
      <c r="NOS35" s="678"/>
      <c r="NOT35" s="678"/>
      <c r="NOU35" s="678"/>
      <c r="NOV35" s="678"/>
      <c r="NOW35" s="678"/>
      <c r="NOX35" s="678"/>
      <c r="NOY35" s="678"/>
      <c r="NOZ35" s="678"/>
      <c r="NPA35" s="678"/>
      <c r="NPB35" s="678"/>
      <c r="NPC35" s="678"/>
      <c r="NPD35" s="678"/>
      <c r="NPE35" s="678"/>
      <c r="NPF35" s="678"/>
      <c r="NPG35" s="678"/>
      <c r="NPH35" s="678"/>
      <c r="NPI35" s="678"/>
      <c r="NPJ35" s="678"/>
      <c r="NPK35" s="678"/>
      <c r="NPL35" s="678"/>
      <c r="NPM35" s="678"/>
      <c r="NPN35" s="678"/>
      <c r="NPO35" s="678"/>
      <c r="NPP35" s="678"/>
      <c r="NPQ35" s="678"/>
      <c r="NPR35" s="678"/>
      <c r="NPS35" s="678"/>
      <c r="NPT35" s="678"/>
      <c r="NPU35" s="678"/>
      <c r="NPV35" s="678"/>
      <c r="NPW35" s="678"/>
      <c r="NPX35" s="678"/>
      <c r="NPY35" s="678"/>
      <c r="NPZ35" s="678"/>
      <c r="NQA35" s="678"/>
      <c r="NQB35" s="678"/>
      <c r="NQC35" s="678"/>
      <c r="NQD35" s="678"/>
      <c r="NQE35" s="678"/>
      <c r="NQF35" s="678"/>
      <c r="NQG35" s="678"/>
      <c r="NQH35" s="678"/>
      <c r="NQI35" s="678"/>
      <c r="NQJ35" s="678"/>
      <c r="NQK35" s="678"/>
      <c r="NQL35" s="678"/>
      <c r="NQM35" s="678"/>
      <c r="NQN35" s="678"/>
      <c r="NQO35" s="678"/>
      <c r="NQP35" s="678"/>
      <c r="NQQ35" s="678"/>
      <c r="NQR35" s="678"/>
      <c r="NQS35" s="678"/>
      <c r="NQT35" s="678"/>
      <c r="NQU35" s="678"/>
      <c r="NQV35" s="678"/>
      <c r="NQW35" s="678"/>
      <c r="NQX35" s="678"/>
      <c r="NQY35" s="678"/>
      <c r="NQZ35" s="678"/>
      <c r="NRA35" s="678"/>
      <c r="NRB35" s="678"/>
      <c r="NRC35" s="678"/>
      <c r="NRD35" s="678"/>
      <c r="NRE35" s="678"/>
      <c r="NRF35" s="678"/>
      <c r="NRG35" s="678"/>
      <c r="NRH35" s="678"/>
      <c r="NRI35" s="678"/>
      <c r="NRJ35" s="678"/>
      <c r="NRK35" s="678"/>
      <c r="NRL35" s="678"/>
      <c r="NRM35" s="678"/>
      <c r="NRN35" s="678"/>
      <c r="NRO35" s="678"/>
      <c r="NRP35" s="678"/>
      <c r="NRQ35" s="678"/>
      <c r="NRR35" s="678"/>
      <c r="NRS35" s="678"/>
      <c r="NRT35" s="678"/>
      <c r="NRU35" s="678"/>
      <c r="NRV35" s="678"/>
      <c r="NRW35" s="678"/>
      <c r="NRX35" s="678"/>
      <c r="NRY35" s="678"/>
      <c r="NRZ35" s="678"/>
      <c r="NSA35" s="678"/>
      <c r="NSB35" s="678"/>
      <c r="NSC35" s="678"/>
      <c r="NSD35" s="678"/>
      <c r="NSE35" s="678"/>
      <c r="NSF35" s="678"/>
      <c r="NSG35" s="678"/>
      <c r="NSH35" s="678"/>
      <c r="NSI35" s="678"/>
      <c r="NSJ35" s="678"/>
      <c r="NSK35" s="678"/>
      <c r="NSL35" s="678"/>
      <c r="NSM35" s="678"/>
      <c r="NSN35" s="678"/>
      <c r="NSO35" s="678"/>
      <c r="NSP35" s="678"/>
      <c r="NSQ35" s="678"/>
      <c r="NSR35" s="678"/>
      <c r="NSS35" s="678"/>
      <c r="NST35" s="678"/>
      <c r="NSU35" s="678"/>
      <c r="NSV35" s="678"/>
      <c r="NSW35" s="678"/>
      <c r="NSX35" s="678"/>
      <c r="NSY35" s="678"/>
      <c r="NSZ35" s="678"/>
      <c r="NTA35" s="678"/>
      <c r="NTB35" s="678"/>
      <c r="NTC35" s="678"/>
      <c r="NTD35" s="678"/>
      <c r="NTE35" s="678"/>
      <c r="NTF35" s="678"/>
      <c r="NTG35" s="678"/>
      <c r="NTH35" s="678"/>
      <c r="NTI35" s="678"/>
      <c r="NTJ35" s="678"/>
      <c r="NTK35" s="678"/>
      <c r="NTL35" s="678"/>
      <c r="NTM35" s="678"/>
      <c r="NTN35" s="678"/>
      <c r="NTO35" s="678"/>
      <c r="NTP35" s="678"/>
      <c r="NTQ35" s="678"/>
      <c r="NTR35" s="678"/>
      <c r="NTS35" s="678"/>
      <c r="NTT35" s="678"/>
      <c r="NTU35" s="678"/>
      <c r="NTV35" s="678"/>
      <c r="NTW35" s="678"/>
      <c r="NTX35" s="678"/>
      <c r="NTY35" s="678"/>
      <c r="NTZ35" s="678"/>
      <c r="NUA35" s="678"/>
      <c r="NUB35" s="678"/>
      <c r="NUC35" s="678"/>
      <c r="NUD35" s="678"/>
      <c r="NUE35" s="678"/>
      <c r="NUF35" s="678"/>
      <c r="NUG35" s="678"/>
      <c r="NUH35" s="678"/>
      <c r="NUI35" s="678"/>
      <c r="NUJ35" s="678"/>
      <c r="NUK35" s="678"/>
      <c r="NUL35" s="678"/>
      <c r="NUM35" s="678"/>
      <c r="NUN35" s="678"/>
      <c r="NUO35" s="678"/>
      <c r="NUP35" s="678"/>
      <c r="NUQ35" s="678"/>
      <c r="NUR35" s="678"/>
      <c r="NUS35" s="678"/>
      <c r="NUT35" s="678"/>
      <c r="NUU35" s="678"/>
      <c r="NUV35" s="678"/>
      <c r="NUW35" s="678"/>
      <c r="NUX35" s="678"/>
      <c r="NUY35" s="678"/>
      <c r="NUZ35" s="678"/>
      <c r="NVA35" s="678"/>
      <c r="NVB35" s="678"/>
      <c r="NVC35" s="678"/>
      <c r="NVD35" s="678"/>
      <c r="NVE35" s="678"/>
      <c r="NVF35" s="678"/>
      <c r="NVG35" s="678"/>
      <c r="NVH35" s="678"/>
      <c r="NVI35" s="678"/>
      <c r="NVJ35" s="678"/>
      <c r="NVK35" s="678"/>
      <c r="NVL35" s="678"/>
      <c r="NVM35" s="678"/>
      <c r="NVN35" s="678"/>
      <c r="NVO35" s="678"/>
      <c r="NVP35" s="678"/>
      <c r="NVQ35" s="678"/>
      <c r="NVR35" s="678"/>
      <c r="NVS35" s="678"/>
      <c r="NVT35" s="678"/>
      <c r="NVU35" s="678"/>
      <c r="NVV35" s="678"/>
      <c r="NVW35" s="678"/>
      <c r="NVX35" s="678"/>
      <c r="NVY35" s="678"/>
      <c r="NVZ35" s="678"/>
      <c r="NWA35" s="678"/>
      <c r="NWB35" s="678"/>
      <c r="NWC35" s="678"/>
      <c r="NWD35" s="678"/>
      <c r="NWE35" s="678"/>
      <c r="NWF35" s="678"/>
      <c r="NWG35" s="678"/>
      <c r="NWH35" s="678"/>
      <c r="NWI35" s="678"/>
      <c r="NWJ35" s="678"/>
      <c r="NWK35" s="678"/>
      <c r="NWL35" s="678"/>
      <c r="NWM35" s="678"/>
      <c r="NWN35" s="678"/>
      <c r="NWO35" s="678"/>
      <c r="NWP35" s="678"/>
      <c r="NWQ35" s="678"/>
      <c r="NWR35" s="678"/>
      <c r="NWS35" s="678"/>
      <c r="NWT35" s="678"/>
      <c r="NWU35" s="678"/>
      <c r="NWV35" s="678"/>
      <c r="NWW35" s="678"/>
      <c r="NWX35" s="678"/>
      <c r="NWY35" s="678"/>
      <c r="NWZ35" s="678"/>
      <c r="NXA35" s="678"/>
      <c r="NXB35" s="678"/>
      <c r="NXC35" s="678"/>
      <c r="NXD35" s="678"/>
      <c r="NXE35" s="678"/>
      <c r="NXF35" s="678"/>
      <c r="NXG35" s="678"/>
      <c r="NXH35" s="678"/>
      <c r="NXI35" s="678"/>
      <c r="NXJ35" s="678"/>
      <c r="NXK35" s="678"/>
      <c r="NXL35" s="678"/>
      <c r="NXM35" s="678"/>
      <c r="NXN35" s="678"/>
      <c r="NXO35" s="678"/>
      <c r="NXP35" s="678"/>
      <c r="NXQ35" s="678"/>
      <c r="NXR35" s="678"/>
      <c r="NXS35" s="678"/>
      <c r="NXT35" s="678"/>
      <c r="NXU35" s="678"/>
      <c r="NXV35" s="678"/>
      <c r="NXW35" s="678"/>
      <c r="NXX35" s="678"/>
      <c r="NXY35" s="678"/>
      <c r="NXZ35" s="678"/>
      <c r="NYA35" s="678"/>
      <c r="NYB35" s="678"/>
      <c r="NYC35" s="678"/>
      <c r="NYD35" s="678"/>
      <c r="NYE35" s="678"/>
      <c r="NYF35" s="678"/>
      <c r="NYG35" s="678"/>
      <c r="NYH35" s="678"/>
      <c r="NYI35" s="678"/>
      <c r="NYJ35" s="678"/>
      <c r="NYK35" s="678"/>
      <c r="NYL35" s="678"/>
      <c r="NYM35" s="678"/>
      <c r="NYN35" s="678"/>
      <c r="NYO35" s="678"/>
      <c r="NYP35" s="678"/>
      <c r="NYQ35" s="678"/>
      <c r="NYR35" s="678"/>
      <c r="NYS35" s="678"/>
      <c r="NYT35" s="678"/>
      <c r="NYU35" s="678"/>
      <c r="NYV35" s="678"/>
      <c r="NYW35" s="678"/>
      <c r="NYX35" s="678"/>
      <c r="NYY35" s="678"/>
      <c r="NYZ35" s="678"/>
      <c r="NZA35" s="678"/>
      <c r="NZB35" s="678"/>
      <c r="NZC35" s="678"/>
      <c r="NZD35" s="678"/>
      <c r="NZE35" s="678"/>
      <c r="NZF35" s="678"/>
      <c r="NZG35" s="678"/>
      <c r="NZH35" s="678"/>
      <c r="NZI35" s="678"/>
      <c r="NZJ35" s="678"/>
      <c r="NZK35" s="678"/>
      <c r="NZL35" s="678"/>
      <c r="NZM35" s="678"/>
      <c r="NZN35" s="678"/>
      <c r="NZO35" s="678"/>
      <c r="NZP35" s="678"/>
      <c r="NZQ35" s="678"/>
      <c r="NZR35" s="678"/>
      <c r="NZS35" s="678"/>
      <c r="NZT35" s="678"/>
      <c r="NZU35" s="678"/>
      <c r="NZV35" s="678"/>
      <c r="NZW35" s="678"/>
      <c r="NZX35" s="678"/>
      <c r="NZY35" s="678"/>
      <c r="NZZ35" s="678"/>
      <c r="OAA35" s="678"/>
      <c r="OAB35" s="678"/>
      <c r="OAC35" s="678"/>
      <c r="OAD35" s="678"/>
      <c r="OAE35" s="678"/>
      <c r="OAF35" s="678"/>
      <c r="OAG35" s="678"/>
      <c r="OAH35" s="678"/>
      <c r="OAI35" s="678"/>
      <c r="OAJ35" s="678"/>
      <c r="OAK35" s="678"/>
      <c r="OAL35" s="678"/>
      <c r="OAM35" s="678"/>
      <c r="OAN35" s="678"/>
      <c r="OAO35" s="678"/>
      <c r="OAP35" s="678"/>
      <c r="OAQ35" s="678"/>
      <c r="OAR35" s="678"/>
      <c r="OAS35" s="678"/>
      <c r="OAT35" s="678"/>
      <c r="OAU35" s="678"/>
      <c r="OAV35" s="678"/>
      <c r="OAW35" s="678"/>
      <c r="OAX35" s="678"/>
      <c r="OAY35" s="678"/>
      <c r="OAZ35" s="678"/>
      <c r="OBA35" s="678"/>
      <c r="OBB35" s="678"/>
      <c r="OBC35" s="678"/>
      <c r="OBD35" s="678"/>
      <c r="OBE35" s="678"/>
      <c r="OBF35" s="678"/>
      <c r="OBG35" s="678"/>
      <c r="OBH35" s="678"/>
      <c r="OBI35" s="678"/>
      <c r="OBJ35" s="678"/>
      <c r="OBK35" s="678"/>
      <c r="OBL35" s="678"/>
      <c r="OBM35" s="678"/>
      <c r="OBN35" s="678"/>
      <c r="OBO35" s="678"/>
      <c r="OBP35" s="678"/>
      <c r="OBQ35" s="678"/>
      <c r="OBR35" s="678"/>
      <c r="OBS35" s="678"/>
      <c r="OBT35" s="678"/>
      <c r="OBU35" s="678"/>
      <c r="OBV35" s="678"/>
      <c r="OBW35" s="678"/>
      <c r="OBX35" s="678"/>
      <c r="OBY35" s="678"/>
      <c r="OBZ35" s="678"/>
      <c r="OCA35" s="678"/>
      <c r="OCB35" s="678"/>
      <c r="OCC35" s="678"/>
      <c r="OCD35" s="678"/>
      <c r="OCE35" s="678"/>
      <c r="OCF35" s="678"/>
      <c r="OCG35" s="678"/>
      <c r="OCH35" s="678"/>
      <c r="OCI35" s="678"/>
      <c r="OCJ35" s="678"/>
      <c r="OCK35" s="678"/>
      <c r="OCL35" s="678"/>
      <c r="OCM35" s="678"/>
      <c r="OCN35" s="678"/>
      <c r="OCO35" s="678"/>
      <c r="OCP35" s="678"/>
      <c r="OCQ35" s="678"/>
      <c r="OCR35" s="678"/>
      <c r="OCS35" s="678"/>
      <c r="OCT35" s="678"/>
      <c r="OCU35" s="678"/>
      <c r="OCV35" s="678"/>
      <c r="OCW35" s="678"/>
      <c r="OCX35" s="678"/>
      <c r="OCY35" s="678"/>
      <c r="OCZ35" s="678"/>
      <c r="ODA35" s="678"/>
      <c r="ODB35" s="678"/>
      <c r="ODC35" s="678"/>
      <c r="ODD35" s="678"/>
      <c r="ODE35" s="678"/>
      <c r="ODF35" s="678"/>
      <c r="ODG35" s="678"/>
      <c r="ODH35" s="678"/>
      <c r="ODI35" s="678"/>
      <c r="ODJ35" s="678"/>
      <c r="ODK35" s="678"/>
      <c r="ODL35" s="678"/>
      <c r="ODM35" s="678"/>
      <c r="ODN35" s="678"/>
      <c r="ODO35" s="678"/>
      <c r="ODP35" s="678"/>
      <c r="ODQ35" s="678"/>
      <c r="ODR35" s="678"/>
      <c r="ODS35" s="678"/>
      <c r="ODT35" s="678"/>
      <c r="ODU35" s="678"/>
      <c r="ODV35" s="678"/>
      <c r="ODW35" s="678"/>
      <c r="ODX35" s="678"/>
      <c r="ODY35" s="678"/>
      <c r="ODZ35" s="678"/>
      <c r="OEA35" s="678"/>
      <c r="OEB35" s="678"/>
      <c r="OEC35" s="678"/>
      <c r="OED35" s="678"/>
      <c r="OEE35" s="678"/>
      <c r="OEF35" s="678"/>
      <c r="OEG35" s="678"/>
      <c r="OEH35" s="678"/>
      <c r="OEI35" s="678"/>
      <c r="OEJ35" s="678"/>
      <c r="OEK35" s="678"/>
      <c r="OEL35" s="678"/>
      <c r="OEM35" s="678"/>
      <c r="OEN35" s="678"/>
      <c r="OEO35" s="678"/>
      <c r="OEP35" s="678"/>
      <c r="OEQ35" s="678"/>
      <c r="OER35" s="678"/>
      <c r="OES35" s="678"/>
      <c r="OET35" s="678"/>
      <c r="OEU35" s="678"/>
      <c r="OEV35" s="678"/>
      <c r="OEW35" s="678"/>
      <c r="OEX35" s="678"/>
      <c r="OEY35" s="678"/>
      <c r="OEZ35" s="678"/>
      <c r="OFA35" s="678"/>
      <c r="OFB35" s="678"/>
      <c r="OFC35" s="678"/>
      <c r="OFD35" s="678"/>
      <c r="OFE35" s="678"/>
      <c r="OFF35" s="678"/>
      <c r="OFG35" s="678"/>
      <c r="OFH35" s="678"/>
      <c r="OFI35" s="678"/>
      <c r="OFJ35" s="678"/>
      <c r="OFK35" s="678"/>
      <c r="OFL35" s="678"/>
      <c r="OFM35" s="678"/>
      <c r="OFN35" s="678"/>
      <c r="OFO35" s="678"/>
      <c r="OFP35" s="678"/>
      <c r="OFQ35" s="678"/>
      <c r="OFR35" s="678"/>
      <c r="OFS35" s="678"/>
      <c r="OFT35" s="678"/>
      <c r="OFU35" s="678"/>
      <c r="OFV35" s="678"/>
      <c r="OFW35" s="678"/>
      <c r="OFX35" s="678"/>
      <c r="OFY35" s="678"/>
      <c r="OFZ35" s="678"/>
      <c r="OGA35" s="678"/>
      <c r="OGB35" s="678"/>
      <c r="OGC35" s="678"/>
      <c r="OGD35" s="678"/>
      <c r="OGE35" s="678"/>
      <c r="OGF35" s="678"/>
      <c r="OGG35" s="678"/>
      <c r="OGH35" s="678"/>
      <c r="OGI35" s="678"/>
      <c r="OGJ35" s="678"/>
      <c r="OGK35" s="678"/>
      <c r="OGL35" s="678"/>
      <c r="OGM35" s="678"/>
      <c r="OGN35" s="678"/>
      <c r="OGO35" s="678"/>
      <c r="OGP35" s="678"/>
      <c r="OGQ35" s="678"/>
      <c r="OGR35" s="678"/>
      <c r="OGS35" s="678"/>
      <c r="OGT35" s="678"/>
      <c r="OGU35" s="678"/>
      <c r="OGV35" s="678"/>
      <c r="OGW35" s="678"/>
      <c r="OGX35" s="678"/>
      <c r="OGY35" s="678"/>
      <c r="OGZ35" s="678"/>
      <c r="OHA35" s="678"/>
      <c r="OHB35" s="678"/>
      <c r="OHC35" s="678"/>
      <c r="OHD35" s="678"/>
      <c r="OHE35" s="678"/>
      <c r="OHF35" s="678"/>
      <c r="OHG35" s="678"/>
      <c r="OHH35" s="678"/>
      <c r="OHI35" s="678"/>
      <c r="OHJ35" s="678"/>
      <c r="OHK35" s="678"/>
      <c r="OHL35" s="678"/>
      <c r="OHM35" s="678"/>
      <c r="OHN35" s="678"/>
      <c r="OHO35" s="678"/>
      <c r="OHP35" s="678"/>
      <c r="OHQ35" s="678"/>
      <c r="OHR35" s="678"/>
      <c r="OHS35" s="678"/>
      <c r="OHT35" s="678"/>
      <c r="OHU35" s="678"/>
      <c r="OHV35" s="678"/>
      <c r="OHW35" s="678"/>
      <c r="OHX35" s="678"/>
      <c r="OHY35" s="678"/>
      <c r="OHZ35" s="678"/>
      <c r="OIA35" s="678"/>
      <c r="OIB35" s="678"/>
      <c r="OIC35" s="678"/>
      <c r="OID35" s="678"/>
      <c r="OIE35" s="678"/>
      <c r="OIF35" s="678"/>
      <c r="OIG35" s="678"/>
      <c r="OIH35" s="678"/>
      <c r="OII35" s="678"/>
      <c r="OIJ35" s="678"/>
      <c r="OIK35" s="678"/>
      <c r="OIL35" s="678"/>
      <c r="OIM35" s="678"/>
      <c r="OIN35" s="678"/>
      <c r="OIO35" s="678"/>
      <c r="OIP35" s="678"/>
      <c r="OIQ35" s="678"/>
      <c r="OIR35" s="678"/>
      <c r="OIS35" s="678"/>
      <c r="OIT35" s="678"/>
      <c r="OIU35" s="678"/>
      <c r="OIV35" s="678"/>
      <c r="OIW35" s="678"/>
      <c r="OIX35" s="678"/>
      <c r="OIY35" s="678"/>
      <c r="OIZ35" s="678"/>
      <c r="OJA35" s="678"/>
      <c r="OJB35" s="678"/>
      <c r="OJC35" s="678"/>
      <c r="OJD35" s="678"/>
      <c r="OJE35" s="678"/>
      <c r="OJF35" s="678"/>
      <c r="OJG35" s="678"/>
      <c r="OJH35" s="678"/>
      <c r="OJI35" s="678"/>
      <c r="OJJ35" s="678"/>
      <c r="OJK35" s="678"/>
      <c r="OJL35" s="678"/>
      <c r="OJM35" s="678"/>
      <c r="OJN35" s="678"/>
      <c r="OJO35" s="678"/>
      <c r="OJP35" s="678"/>
      <c r="OJQ35" s="678"/>
      <c r="OJR35" s="678"/>
      <c r="OJS35" s="678"/>
      <c r="OJT35" s="678"/>
      <c r="OJU35" s="678"/>
      <c r="OJV35" s="678"/>
      <c r="OJW35" s="678"/>
      <c r="OJX35" s="678"/>
      <c r="OJY35" s="678"/>
      <c r="OJZ35" s="678"/>
      <c r="OKA35" s="678"/>
      <c r="OKB35" s="678"/>
      <c r="OKC35" s="678"/>
      <c r="OKD35" s="678"/>
      <c r="OKE35" s="678"/>
      <c r="OKF35" s="678"/>
      <c r="OKG35" s="678"/>
      <c r="OKH35" s="678"/>
      <c r="OKI35" s="678"/>
      <c r="OKJ35" s="678"/>
      <c r="OKK35" s="678"/>
      <c r="OKL35" s="678"/>
      <c r="OKM35" s="678"/>
      <c r="OKN35" s="678"/>
      <c r="OKO35" s="678"/>
      <c r="OKP35" s="678"/>
      <c r="OKQ35" s="678"/>
      <c r="OKR35" s="678"/>
      <c r="OKS35" s="678"/>
      <c r="OKT35" s="678"/>
      <c r="OKU35" s="678"/>
      <c r="OKV35" s="678"/>
      <c r="OKW35" s="678"/>
      <c r="OKX35" s="678"/>
      <c r="OKY35" s="678"/>
      <c r="OKZ35" s="678"/>
      <c r="OLA35" s="678"/>
      <c r="OLB35" s="678"/>
      <c r="OLC35" s="678"/>
      <c r="OLD35" s="678"/>
      <c r="OLE35" s="678"/>
      <c r="OLF35" s="678"/>
      <c r="OLG35" s="678"/>
      <c r="OLH35" s="678"/>
      <c r="OLI35" s="678"/>
      <c r="OLJ35" s="678"/>
      <c r="OLK35" s="678"/>
      <c r="OLL35" s="678"/>
      <c r="OLM35" s="678"/>
      <c r="OLN35" s="678"/>
      <c r="OLO35" s="678"/>
      <c r="OLP35" s="678"/>
      <c r="OLQ35" s="678"/>
      <c r="OLR35" s="678"/>
      <c r="OLS35" s="678"/>
      <c r="OLT35" s="678"/>
      <c r="OLU35" s="678"/>
      <c r="OLV35" s="678"/>
      <c r="OLW35" s="678"/>
      <c r="OLX35" s="678"/>
      <c r="OLY35" s="678"/>
      <c r="OLZ35" s="678"/>
      <c r="OMA35" s="678"/>
      <c r="OMB35" s="678"/>
      <c r="OMC35" s="678"/>
      <c r="OMD35" s="678"/>
      <c r="OME35" s="678"/>
      <c r="OMF35" s="678"/>
      <c r="OMG35" s="678"/>
      <c r="OMH35" s="678"/>
      <c r="OMI35" s="678"/>
      <c r="OMJ35" s="678"/>
      <c r="OMK35" s="678"/>
      <c r="OML35" s="678"/>
      <c r="OMM35" s="678"/>
      <c r="OMN35" s="678"/>
      <c r="OMO35" s="678"/>
      <c r="OMP35" s="678"/>
      <c r="OMQ35" s="678"/>
      <c r="OMR35" s="678"/>
      <c r="OMS35" s="678"/>
      <c r="OMT35" s="678"/>
      <c r="OMU35" s="678"/>
      <c r="OMV35" s="678"/>
      <c r="OMW35" s="678"/>
      <c r="OMX35" s="678"/>
      <c r="OMY35" s="678"/>
      <c r="OMZ35" s="678"/>
      <c r="ONA35" s="678"/>
      <c r="ONB35" s="678"/>
      <c r="ONC35" s="678"/>
      <c r="OND35" s="678"/>
      <c r="ONE35" s="678"/>
      <c r="ONF35" s="678"/>
      <c r="ONG35" s="678"/>
      <c r="ONH35" s="678"/>
      <c r="ONI35" s="678"/>
      <c r="ONJ35" s="678"/>
      <c r="ONK35" s="678"/>
      <c r="ONL35" s="678"/>
      <c r="ONM35" s="678"/>
      <c r="ONN35" s="678"/>
      <c r="ONO35" s="678"/>
      <c r="ONP35" s="678"/>
      <c r="ONQ35" s="678"/>
      <c r="ONR35" s="678"/>
      <c r="ONS35" s="678"/>
      <c r="ONT35" s="678"/>
      <c r="ONU35" s="678"/>
      <c r="ONV35" s="678"/>
      <c r="ONW35" s="678"/>
      <c r="ONX35" s="678"/>
      <c r="ONY35" s="678"/>
      <c r="ONZ35" s="678"/>
      <c r="OOA35" s="678"/>
      <c r="OOB35" s="678"/>
      <c r="OOC35" s="678"/>
      <c r="OOD35" s="678"/>
      <c r="OOE35" s="678"/>
      <c r="OOF35" s="678"/>
      <c r="OOG35" s="678"/>
      <c r="OOH35" s="678"/>
      <c r="OOI35" s="678"/>
      <c r="OOJ35" s="678"/>
      <c r="OOK35" s="678"/>
      <c r="OOL35" s="678"/>
      <c r="OOM35" s="678"/>
      <c r="OON35" s="678"/>
      <c r="OOO35" s="678"/>
      <c r="OOP35" s="678"/>
      <c r="OOQ35" s="678"/>
      <c r="OOR35" s="678"/>
      <c r="OOS35" s="678"/>
      <c r="OOT35" s="678"/>
      <c r="OOU35" s="678"/>
      <c r="OOV35" s="678"/>
      <c r="OOW35" s="678"/>
      <c r="OOX35" s="678"/>
      <c r="OOY35" s="678"/>
      <c r="OOZ35" s="678"/>
      <c r="OPA35" s="678"/>
      <c r="OPB35" s="678"/>
      <c r="OPC35" s="678"/>
      <c r="OPD35" s="678"/>
      <c r="OPE35" s="678"/>
      <c r="OPF35" s="678"/>
      <c r="OPG35" s="678"/>
      <c r="OPH35" s="678"/>
      <c r="OPI35" s="678"/>
      <c r="OPJ35" s="678"/>
      <c r="OPK35" s="678"/>
      <c r="OPL35" s="678"/>
      <c r="OPM35" s="678"/>
      <c r="OPN35" s="678"/>
      <c r="OPO35" s="678"/>
      <c r="OPP35" s="678"/>
      <c r="OPQ35" s="678"/>
      <c r="OPR35" s="678"/>
      <c r="OPS35" s="678"/>
      <c r="OPT35" s="678"/>
      <c r="OPU35" s="678"/>
      <c r="OPV35" s="678"/>
      <c r="OPW35" s="678"/>
      <c r="OPX35" s="678"/>
      <c r="OPY35" s="678"/>
      <c r="OPZ35" s="678"/>
      <c r="OQA35" s="678"/>
      <c r="OQB35" s="678"/>
      <c r="OQC35" s="678"/>
      <c r="OQD35" s="678"/>
      <c r="OQE35" s="678"/>
      <c r="OQF35" s="678"/>
      <c r="OQG35" s="678"/>
      <c r="OQH35" s="678"/>
      <c r="OQI35" s="678"/>
      <c r="OQJ35" s="678"/>
      <c r="OQK35" s="678"/>
      <c r="OQL35" s="678"/>
      <c r="OQM35" s="678"/>
      <c r="OQN35" s="678"/>
      <c r="OQO35" s="678"/>
      <c r="OQP35" s="678"/>
      <c r="OQQ35" s="678"/>
      <c r="OQR35" s="678"/>
      <c r="OQS35" s="678"/>
      <c r="OQT35" s="678"/>
      <c r="OQU35" s="678"/>
      <c r="OQV35" s="678"/>
      <c r="OQW35" s="678"/>
      <c r="OQX35" s="678"/>
      <c r="OQY35" s="678"/>
      <c r="OQZ35" s="678"/>
      <c r="ORA35" s="678"/>
      <c r="ORB35" s="678"/>
      <c r="ORC35" s="678"/>
      <c r="ORD35" s="678"/>
      <c r="ORE35" s="678"/>
      <c r="ORF35" s="678"/>
      <c r="ORG35" s="678"/>
      <c r="ORH35" s="678"/>
      <c r="ORI35" s="678"/>
      <c r="ORJ35" s="678"/>
      <c r="ORK35" s="678"/>
      <c r="ORL35" s="678"/>
      <c r="ORM35" s="678"/>
      <c r="ORN35" s="678"/>
      <c r="ORO35" s="678"/>
      <c r="ORP35" s="678"/>
      <c r="ORQ35" s="678"/>
      <c r="ORR35" s="678"/>
      <c r="ORS35" s="678"/>
      <c r="ORT35" s="678"/>
      <c r="ORU35" s="678"/>
      <c r="ORV35" s="678"/>
      <c r="ORW35" s="678"/>
      <c r="ORX35" s="678"/>
      <c r="ORY35" s="678"/>
      <c r="ORZ35" s="678"/>
      <c r="OSA35" s="678"/>
      <c r="OSB35" s="678"/>
      <c r="OSC35" s="678"/>
      <c r="OSD35" s="678"/>
      <c r="OSE35" s="678"/>
      <c r="OSF35" s="678"/>
      <c r="OSG35" s="678"/>
      <c r="OSH35" s="678"/>
      <c r="OSI35" s="678"/>
      <c r="OSJ35" s="678"/>
      <c r="OSK35" s="678"/>
      <c r="OSL35" s="678"/>
      <c r="OSM35" s="678"/>
      <c r="OSN35" s="678"/>
      <c r="OSO35" s="678"/>
      <c r="OSP35" s="678"/>
      <c r="OSQ35" s="678"/>
      <c r="OSR35" s="678"/>
      <c r="OSS35" s="678"/>
      <c r="OST35" s="678"/>
      <c r="OSU35" s="678"/>
      <c r="OSV35" s="678"/>
      <c r="OSW35" s="678"/>
      <c r="OSX35" s="678"/>
      <c r="OSY35" s="678"/>
      <c r="OSZ35" s="678"/>
      <c r="OTA35" s="678"/>
      <c r="OTB35" s="678"/>
      <c r="OTC35" s="678"/>
      <c r="OTD35" s="678"/>
      <c r="OTE35" s="678"/>
      <c r="OTF35" s="678"/>
      <c r="OTG35" s="678"/>
      <c r="OTH35" s="678"/>
      <c r="OTI35" s="678"/>
      <c r="OTJ35" s="678"/>
      <c r="OTK35" s="678"/>
      <c r="OTL35" s="678"/>
      <c r="OTM35" s="678"/>
      <c r="OTN35" s="678"/>
      <c r="OTO35" s="678"/>
      <c r="OTP35" s="678"/>
      <c r="OTQ35" s="678"/>
      <c r="OTR35" s="678"/>
      <c r="OTS35" s="678"/>
      <c r="OTT35" s="678"/>
      <c r="OTU35" s="678"/>
      <c r="OTV35" s="678"/>
      <c r="OTW35" s="678"/>
      <c r="OTX35" s="678"/>
      <c r="OTY35" s="678"/>
      <c r="OTZ35" s="678"/>
      <c r="OUA35" s="678"/>
      <c r="OUB35" s="678"/>
      <c r="OUC35" s="678"/>
      <c r="OUD35" s="678"/>
      <c r="OUE35" s="678"/>
      <c r="OUF35" s="678"/>
      <c r="OUG35" s="678"/>
      <c r="OUH35" s="678"/>
      <c r="OUI35" s="678"/>
      <c r="OUJ35" s="678"/>
      <c r="OUK35" s="678"/>
      <c r="OUL35" s="678"/>
      <c r="OUM35" s="678"/>
      <c r="OUN35" s="678"/>
      <c r="OUO35" s="678"/>
      <c r="OUP35" s="678"/>
      <c r="OUQ35" s="678"/>
      <c r="OUR35" s="678"/>
      <c r="OUS35" s="678"/>
      <c r="OUT35" s="678"/>
      <c r="OUU35" s="678"/>
      <c r="OUV35" s="678"/>
      <c r="OUW35" s="678"/>
      <c r="OUX35" s="678"/>
      <c r="OUY35" s="678"/>
      <c r="OUZ35" s="678"/>
      <c r="OVA35" s="678"/>
      <c r="OVB35" s="678"/>
      <c r="OVC35" s="678"/>
      <c r="OVD35" s="678"/>
      <c r="OVE35" s="678"/>
      <c r="OVF35" s="678"/>
      <c r="OVG35" s="678"/>
      <c r="OVH35" s="678"/>
      <c r="OVI35" s="678"/>
      <c r="OVJ35" s="678"/>
      <c r="OVK35" s="678"/>
      <c r="OVL35" s="678"/>
      <c r="OVM35" s="678"/>
      <c r="OVN35" s="678"/>
      <c r="OVO35" s="678"/>
      <c r="OVP35" s="678"/>
      <c r="OVQ35" s="678"/>
      <c r="OVR35" s="678"/>
      <c r="OVS35" s="678"/>
      <c r="OVT35" s="678"/>
      <c r="OVU35" s="678"/>
      <c r="OVV35" s="678"/>
      <c r="OVW35" s="678"/>
      <c r="OVX35" s="678"/>
      <c r="OVY35" s="678"/>
      <c r="OVZ35" s="678"/>
      <c r="OWA35" s="678"/>
      <c r="OWB35" s="678"/>
      <c r="OWC35" s="678"/>
      <c r="OWD35" s="678"/>
      <c r="OWE35" s="678"/>
      <c r="OWF35" s="678"/>
      <c r="OWG35" s="678"/>
      <c r="OWH35" s="678"/>
      <c r="OWI35" s="678"/>
      <c r="OWJ35" s="678"/>
      <c r="OWK35" s="678"/>
      <c r="OWL35" s="678"/>
      <c r="OWM35" s="678"/>
      <c r="OWN35" s="678"/>
      <c r="OWO35" s="678"/>
      <c r="OWP35" s="678"/>
      <c r="OWQ35" s="678"/>
      <c r="OWR35" s="678"/>
      <c r="OWS35" s="678"/>
      <c r="OWT35" s="678"/>
      <c r="OWU35" s="678"/>
      <c r="OWV35" s="678"/>
      <c r="OWW35" s="678"/>
      <c r="OWX35" s="678"/>
      <c r="OWY35" s="678"/>
      <c r="OWZ35" s="678"/>
      <c r="OXA35" s="678"/>
      <c r="OXB35" s="678"/>
      <c r="OXC35" s="678"/>
      <c r="OXD35" s="678"/>
      <c r="OXE35" s="678"/>
      <c r="OXF35" s="678"/>
      <c r="OXG35" s="678"/>
      <c r="OXH35" s="678"/>
      <c r="OXI35" s="678"/>
      <c r="OXJ35" s="678"/>
      <c r="OXK35" s="678"/>
      <c r="OXL35" s="678"/>
      <c r="OXM35" s="678"/>
      <c r="OXN35" s="678"/>
      <c r="OXO35" s="678"/>
      <c r="OXP35" s="678"/>
      <c r="OXQ35" s="678"/>
      <c r="OXR35" s="678"/>
      <c r="OXS35" s="678"/>
      <c r="OXT35" s="678"/>
      <c r="OXU35" s="678"/>
      <c r="OXV35" s="678"/>
      <c r="OXW35" s="678"/>
      <c r="OXX35" s="678"/>
      <c r="OXY35" s="678"/>
      <c r="OXZ35" s="678"/>
      <c r="OYA35" s="678"/>
      <c r="OYB35" s="678"/>
      <c r="OYC35" s="678"/>
      <c r="OYD35" s="678"/>
      <c r="OYE35" s="678"/>
      <c r="OYF35" s="678"/>
      <c r="OYG35" s="678"/>
      <c r="OYH35" s="678"/>
      <c r="OYI35" s="678"/>
      <c r="OYJ35" s="678"/>
      <c r="OYK35" s="678"/>
      <c r="OYL35" s="678"/>
      <c r="OYM35" s="678"/>
      <c r="OYN35" s="678"/>
      <c r="OYO35" s="678"/>
      <c r="OYP35" s="678"/>
      <c r="OYQ35" s="678"/>
      <c r="OYR35" s="678"/>
      <c r="OYS35" s="678"/>
      <c r="OYT35" s="678"/>
      <c r="OYU35" s="678"/>
      <c r="OYV35" s="678"/>
      <c r="OYW35" s="678"/>
      <c r="OYX35" s="678"/>
      <c r="OYY35" s="678"/>
      <c r="OYZ35" s="678"/>
      <c r="OZA35" s="678"/>
      <c r="OZB35" s="678"/>
      <c r="OZC35" s="678"/>
      <c r="OZD35" s="678"/>
      <c r="OZE35" s="678"/>
      <c r="OZF35" s="678"/>
      <c r="OZG35" s="678"/>
      <c r="OZH35" s="678"/>
      <c r="OZI35" s="678"/>
      <c r="OZJ35" s="678"/>
      <c r="OZK35" s="678"/>
      <c r="OZL35" s="678"/>
      <c r="OZM35" s="678"/>
      <c r="OZN35" s="678"/>
      <c r="OZO35" s="678"/>
      <c r="OZP35" s="678"/>
      <c r="OZQ35" s="678"/>
      <c r="OZR35" s="678"/>
      <c r="OZS35" s="678"/>
      <c r="OZT35" s="678"/>
      <c r="OZU35" s="678"/>
      <c r="OZV35" s="678"/>
      <c r="OZW35" s="678"/>
      <c r="OZX35" s="678"/>
      <c r="OZY35" s="678"/>
      <c r="OZZ35" s="678"/>
      <c r="PAA35" s="678"/>
      <c r="PAB35" s="678"/>
      <c r="PAC35" s="678"/>
      <c r="PAD35" s="678"/>
      <c r="PAE35" s="678"/>
      <c r="PAF35" s="678"/>
      <c r="PAG35" s="678"/>
      <c r="PAH35" s="678"/>
      <c r="PAI35" s="678"/>
      <c r="PAJ35" s="678"/>
      <c r="PAK35" s="678"/>
      <c r="PAL35" s="678"/>
      <c r="PAM35" s="678"/>
      <c r="PAN35" s="678"/>
      <c r="PAO35" s="678"/>
      <c r="PAP35" s="678"/>
      <c r="PAQ35" s="678"/>
      <c r="PAR35" s="678"/>
      <c r="PAS35" s="678"/>
      <c r="PAT35" s="678"/>
      <c r="PAU35" s="678"/>
      <c r="PAV35" s="678"/>
      <c r="PAW35" s="678"/>
      <c r="PAX35" s="678"/>
      <c r="PAY35" s="678"/>
      <c r="PAZ35" s="678"/>
      <c r="PBA35" s="678"/>
      <c r="PBB35" s="678"/>
      <c r="PBC35" s="678"/>
      <c r="PBD35" s="678"/>
      <c r="PBE35" s="678"/>
      <c r="PBF35" s="678"/>
      <c r="PBG35" s="678"/>
      <c r="PBH35" s="678"/>
      <c r="PBI35" s="678"/>
      <c r="PBJ35" s="678"/>
      <c r="PBK35" s="678"/>
      <c r="PBL35" s="678"/>
      <c r="PBM35" s="678"/>
      <c r="PBN35" s="678"/>
      <c r="PBO35" s="678"/>
      <c r="PBP35" s="678"/>
      <c r="PBQ35" s="678"/>
      <c r="PBR35" s="678"/>
      <c r="PBS35" s="678"/>
      <c r="PBT35" s="678"/>
      <c r="PBU35" s="678"/>
      <c r="PBV35" s="678"/>
      <c r="PBW35" s="678"/>
      <c r="PBX35" s="678"/>
      <c r="PBY35" s="678"/>
      <c r="PBZ35" s="678"/>
      <c r="PCA35" s="678"/>
      <c r="PCB35" s="678"/>
      <c r="PCC35" s="678"/>
      <c r="PCD35" s="678"/>
      <c r="PCE35" s="678"/>
      <c r="PCF35" s="678"/>
      <c r="PCG35" s="678"/>
      <c r="PCH35" s="678"/>
      <c r="PCI35" s="678"/>
      <c r="PCJ35" s="678"/>
      <c r="PCK35" s="678"/>
      <c r="PCL35" s="678"/>
      <c r="PCM35" s="678"/>
      <c r="PCN35" s="678"/>
      <c r="PCO35" s="678"/>
      <c r="PCP35" s="678"/>
      <c r="PCQ35" s="678"/>
      <c r="PCR35" s="678"/>
      <c r="PCS35" s="678"/>
      <c r="PCT35" s="678"/>
      <c r="PCU35" s="678"/>
      <c r="PCV35" s="678"/>
      <c r="PCW35" s="678"/>
      <c r="PCX35" s="678"/>
      <c r="PCY35" s="678"/>
      <c r="PCZ35" s="678"/>
      <c r="PDA35" s="678"/>
      <c r="PDB35" s="678"/>
      <c r="PDC35" s="678"/>
      <c r="PDD35" s="678"/>
      <c r="PDE35" s="678"/>
      <c r="PDF35" s="678"/>
      <c r="PDG35" s="678"/>
      <c r="PDH35" s="678"/>
      <c r="PDI35" s="678"/>
      <c r="PDJ35" s="678"/>
      <c r="PDK35" s="678"/>
      <c r="PDL35" s="678"/>
      <c r="PDM35" s="678"/>
      <c r="PDN35" s="678"/>
      <c r="PDO35" s="678"/>
      <c r="PDP35" s="678"/>
      <c r="PDQ35" s="678"/>
      <c r="PDR35" s="678"/>
      <c r="PDS35" s="678"/>
      <c r="PDT35" s="678"/>
      <c r="PDU35" s="678"/>
      <c r="PDV35" s="678"/>
      <c r="PDW35" s="678"/>
      <c r="PDX35" s="678"/>
      <c r="PDY35" s="678"/>
      <c r="PDZ35" s="678"/>
      <c r="PEA35" s="678"/>
      <c r="PEB35" s="678"/>
      <c r="PEC35" s="678"/>
      <c r="PED35" s="678"/>
      <c r="PEE35" s="678"/>
      <c r="PEF35" s="678"/>
      <c r="PEG35" s="678"/>
      <c r="PEH35" s="678"/>
      <c r="PEI35" s="678"/>
      <c r="PEJ35" s="678"/>
      <c r="PEK35" s="678"/>
      <c r="PEL35" s="678"/>
      <c r="PEM35" s="678"/>
      <c r="PEN35" s="678"/>
      <c r="PEO35" s="678"/>
      <c r="PEP35" s="678"/>
      <c r="PEQ35" s="678"/>
      <c r="PER35" s="678"/>
      <c r="PES35" s="678"/>
      <c r="PET35" s="678"/>
      <c r="PEU35" s="678"/>
      <c r="PEV35" s="678"/>
      <c r="PEW35" s="678"/>
      <c r="PEX35" s="678"/>
      <c r="PEY35" s="678"/>
      <c r="PEZ35" s="678"/>
      <c r="PFA35" s="678"/>
      <c r="PFB35" s="678"/>
      <c r="PFC35" s="678"/>
      <c r="PFD35" s="678"/>
      <c r="PFE35" s="678"/>
      <c r="PFF35" s="678"/>
      <c r="PFG35" s="678"/>
      <c r="PFH35" s="678"/>
      <c r="PFI35" s="678"/>
      <c r="PFJ35" s="678"/>
      <c r="PFK35" s="678"/>
      <c r="PFL35" s="678"/>
      <c r="PFM35" s="678"/>
      <c r="PFN35" s="678"/>
      <c r="PFO35" s="678"/>
      <c r="PFP35" s="678"/>
      <c r="PFQ35" s="678"/>
      <c r="PFR35" s="678"/>
      <c r="PFS35" s="678"/>
      <c r="PFT35" s="678"/>
      <c r="PFU35" s="678"/>
      <c r="PFV35" s="678"/>
      <c r="PFW35" s="678"/>
      <c r="PFX35" s="678"/>
      <c r="PFY35" s="678"/>
      <c r="PFZ35" s="678"/>
      <c r="PGA35" s="678"/>
      <c r="PGB35" s="678"/>
      <c r="PGC35" s="678"/>
      <c r="PGD35" s="678"/>
      <c r="PGE35" s="678"/>
      <c r="PGF35" s="678"/>
      <c r="PGG35" s="678"/>
      <c r="PGH35" s="678"/>
      <c r="PGI35" s="678"/>
      <c r="PGJ35" s="678"/>
      <c r="PGK35" s="678"/>
      <c r="PGL35" s="678"/>
      <c r="PGM35" s="678"/>
      <c r="PGN35" s="678"/>
      <c r="PGO35" s="678"/>
      <c r="PGP35" s="678"/>
      <c r="PGQ35" s="678"/>
      <c r="PGR35" s="678"/>
      <c r="PGS35" s="678"/>
      <c r="PGT35" s="678"/>
      <c r="PGU35" s="678"/>
      <c r="PGV35" s="678"/>
      <c r="PGW35" s="678"/>
      <c r="PGX35" s="678"/>
      <c r="PGY35" s="678"/>
      <c r="PGZ35" s="678"/>
      <c r="PHA35" s="678"/>
      <c r="PHB35" s="678"/>
      <c r="PHC35" s="678"/>
      <c r="PHD35" s="678"/>
      <c r="PHE35" s="678"/>
      <c r="PHF35" s="678"/>
      <c r="PHG35" s="678"/>
      <c r="PHH35" s="678"/>
      <c r="PHI35" s="678"/>
      <c r="PHJ35" s="678"/>
      <c r="PHK35" s="678"/>
      <c r="PHL35" s="678"/>
      <c r="PHM35" s="678"/>
      <c r="PHN35" s="678"/>
      <c r="PHO35" s="678"/>
      <c r="PHP35" s="678"/>
      <c r="PHQ35" s="678"/>
      <c r="PHR35" s="678"/>
      <c r="PHS35" s="678"/>
      <c r="PHT35" s="678"/>
      <c r="PHU35" s="678"/>
      <c r="PHV35" s="678"/>
      <c r="PHW35" s="678"/>
      <c r="PHX35" s="678"/>
      <c r="PHY35" s="678"/>
      <c r="PHZ35" s="678"/>
      <c r="PIA35" s="678"/>
      <c r="PIB35" s="678"/>
      <c r="PIC35" s="678"/>
      <c r="PID35" s="678"/>
      <c r="PIE35" s="678"/>
      <c r="PIF35" s="678"/>
      <c r="PIG35" s="678"/>
      <c r="PIH35" s="678"/>
      <c r="PII35" s="678"/>
      <c r="PIJ35" s="678"/>
      <c r="PIK35" s="678"/>
      <c r="PIL35" s="678"/>
      <c r="PIM35" s="678"/>
      <c r="PIN35" s="678"/>
      <c r="PIO35" s="678"/>
      <c r="PIP35" s="678"/>
      <c r="PIQ35" s="678"/>
      <c r="PIR35" s="678"/>
      <c r="PIS35" s="678"/>
      <c r="PIT35" s="678"/>
      <c r="PIU35" s="678"/>
      <c r="PIV35" s="678"/>
      <c r="PIW35" s="678"/>
      <c r="PIX35" s="678"/>
      <c r="PIY35" s="678"/>
      <c r="PIZ35" s="678"/>
      <c r="PJA35" s="678"/>
      <c r="PJB35" s="678"/>
      <c r="PJC35" s="678"/>
      <c r="PJD35" s="678"/>
      <c r="PJE35" s="678"/>
      <c r="PJF35" s="678"/>
      <c r="PJG35" s="678"/>
      <c r="PJH35" s="678"/>
      <c r="PJI35" s="678"/>
      <c r="PJJ35" s="678"/>
      <c r="PJK35" s="678"/>
      <c r="PJL35" s="678"/>
      <c r="PJM35" s="678"/>
      <c r="PJN35" s="678"/>
      <c r="PJO35" s="678"/>
      <c r="PJP35" s="678"/>
      <c r="PJQ35" s="678"/>
      <c r="PJR35" s="678"/>
      <c r="PJS35" s="678"/>
      <c r="PJT35" s="678"/>
      <c r="PJU35" s="678"/>
      <c r="PJV35" s="678"/>
      <c r="PJW35" s="678"/>
      <c r="PJX35" s="678"/>
      <c r="PJY35" s="678"/>
      <c r="PJZ35" s="678"/>
      <c r="PKA35" s="678"/>
      <c r="PKB35" s="678"/>
      <c r="PKC35" s="678"/>
      <c r="PKD35" s="678"/>
      <c r="PKE35" s="678"/>
      <c r="PKF35" s="678"/>
      <c r="PKG35" s="678"/>
      <c r="PKH35" s="678"/>
      <c r="PKI35" s="678"/>
      <c r="PKJ35" s="678"/>
      <c r="PKK35" s="678"/>
      <c r="PKL35" s="678"/>
      <c r="PKM35" s="678"/>
      <c r="PKN35" s="678"/>
      <c r="PKO35" s="678"/>
      <c r="PKP35" s="678"/>
      <c r="PKQ35" s="678"/>
      <c r="PKR35" s="678"/>
      <c r="PKS35" s="678"/>
      <c r="PKT35" s="678"/>
      <c r="PKU35" s="678"/>
      <c r="PKV35" s="678"/>
      <c r="PKW35" s="678"/>
      <c r="PKX35" s="678"/>
      <c r="PKY35" s="678"/>
      <c r="PKZ35" s="678"/>
      <c r="PLA35" s="678"/>
      <c r="PLB35" s="678"/>
      <c r="PLC35" s="678"/>
      <c r="PLD35" s="678"/>
      <c r="PLE35" s="678"/>
      <c r="PLF35" s="678"/>
      <c r="PLG35" s="678"/>
      <c r="PLH35" s="678"/>
      <c r="PLI35" s="678"/>
      <c r="PLJ35" s="678"/>
      <c r="PLK35" s="678"/>
      <c r="PLL35" s="678"/>
      <c r="PLM35" s="678"/>
      <c r="PLN35" s="678"/>
      <c r="PLO35" s="678"/>
      <c r="PLP35" s="678"/>
      <c r="PLQ35" s="678"/>
      <c r="PLR35" s="678"/>
      <c r="PLS35" s="678"/>
      <c r="PLT35" s="678"/>
      <c r="PLU35" s="678"/>
      <c r="PLV35" s="678"/>
      <c r="PLW35" s="678"/>
      <c r="PLX35" s="678"/>
      <c r="PLY35" s="678"/>
      <c r="PLZ35" s="678"/>
      <c r="PMA35" s="678"/>
      <c r="PMB35" s="678"/>
      <c r="PMC35" s="678"/>
      <c r="PMD35" s="678"/>
      <c r="PME35" s="678"/>
      <c r="PMF35" s="678"/>
      <c r="PMG35" s="678"/>
      <c r="PMH35" s="678"/>
      <c r="PMI35" s="678"/>
      <c r="PMJ35" s="678"/>
      <c r="PMK35" s="678"/>
      <c r="PML35" s="678"/>
      <c r="PMM35" s="678"/>
      <c r="PMN35" s="678"/>
      <c r="PMO35" s="678"/>
      <c r="PMP35" s="678"/>
      <c r="PMQ35" s="678"/>
      <c r="PMR35" s="678"/>
      <c r="PMS35" s="678"/>
      <c r="PMT35" s="678"/>
      <c r="PMU35" s="678"/>
      <c r="PMV35" s="678"/>
      <c r="PMW35" s="678"/>
      <c r="PMX35" s="678"/>
      <c r="PMY35" s="678"/>
      <c r="PMZ35" s="678"/>
      <c r="PNA35" s="678"/>
      <c r="PNB35" s="678"/>
      <c r="PNC35" s="678"/>
      <c r="PND35" s="678"/>
      <c r="PNE35" s="678"/>
      <c r="PNF35" s="678"/>
      <c r="PNG35" s="678"/>
      <c r="PNH35" s="678"/>
      <c r="PNI35" s="678"/>
      <c r="PNJ35" s="678"/>
      <c r="PNK35" s="678"/>
      <c r="PNL35" s="678"/>
      <c r="PNM35" s="678"/>
      <c r="PNN35" s="678"/>
      <c r="PNO35" s="678"/>
      <c r="PNP35" s="678"/>
      <c r="PNQ35" s="678"/>
      <c r="PNR35" s="678"/>
      <c r="PNS35" s="678"/>
      <c r="PNT35" s="678"/>
      <c r="PNU35" s="678"/>
      <c r="PNV35" s="678"/>
      <c r="PNW35" s="678"/>
      <c r="PNX35" s="678"/>
      <c r="PNY35" s="678"/>
      <c r="PNZ35" s="678"/>
      <c r="POA35" s="678"/>
      <c r="POB35" s="678"/>
      <c r="POC35" s="678"/>
      <c r="POD35" s="678"/>
      <c r="POE35" s="678"/>
      <c r="POF35" s="678"/>
      <c r="POG35" s="678"/>
      <c r="POH35" s="678"/>
      <c r="POI35" s="678"/>
      <c r="POJ35" s="678"/>
      <c r="POK35" s="678"/>
      <c r="POL35" s="678"/>
      <c r="POM35" s="678"/>
      <c r="PON35" s="678"/>
      <c r="POO35" s="678"/>
      <c r="POP35" s="678"/>
      <c r="POQ35" s="678"/>
      <c r="POR35" s="678"/>
      <c r="POS35" s="678"/>
      <c r="POT35" s="678"/>
      <c r="POU35" s="678"/>
      <c r="POV35" s="678"/>
      <c r="POW35" s="678"/>
      <c r="POX35" s="678"/>
      <c r="POY35" s="678"/>
      <c r="POZ35" s="678"/>
      <c r="PPA35" s="678"/>
      <c r="PPB35" s="678"/>
      <c r="PPC35" s="678"/>
      <c r="PPD35" s="678"/>
      <c r="PPE35" s="678"/>
      <c r="PPF35" s="678"/>
      <c r="PPG35" s="678"/>
      <c r="PPH35" s="678"/>
      <c r="PPI35" s="678"/>
      <c r="PPJ35" s="678"/>
      <c r="PPK35" s="678"/>
      <c r="PPL35" s="678"/>
      <c r="PPM35" s="678"/>
      <c r="PPN35" s="678"/>
      <c r="PPO35" s="678"/>
      <c r="PPP35" s="678"/>
      <c r="PPQ35" s="678"/>
      <c r="PPR35" s="678"/>
      <c r="PPS35" s="678"/>
      <c r="PPT35" s="678"/>
      <c r="PPU35" s="678"/>
      <c r="PPV35" s="678"/>
      <c r="PPW35" s="678"/>
      <c r="PPX35" s="678"/>
      <c r="PPY35" s="678"/>
      <c r="PPZ35" s="678"/>
      <c r="PQA35" s="678"/>
      <c r="PQB35" s="678"/>
      <c r="PQC35" s="678"/>
      <c r="PQD35" s="678"/>
      <c r="PQE35" s="678"/>
      <c r="PQF35" s="678"/>
      <c r="PQG35" s="678"/>
      <c r="PQH35" s="678"/>
      <c r="PQI35" s="678"/>
      <c r="PQJ35" s="678"/>
      <c r="PQK35" s="678"/>
      <c r="PQL35" s="678"/>
      <c r="PQM35" s="678"/>
      <c r="PQN35" s="678"/>
      <c r="PQO35" s="678"/>
      <c r="PQP35" s="678"/>
      <c r="PQQ35" s="678"/>
      <c r="PQR35" s="678"/>
      <c r="PQS35" s="678"/>
      <c r="PQT35" s="678"/>
      <c r="PQU35" s="678"/>
      <c r="PQV35" s="678"/>
      <c r="PQW35" s="678"/>
      <c r="PQX35" s="678"/>
      <c r="PQY35" s="678"/>
      <c r="PQZ35" s="678"/>
      <c r="PRA35" s="678"/>
      <c r="PRB35" s="678"/>
      <c r="PRC35" s="678"/>
      <c r="PRD35" s="678"/>
      <c r="PRE35" s="678"/>
      <c r="PRF35" s="678"/>
      <c r="PRG35" s="678"/>
      <c r="PRH35" s="678"/>
      <c r="PRI35" s="678"/>
      <c r="PRJ35" s="678"/>
      <c r="PRK35" s="678"/>
      <c r="PRL35" s="678"/>
      <c r="PRM35" s="678"/>
      <c r="PRN35" s="678"/>
      <c r="PRO35" s="678"/>
      <c r="PRP35" s="678"/>
      <c r="PRQ35" s="678"/>
      <c r="PRR35" s="678"/>
      <c r="PRS35" s="678"/>
      <c r="PRT35" s="678"/>
      <c r="PRU35" s="678"/>
      <c r="PRV35" s="678"/>
      <c r="PRW35" s="678"/>
      <c r="PRX35" s="678"/>
      <c r="PRY35" s="678"/>
      <c r="PRZ35" s="678"/>
      <c r="PSA35" s="678"/>
      <c r="PSB35" s="678"/>
      <c r="PSC35" s="678"/>
      <c r="PSD35" s="678"/>
      <c r="PSE35" s="678"/>
      <c r="PSF35" s="678"/>
      <c r="PSG35" s="678"/>
      <c r="PSH35" s="678"/>
      <c r="PSI35" s="678"/>
      <c r="PSJ35" s="678"/>
      <c r="PSK35" s="678"/>
      <c r="PSL35" s="678"/>
      <c r="PSM35" s="678"/>
      <c r="PSN35" s="678"/>
      <c r="PSO35" s="678"/>
      <c r="PSP35" s="678"/>
      <c r="PSQ35" s="678"/>
      <c r="PSR35" s="678"/>
      <c r="PSS35" s="678"/>
      <c r="PST35" s="678"/>
      <c r="PSU35" s="678"/>
      <c r="PSV35" s="678"/>
      <c r="PSW35" s="678"/>
      <c r="PSX35" s="678"/>
      <c r="PSY35" s="678"/>
      <c r="PSZ35" s="678"/>
      <c r="PTA35" s="678"/>
      <c r="PTB35" s="678"/>
      <c r="PTC35" s="678"/>
      <c r="PTD35" s="678"/>
      <c r="PTE35" s="678"/>
      <c r="PTF35" s="678"/>
      <c r="PTG35" s="678"/>
      <c r="PTH35" s="678"/>
      <c r="PTI35" s="678"/>
      <c r="PTJ35" s="678"/>
      <c r="PTK35" s="678"/>
      <c r="PTL35" s="678"/>
      <c r="PTM35" s="678"/>
      <c r="PTN35" s="678"/>
      <c r="PTO35" s="678"/>
      <c r="PTP35" s="678"/>
      <c r="PTQ35" s="678"/>
      <c r="PTR35" s="678"/>
      <c r="PTS35" s="678"/>
      <c r="PTT35" s="678"/>
      <c r="PTU35" s="678"/>
      <c r="PTV35" s="678"/>
      <c r="PTW35" s="678"/>
      <c r="PTX35" s="678"/>
      <c r="PTY35" s="678"/>
      <c r="PTZ35" s="678"/>
      <c r="PUA35" s="678"/>
      <c r="PUB35" s="678"/>
      <c r="PUC35" s="678"/>
      <c r="PUD35" s="678"/>
      <c r="PUE35" s="678"/>
      <c r="PUF35" s="678"/>
      <c r="PUG35" s="678"/>
      <c r="PUH35" s="678"/>
      <c r="PUI35" s="678"/>
      <c r="PUJ35" s="678"/>
      <c r="PUK35" s="678"/>
      <c r="PUL35" s="678"/>
      <c r="PUM35" s="678"/>
      <c r="PUN35" s="678"/>
      <c r="PUO35" s="678"/>
      <c r="PUP35" s="678"/>
      <c r="PUQ35" s="678"/>
      <c r="PUR35" s="678"/>
      <c r="PUS35" s="678"/>
      <c r="PUT35" s="678"/>
      <c r="PUU35" s="678"/>
      <c r="PUV35" s="678"/>
      <c r="PUW35" s="678"/>
      <c r="PUX35" s="678"/>
      <c r="PUY35" s="678"/>
      <c r="PUZ35" s="678"/>
      <c r="PVA35" s="678"/>
      <c r="PVB35" s="678"/>
      <c r="PVC35" s="678"/>
      <c r="PVD35" s="678"/>
      <c r="PVE35" s="678"/>
      <c r="PVF35" s="678"/>
      <c r="PVG35" s="678"/>
      <c r="PVH35" s="678"/>
      <c r="PVI35" s="678"/>
      <c r="PVJ35" s="678"/>
      <c r="PVK35" s="678"/>
      <c r="PVL35" s="678"/>
      <c r="PVM35" s="678"/>
      <c r="PVN35" s="678"/>
      <c r="PVO35" s="678"/>
      <c r="PVP35" s="678"/>
      <c r="PVQ35" s="678"/>
      <c r="PVR35" s="678"/>
      <c r="PVS35" s="678"/>
      <c r="PVT35" s="678"/>
      <c r="PVU35" s="678"/>
      <c r="PVV35" s="678"/>
      <c r="PVW35" s="678"/>
      <c r="PVX35" s="678"/>
      <c r="PVY35" s="678"/>
      <c r="PVZ35" s="678"/>
      <c r="PWA35" s="678"/>
      <c r="PWB35" s="678"/>
      <c r="PWC35" s="678"/>
      <c r="PWD35" s="678"/>
      <c r="PWE35" s="678"/>
      <c r="PWF35" s="678"/>
      <c r="PWG35" s="678"/>
      <c r="PWH35" s="678"/>
      <c r="PWI35" s="678"/>
      <c r="PWJ35" s="678"/>
      <c r="PWK35" s="678"/>
      <c r="PWL35" s="678"/>
      <c r="PWM35" s="678"/>
      <c r="PWN35" s="678"/>
      <c r="PWO35" s="678"/>
      <c r="PWP35" s="678"/>
      <c r="PWQ35" s="678"/>
      <c r="PWR35" s="678"/>
      <c r="PWS35" s="678"/>
      <c r="PWT35" s="678"/>
      <c r="PWU35" s="678"/>
      <c r="PWV35" s="678"/>
      <c r="PWW35" s="678"/>
      <c r="PWX35" s="678"/>
      <c r="PWY35" s="678"/>
      <c r="PWZ35" s="678"/>
      <c r="PXA35" s="678"/>
      <c r="PXB35" s="678"/>
      <c r="PXC35" s="678"/>
      <c r="PXD35" s="678"/>
      <c r="PXE35" s="678"/>
      <c r="PXF35" s="678"/>
      <c r="PXG35" s="678"/>
      <c r="PXH35" s="678"/>
      <c r="PXI35" s="678"/>
      <c r="PXJ35" s="678"/>
      <c r="PXK35" s="678"/>
      <c r="PXL35" s="678"/>
      <c r="PXM35" s="678"/>
      <c r="PXN35" s="678"/>
      <c r="PXO35" s="678"/>
      <c r="PXP35" s="678"/>
      <c r="PXQ35" s="678"/>
      <c r="PXR35" s="678"/>
      <c r="PXS35" s="678"/>
      <c r="PXT35" s="678"/>
      <c r="PXU35" s="678"/>
      <c r="PXV35" s="678"/>
      <c r="PXW35" s="678"/>
      <c r="PXX35" s="678"/>
      <c r="PXY35" s="678"/>
      <c r="PXZ35" s="678"/>
      <c r="PYA35" s="678"/>
      <c r="PYB35" s="678"/>
      <c r="PYC35" s="678"/>
      <c r="PYD35" s="678"/>
      <c r="PYE35" s="678"/>
      <c r="PYF35" s="678"/>
      <c r="PYG35" s="678"/>
      <c r="PYH35" s="678"/>
      <c r="PYI35" s="678"/>
      <c r="PYJ35" s="678"/>
      <c r="PYK35" s="678"/>
      <c r="PYL35" s="678"/>
      <c r="PYM35" s="678"/>
      <c r="PYN35" s="678"/>
      <c r="PYO35" s="678"/>
      <c r="PYP35" s="678"/>
      <c r="PYQ35" s="678"/>
      <c r="PYR35" s="678"/>
      <c r="PYS35" s="678"/>
      <c r="PYT35" s="678"/>
      <c r="PYU35" s="678"/>
      <c r="PYV35" s="678"/>
      <c r="PYW35" s="678"/>
      <c r="PYX35" s="678"/>
      <c r="PYY35" s="678"/>
      <c r="PYZ35" s="678"/>
      <c r="PZA35" s="678"/>
      <c r="PZB35" s="678"/>
      <c r="PZC35" s="678"/>
      <c r="PZD35" s="678"/>
      <c r="PZE35" s="678"/>
      <c r="PZF35" s="678"/>
      <c r="PZG35" s="678"/>
      <c r="PZH35" s="678"/>
      <c r="PZI35" s="678"/>
      <c r="PZJ35" s="678"/>
      <c r="PZK35" s="678"/>
      <c r="PZL35" s="678"/>
      <c r="PZM35" s="678"/>
      <c r="PZN35" s="678"/>
      <c r="PZO35" s="678"/>
      <c r="PZP35" s="678"/>
      <c r="PZQ35" s="678"/>
      <c r="PZR35" s="678"/>
      <c r="PZS35" s="678"/>
      <c r="PZT35" s="678"/>
      <c r="PZU35" s="678"/>
      <c r="PZV35" s="678"/>
      <c r="PZW35" s="678"/>
      <c r="PZX35" s="678"/>
      <c r="PZY35" s="678"/>
      <c r="PZZ35" s="678"/>
      <c r="QAA35" s="678"/>
      <c r="QAB35" s="678"/>
      <c r="QAC35" s="678"/>
      <c r="QAD35" s="678"/>
      <c r="QAE35" s="678"/>
      <c r="QAF35" s="678"/>
      <c r="QAG35" s="678"/>
      <c r="QAH35" s="678"/>
      <c r="QAI35" s="678"/>
      <c r="QAJ35" s="678"/>
      <c r="QAK35" s="678"/>
      <c r="QAL35" s="678"/>
      <c r="QAM35" s="678"/>
      <c r="QAN35" s="678"/>
      <c r="QAO35" s="678"/>
      <c r="QAP35" s="678"/>
      <c r="QAQ35" s="678"/>
      <c r="QAR35" s="678"/>
      <c r="QAS35" s="678"/>
      <c r="QAT35" s="678"/>
      <c r="QAU35" s="678"/>
      <c r="QAV35" s="678"/>
      <c r="QAW35" s="678"/>
      <c r="QAX35" s="678"/>
      <c r="QAY35" s="678"/>
      <c r="QAZ35" s="678"/>
      <c r="QBA35" s="678"/>
      <c r="QBB35" s="678"/>
      <c r="QBC35" s="678"/>
      <c r="QBD35" s="678"/>
      <c r="QBE35" s="678"/>
      <c r="QBF35" s="678"/>
      <c r="QBG35" s="678"/>
      <c r="QBH35" s="678"/>
      <c r="QBI35" s="678"/>
      <c r="QBJ35" s="678"/>
      <c r="QBK35" s="678"/>
      <c r="QBL35" s="678"/>
      <c r="QBM35" s="678"/>
      <c r="QBN35" s="678"/>
      <c r="QBO35" s="678"/>
      <c r="QBP35" s="678"/>
      <c r="QBQ35" s="678"/>
      <c r="QBR35" s="678"/>
      <c r="QBS35" s="678"/>
      <c r="QBT35" s="678"/>
      <c r="QBU35" s="678"/>
      <c r="QBV35" s="678"/>
      <c r="QBW35" s="678"/>
      <c r="QBX35" s="678"/>
      <c r="QBY35" s="678"/>
      <c r="QBZ35" s="678"/>
      <c r="QCA35" s="678"/>
      <c r="QCB35" s="678"/>
      <c r="QCC35" s="678"/>
      <c r="QCD35" s="678"/>
      <c r="QCE35" s="678"/>
      <c r="QCF35" s="678"/>
      <c r="QCG35" s="678"/>
      <c r="QCH35" s="678"/>
      <c r="QCI35" s="678"/>
      <c r="QCJ35" s="678"/>
      <c r="QCK35" s="678"/>
      <c r="QCL35" s="678"/>
      <c r="QCM35" s="678"/>
      <c r="QCN35" s="678"/>
      <c r="QCO35" s="678"/>
      <c r="QCP35" s="678"/>
      <c r="QCQ35" s="678"/>
      <c r="QCR35" s="678"/>
      <c r="QCS35" s="678"/>
      <c r="QCT35" s="678"/>
      <c r="QCU35" s="678"/>
      <c r="QCV35" s="678"/>
      <c r="QCW35" s="678"/>
      <c r="QCX35" s="678"/>
      <c r="QCY35" s="678"/>
      <c r="QCZ35" s="678"/>
      <c r="QDA35" s="678"/>
      <c r="QDB35" s="678"/>
      <c r="QDC35" s="678"/>
      <c r="QDD35" s="678"/>
      <c r="QDE35" s="678"/>
      <c r="QDF35" s="678"/>
      <c r="QDG35" s="678"/>
      <c r="QDH35" s="678"/>
      <c r="QDI35" s="678"/>
      <c r="QDJ35" s="678"/>
      <c r="QDK35" s="678"/>
      <c r="QDL35" s="678"/>
      <c r="QDM35" s="678"/>
      <c r="QDN35" s="678"/>
      <c r="QDO35" s="678"/>
      <c r="QDP35" s="678"/>
      <c r="QDQ35" s="678"/>
      <c r="QDR35" s="678"/>
      <c r="QDS35" s="678"/>
      <c r="QDT35" s="678"/>
      <c r="QDU35" s="678"/>
      <c r="QDV35" s="678"/>
      <c r="QDW35" s="678"/>
      <c r="QDX35" s="678"/>
      <c r="QDY35" s="678"/>
      <c r="QDZ35" s="678"/>
      <c r="QEA35" s="678"/>
      <c r="QEB35" s="678"/>
      <c r="QEC35" s="678"/>
      <c r="QED35" s="678"/>
      <c r="QEE35" s="678"/>
      <c r="QEF35" s="678"/>
      <c r="QEG35" s="678"/>
      <c r="QEH35" s="678"/>
      <c r="QEI35" s="678"/>
      <c r="QEJ35" s="678"/>
      <c r="QEK35" s="678"/>
      <c r="QEL35" s="678"/>
      <c r="QEM35" s="678"/>
      <c r="QEN35" s="678"/>
      <c r="QEO35" s="678"/>
      <c r="QEP35" s="678"/>
      <c r="QEQ35" s="678"/>
      <c r="QER35" s="678"/>
      <c r="QES35" s="678"/>
      <c r="QET35" s="678"/>
      <c r="QEU35" s="678"/>
      <c r="QEV35" s="678"/>
      <c r="QEW35" s="678"/>
      <c r="QEX35" s="678"/>
      <c r="QEY35" s="678"/>
      <c r="QEZ35" s="678"/>
      <c r="QFA35" s="678"/>
      <c r="QFB35" s="678"/>
      <c r="QFC35" s="678"/>
      <c r="QFD35" s="678"/>
      <c r="QFE35" s="678"/>
      <c r="QFF35" s="678"/>
      <c r="QFG35" s="678"/>
      <c r="QFH35" s="678"/>
      <c r="QFI35" s="678"/>
      <c r="QFJ35" s="678"/>
      <c r="QFK35" s="678"/>
      <c r="QFL35" s="678"/>
      <c r="QFM35" s="678"/>
      <c r="QFN35" s="678"/>
      <c r="QFO35" s="678"/>
      <c r="QFP35" s="678"/>
      <c r="QFQ35" s="678"/>
      <c r="QFR35" s="678"/>
      <c r="QFS35" s="678"/>
      <c r="QFT35" s="678"/>
      <c r="QFU35" s="678"/>
      <c r="QFV35" s="678"/>
      <c r="QFW35" s="678"/>
      <c r="QFX35" s="678"/>
      <c r="QFY35" s="678"/>
      <c r="QFZ35" s="678"/>
      <c r="QGA35" s="678"/>
      <c r="QGB35" s="678"/>
      <c r="QGC35" s="678"/>
      <c r="QGD35" s="678"/>
      <c r="QGE35" s="678"/>
      <c r="QGF35" s="678"/>
      <c r="QGG35" s="678"/>
      <c r="QGH35" s="678"/>
      <c r="QGI35" s="678"/>
      <c r="QGJ35" s="678"/>
      <c r="QGK35" s="678"/>
      <c r="QGL35" s="678"/>
      <c r="QGM35" s="678"/>
      <c r="QGN35" s="678"/>
      <c r="QGO35" s="678"/>
      <c r="QGP35" s="678"/>
      <c r="QGQ35" s="678"/>
      <c r="QGR35" s="678"/>
      <c r="QGS35" s="678"/>
      <c r="QGT35" s="678"/>
      <c r="QGU35" s="678"/>
      <c r="QGV35" s="678"/>
      <c r="QGW35" s="678"/>
      <c r="QGX35" s="678"/>
      <c r="QGY35" s="678"/>
      <c r="QGZ35" s="678"/>
      <c r="QHA35" s="678"/>
      <c r="QHB35" s="678"/>
      <c r="QHC35" s="678"/>
      <c r="QHD35" s="678"/>
      <c r="QHE35" s="678"/>
      <c r="QHF35" s="678"/>
      <c r="QHG35" s="678"/>
      <c r="QHH35" s="678"/>
      <c r="QHI35" s="678"/>
      <c r="QHJ35" s="678"/>
      <c r="QHK35" s="678"/>
      <c r="QHL35" s="678"/>
      <c r="QHM35" s="678"/>
      <c r="QHN35" s="678"/>
      <c r="QHO35" s="678"/>
      <c r="QHP35" s="678"/>
      <c r="QHQ35" s="678"/>
      <c r="QHR35" s="678"/>
      <c r="QHS35" s="678"/>
      <c r="QHT35" s="678"/>
      <c r="QHU35" s="678"/>
      <c r="QHV35" s="678"/>
      <c r="QHW35" s="678"/>
      <c r="QHX35" s="678"/>
      <c r="QHY35" s="678"/>
      <c r="QHZ35" s="678"/>
      <c r="QIA35" s="678"/>
      <c r="QIB35" s="678"/>
      <c r="QIC35" s="678"/>
      <c r="QID35" s="678"/>
      <c r="QIE35" s="678"/>
      <c r="QIF35" s="678"/>
      <c r="QIG35" s="678"/>
      <c r="QIH35" s="678"/>
      <c r="QII35" s="678"/>
      <c r="QIJ35" s="678"/>
      <c r="QIK35" s="678"/>
      <c r="QIL35" s="678"/>
      <c r="QIM35" s="678"/>
      <c r="QIN35" s="678"/>
      <c r="QIO35" s="678"/>
      <c r="QIP35" s="678"/>
      <c r="QIQ35" s="678"/>
      <c r="QIR35" s="678"/>
      <c r="QIS35" s="678"/>
      <c r="QIT35" s="678"/>
      <c r="QIU35" s="678"/>
      <c r="QIV35" s="678"/>
      <c r="QIW35" s="678"/>
      <c r="QIX35" s="678"/>
      <c r="QIY35" s="678"/>
      <c r="QIZ35" s="678"/>
      <c r="QJA35" s="678"/>
      <c r="QJB35" s="678"/>
      <c r="QJC35" s="678"/>
      <c r="QJD35" s="678"/>
      <c r="QJE35" s="678"/>
      <c r="QJF35" s="678"/>
      <c r="QJG35" s="678"/>
      <c r="QJH35" s="678"/>
      <c r="QJI35" s="678"/>
      <c r="QJJ35" s="678"/>
      <c r="QJK35" s="678"/>
      <c r="QJL35" s="678"/>
      <c r="QJM35" s="678"/>
      <c r="QJN35" s="678"/>
      <c r="QJO35" s="678"/>
      <c r="QJP35" s="678"/>
      <c r="QJQ35" s="678"/>
      <c r="QJR35" s="678"/>
      <c r="QJS35" s="678"/>
      <c r="QJT35" s="678"/>
      <c r="QJU35" s="678"/>
      <c r="QJV35" s="678"/>
      <c r="QJW35" s="678"/>
      <c r="QJX35" s="678"/>
      <c r="QJY35" s="678"/>
      <c r="QJZ35" s="678"/>
      <c r="QKA35" s="678"/>
      <c r="QKB35" s="678"/>
      <c r="QKC35" s="678"/>
      <c r="QKD35" s="678"/>
      <c r="QKE35" s="678"/>
      <c r="QKF35" s="678"/>
      <c r="QKG35" s="678"/>
      <c r="QKH35" s="678"/>
      <c r="QKI35" s="678"/>
      <c r="QKJ35" s="678"/>
      <c r="QKK35" s="678"/>
      <c r="QKL35" s="678"/>
      <c r="QKM35" s="678"/>
      <c r="QKN35" s="678"/>
      <c r="QKO35" s="678"/>
      <c r="QKP35" s="678"/>
      <c r="QKQ35" s="678"/>
      <c r="QKR35" s="678"/>
      <c r="QKS35" s="678"/>
      <c r="QKT35" s="678"/>
      <c r="QKU35" s="678"/>
      <c r="QKV35" s="678"/>
      <c r="QKW35" s="678"/>
      <c r="QKX35" s="678"/>
      <c r="QKY35" s="678"/>
      <c r="QKZ35" s="678"/>
      <c r="QLA35" s="678"/>
      <c r="QLB35" s="678"/>
      <c r="QLC35" s="678"/>
      <c r="QLD35" s="678"/>
      <c r="QLE35" s="678"/>
      <c r="QLF35" s="678"/>
      <c r="QLG35" s="678"/>
      <c r="QLH35" s="678"/>
      <c r="QLI35" s="678"/>
      <c r="QLJ35" s="678"/>
      <c r="QLK35" s="678"/>
      <c r="QLL35" s="678"/>
      <c r="QLM35" s="678"/>
      <c r="QLN35" s="678"/>
      <c r="QLO35" s="678"/>
      <c r="QLP35" s="678"/>
      <c r="QLQ35" s="678"/>
      <c r="QLR35" s="678"/>
      <c r="QLS35" s="678"/>
      <c r="QLT35" s="678"/>
      <c r="QLU35" s="678"/>
      <c r="QLV35" s="678"/>
      <c r="QLW35" s="678"/>
      <c r="QLX35" s="678"/>
      <c r="QLY35" s="678"/>
      <c r="QLZ35" s="678"/>
      <c r="QMA35" s="678"/>
      <c r="QMB35" s="678"/>
      <c r="QMC35" s="678"/>
      <c r="QMD35" s="678"/>
      <c r="QME35" s="678"/>
      <c r="QMF35" s="678"/>
      <c r="QMG35" s="678"/>
      <c r="QMH35" s="678"/>
      <c r="QMI35" s="678"/>
      <c r="QMJ35" s="678"/>
      <c r="QMK35" s="678"/>
      <c r="QML35" s="678"/>
      <c r="QMM35" s="678"/>
      <c r="QMN35" s="678"/>
      <c r="QMO35" s="678"/>
      <c r="QMP35" s="678"/>
      <c r="QMQ35" s="678"/>
      <c r="QMR35" s="678"/>
      <c r="QMS35" s="678"/>
      <c r="QMT35" s="678"/>
      <c r="QMU35" s="678"/>
      <c r="QMV35" s="678"/>
      <c r="QMW35" s="678"/>
      <c r="QMX35" s="678"/>
      <c r="QMY35" s="678"/>
      <c r="QMZ35" s="678"/>
      <c r="QNA35" s="678"/>
      <c r="QNB35" s="678"/>
      <c r="QNC35" s="678"/>
      <c r="QND35" s="678"/>
      <c r="QNE35" s="678"/>
      <c r="QNF35" s="678"/>
      <c r="QNG35" s="678"/>
      <c r="QNH35" s="678"/>
      <c r="QNI35" s="678"/>
      <c r="QNJ35" s="678"/>
      <c r="QNK35" s="678"/>
      <c r="QNL35" s="678"/>
      <c r="QNM35" s="678"/>
      <c r="QNN35" s="678"/>
      <c r="QNO35" s="678"/>
      <c r="QNP35" s="678"/>
      <c r="QNQ35" s="678"/>
      <c r="QNR35" s="678"/>
      <c r="QNS35" s="678"/>
      <c r="QNT35" s="678"/>
      <c r="QNU35" s="678"/>
      <c r="QNV35" s="678"/>
      <c r="QNW35" s="678"/>
      <c r="QNX35" s="678"/>
      <c r="QNY35" s="678"/>
      <c r="QNZ35" s="678"/>
      <c r="QOA35" s="678"/>
      <c r="QOB35" s="678"/>
      <c r="QOC35" s="678"/>
      <c r="QOD35" s="678"/>
      <c r="QOE35" s="678"/>
      <c r="QOF35" s="678"/>
      <c r="QOG35" s="678"/>
      <c r="QOH35" s="678"/>
      <c r="QOI35" s="678"/>
      <c r="QOJ35" s="678"/>
      <c r="QOK35" s="678"/>
      <c r="QOL35" s="678"/>
      <c r="QOM35" s="678"/>
      <c r="QON35" s="678"/>
      <c r="QOO35" s="678"/>
      <c r="QOP35" s="678"/>
      <c r="QOQ35" s="678"/>
      <c r="QOR35" s="678"/>
      <c r="QOS35" s="678"/>
      <c r="QOT35" s="678"/>
      <c r="QOU35" s="678"/>
      <c r="QOV35" s="678"/>
      <c r="QOW35" s="678"/>
      <c r="QOX35" s="678"/>
      <c r="QOY35" s="678"/>
      <c r="QOZ35" s="678"/>
      <c r="QPA35" s="678"/>
      <c r="QPB35" s="678"/>
      <c r="QPC35" s="678"/>
      <c r="QPD35" s="678"/>
      <c r="QPE35" s="678"/>
      <c r="QPF35" s="678"/>
      <c r="QPG35" s="678"/>
      <c r="QPH35" s="678"/>
      <c r="QPI35" s="678"/>
      <c r="QPJ35" s="678"/>
      <c r="QPK35" s="678"/>
      <c r="QPL35" s="678"/>
      <c r="QPM35" s="678"/>
      <c r="QPN35" s="678"/>
      <c r="QPO35" s="678"/>
      <c r="QPP35" s="678"/>
      <c r="QPQ35" s="678"/>
      <c r="QPR35" s="678"/>
      <c r="QPS35" s="678"/>
      <c r="QPT35" s="678"/>
      <c r="QPU35" s="678"/>
      <c r="QPV35" s="678"/>
      <c r="QPW35" s="678"/>
      <c r="QPX35" s="678"/>
      <c r="QPY35" s="678"/>
      <c r="QPZ35" s="678"/>
      <c r="QQA35" s="678"/>
      <c r="QQB35" s="678"/>
      <c r="QQC35" s="678"/>
      <c r="QQD35" s="678"/>
      <c r="QQE35" s="678"/>
      <c r="QQF35" s="678"/>
      <c r="QQG35" s="678"/>
      <c r="QQH35" s="678"/>
      <c r="QQI35" s="678"/>
      <c r="QQJ35" s="678"/>
      <c r="QQK35" s="678"/>
      <c r="QQL35" s="678"/>
      <c r="QQM35" s="678"/>
      <c r="QQN35" s="678"/>
      <c r="QQO35" s="678"/>
      <c r="QQP35" s="678"/>
      <c r="QQQ35" s="678"/>
      <c r="QQR35" s="678"/>
      <c r="QQS35" s="678"/>
      <c r="QQT35" s="678"/>
      <c r="QQU35" s="678"/>
      <c r="QQV35" s="678"/>
      <c r="QQW35" s="678"/>
      <c r="QQX35" s="678"/>
      <c r="QQY35" s="678"/>
      <c r="QQZ35" s="678"/>
      <c r="QRA35" s="678"/>
      <c r="QRB35" s="678"/>
      <c r="QRC35" s="678"/>
      <c r="QRD35" s="678"/>
      <c r="QRE35" s="678"/>
      <c r="QRF35" s="678"/>
      <c r="QRG35" s="678"/>
      <c r="QRH35" s="678"/>
      <c r="QRI35" s="678"/>
      <c r="QRJ35" s="678"/>
      <c r="QRK35" s="678"/>
      <c r="QRL35" s="678"/>
      <c r="QRM35" s="678"/>
      <c r="QRN35" s="678"/>
      <c r="QRO35" s="678"/>
      <c r="QRP35" s="678"/>
      <c r="QRQ35" s="678"/>
      <c r="QRR35" s="678"/>
      <c r="QRS35" s="678"/>
      <c r="QRT35" s="678"/>
      <c r="QRU35" s="678"/>
      <c r="QRV35" s="678"/>
      <c r="QRW35" s="678"/>
      <c r="QRX35" s="678"/>
      <c r="QRY35" s="678"/>
      <c r="QRZ35" s="678"/>
      <c r="QSA35" s="678"/>
      <c r="QSB35" s="678"/>
      <c r="QSC35" s="678"/>
      <c r="QSD35" s="678"/>
      <c r="QSE35" s="678"/>
      <c r="QSF35" s="678"/>
      <c r="QSG35" s="678"/>
      <c r="QSH35" s="678"/>
      <c r="QSI35" s="678"/>
      <c r="QSJ35" s="678"/>
      <c r="QSK35" s="678"/>
      <c r="QSL35" s="678"/>
      <c r="QSM35" s="678"/>
      <c r="QSN35" s="678"/>
      <c r="QSO35" s="678"/>
      <c r="QSP35" s="678"/>
      <c r="QSQ35" s="678"/>
      <c r="QSR35" s="678"/>
      <c r="QSS35" s="678"/>
      <c r="QST35" s="678"/>
      <c r="QSU35" s="678"/>
      <c r="QSV35" s="678"/>
      <c r="QSW35" s="678"/>
      <c r="QSX35" s="678"/>
      <c r="QSY35" s="678"/>
      <c r="QSZ35" s="678"/>
      <c r="QTA35" s="678"/>
      <c r="QTB35" s="678"/>
      <c r="QTC35" s="678"/>
      <c r="QTD35" s="678"/>
      <c r="QTE35" s="678"/>
      <c r="QTF35" s="678"/>
      <c r="QTG35" s="678"/>
      <c r="QTH35" s="678"/>
      <c r="QTI35" s="678"/>
      <c r="QTJ35" s="678"/>
      <c r="QTK35" s="678"/>
      <c r="QTL35" s="678"/>
      <c r="QTM35" s="678"/>
      <c r="QTN35" s="678"/>
      <c r="QTO35" s="678"/>
      <c r="QTP35" s="678"/>
      <c r="QTQ35" s="678"/>
      <c r="QTR35" s="678"/>
      <c r="QTS35" s="678"/>
      <c r="QTT35" s="678"/>
      <c r="QTU35" s="678"/>
      <c r="QTV35" s="678"/>
      <c r="QTW35" s="678"/>
      <c r="QTX35" s="678"/>
      <c r="QTY35" s="678"/>
      <c r="QTZ35" s="678"/>
      <c r="QUA35" s="678"/>
      <c r="QUB35" s="678"/>
      <c r="QUC35" s="678"/>
      <c r="QUD35" s="678"/>
      <c r="QUE35" s="678"/>
      <c r="QUF35" s="678"/>
      <c r="QUG35" s="678"/>
      <c r="QUH35" s="678"/>
      <c r="QUI35" s="678"/>
      <c r="QUJ35" s="678"/>
      <c r="QUK35" s="678"/>
      <c r="QUL35" s="678"/>
      <c r="QUM35" s="678"/>
      <c r="QUN35" s="678"/>
      <c r="QUO35" s="678"/>
      <c r="QUP35" s="678"/>
      <c r="QUQ35" s="678"/>
      <c r="QUR35" s="678"/>
      <c r="QUS35" s="678"/>
      <c r="QUT35" s="678"/>
      <c r="QUU35" s="678"/>
      <c r="QUV35" s="678"/>
      <c r="QUW35" s="678"/>
      <c r="QUX35" s="678"/>
      <c r="QUY35" s="678"/>
      <c r="QUZ35" s="678"/>
      <c r="QVA35" s="678"/>
      <c r="QVB35" s="678"/>
      <c r="QVC35" s="678"/>
      <c r="QVD35" s="678"/>
      <c r="QVE35" s="678"/>
      <c r="QVF35" s="678"/>
      <c r="QVG35" s="678"/>
      <c r="QVH35" s="678"/>
      <c r="QVI35" s="678"/>
      <c r="QVJ35" s="678"/>
      <c r="QVK35" s="678"/>
      <c r="QVL35" s="678"/>
      <c r="QVM35" s="678"/>
      <c r="QVN35" s="678"/>
      <c r="QVO35" s="678"/>
      <c r="QVP35" s="678"/>
      <c r="QVQ35" s="678"/>
      <c r="QVR35" s="678"/>
      <c r="QVS35" s="678"/>
      <c r="QVT35" s="678"/>
      <c r="QVU35" s="678"/>
      <c r="QVV35" s="678"/>
      <c r="QVW35" s="678"/>
      <c r="QVX35" s="678"/>
      <c r="QVY35" s="678"/>
      <c r="QVZ35" s="678"/>
      <c r="QWA35" s="678"/>
      <c r="QWB35" s="678"/>
      <c r="QWC35" s="678"/>
      <c r="QWD35" s="678"/>
      <c r="QWE35" s="678"/>
      <c r="QWF35" s="678"/>
      <c r="QWG35" s="678"/>
      <c r="QWH35" s="678"/>
      <c r="QWI35" s="678"/>
      <c r="QWJ35" s="678"/>
      <c r="QWK35" s="678"/>
      <c r="QWL35" s="678"/>
      <c r="QWM35" s="678"/>
      <c r="QWN35" s="678"/>
      <c r="QWO35" s="678"/>
      <c r="QWP35" s="678"/>
      <c r="QWQ35" s="678"/>
      <c r="QWR35" s="678"/>
      <c r="QWS35" s="678"/>
      <c r="QWT35" s="678"/>
      <c r="QWU35" s="678"/>
      <c r="QWV35" s="678"/>
      <c r="QWW35" s="678"/>
      <c r="QWX35" s="678"/>
      <c r="QWY35" s="678"/>
      <c r="QWZ35" s="678"/>
      <c r="QXA35" s="678"/>
      <c r="QXB35" s="678"/>
      <c r="QXC35" s="678"/>
      <c r="QXD35" s="678"/>
      <c r="QXE35" s="678"/>
      <c r="QXF35" s="678"/>
      <c r="QXG35" s="678"/>
      <c r="QXH35" s="678"/>
      <c r="QXI35" s="678"/>
      <c r="QXJ35" s="678"/>
      <c r="QXK35" s="678"/>
      <c r="QXL35" s="678"/>
      <c r="QXM35" s="678"/>
      <c r="QXN35" s="678"/>
      <c r="QXO35" s="678"/>
      <c r="QXP35" s="678"/>
      <c r="QXQ35" s="678"/>
      <c r="QXR35" s="678"/>
      <c r="QXS35" s="678"/>
      <c r="QXT35" s="678"/>
      <c r="QXU35" s="678"/>
      <c r="QXV35" s="678"/>
      <c r="QXW35" s="678"/>
      <c r="QXX35" s="678"/>
      <c r="QXY35" s="678"/>
      <c r="QXZ35" s="678"/>
      <c r="QYA35" s="678"/>
      <c r="QYB35" s="678"/>
      <c r="QYC35" s="678"/>
      <c r="QYD35" s="678"/>
      <c r="QYE35" s="678"/>
      <c r="QYF35" s="678"/>
      <c r="QYG35" s="678"/>
      <c r="QYH35" s="678"/>
      <c r="QYI35" s="678"/>
      <c r="QYJ35" s="678"/>
      <c r="QYK35" s="678"/>
      <c r="QYL35" s="678"/>
      <c r="QYM35" s="678"/>
      <c r="QYN35" s="678"/>
      <c r="QYO35" s="678"/>
      <c r="QYP35" s="678"/>
      <c r="QYQ35" s="678"/>
      <c r="QYR35" s="678"/>
      <c r="QYS35" s="678"/>
      <c r="QYT35" s="678"/>
      <c r="QYU35" s="678"/>
      <c r="QYV35" s="678"/>
      <c r="QYW35" s="678"/>
      <c r="QYX35" s="678"/>
      <c r="QYY35" s="678"/>
      <c r="QYZ35" s="678"/>
      <c r="QZA35" s="678"/>
      <c r="QZB35" s="678"/>
      <c r="QZC35" s="678"/>
      <c r="QZD35" s="678"/>
      <c r="QZE35" s="678"/>
      <c r="QZF35" s="678"/>
      <c r="QZG35" s="678"/>
      <c r="QZH35" s="678"/>
      <c r="QZI35" s="678"/>
      <c r="QZJ35" s="678"/>
      <c r="QZK35" s="678"/>
      <c r="QZL35" s="678"/>
      <c r="QZM35" s="678"/>
      <c r="QZN35" s="678"/>
      <c r="QZO35" s="678"/>
      <c r="QZP35" s="678"/>
      <c r="QZQ35" s="678"/>
      <c r="QZR35" s="678"/>
      <c r="QZS35" s="678"/>
      <c r="QZT35" s="678"/>
      <c r="QZU35" s="678"/>
      <c r="QZV35" s="678"/>
      <c r="QZW35" s="678"/>
      <c r="QZX35" s="678"/>
      <c r="QZY35" s="678"/>
      <c r="QZZ35" s="678"/>
      <c r="RAA35" s="678"/>
      <c r="RAB35" s="678"/>
      <c r="RAC35" s="678"/>
      <c r="RAD35" s="678"/>
      <c r="RAE35" s="678"/>
      <c r="RAF35" s="678"/>
      <c r="RAG35" s="678"/>
      <c r="RAH35" s="678"/>
      <c r="RAI35" s="678"/>
      <c r="RAJ35" s="678"/>
      <c r="RAK35" s="678"/>
      <c r="RAL35" s="678"/>
      <c r="RAM35" s="678"/>
      <c r="RAN35" s="678"/>
      <c r="RAO35" s="678"/>
      <c r="RAP35" s="678"/>
      <c r="RAQ35" s="678"/>
      <c r="RAR35" s="678"/>
      <c r="RAS35" s="678"/>
      <c r="RAT35" s="678"/>
      <c r="RAU35" s="678"/>
      <c r="RAV35" s="678"/>
      <c r="RAW35" s="678"/>
      <c r="RAX35" s="678"/>
      <c r="RAY35" s="678"/>
      <c r="RAZ35" s="678"/>
      <c r="RBA35" s="678"/>
      <c r="RBB35" s="678"/>
      <c r="RBC35" s="678"/>
      <c r="RBD35" s="678"/>
      <c r="RBE35" s="678"/>
      <c r="RBF35" s="678"/>
      <c r="RBG35" s="678"/>
      <c r="RBH35" s="678"/>
      <c r="RBI35" s="678"/>
      <c r="RBJ35" s="678"/>
      <c r="RBK35" s="678"/>
      <c r="RBL35" s="678"/>
      <c r="RBM35" s="678"/>
      <c r="RBN35" s="678"/>
      <c r="RBO35" s="678"/>
      <c r="RBP35" s="678"/>
      <c r="RBQ35" s="678"/>
      <c r="RBR35" s="678"/>
      <c r="RBS35" s="678"/>
      <c r="RBT35" s="678"/>
      <c r="RBU35" s="678"/>
      <c r="RBV35" s="678"/>
      <c r="RBW35" s="678"/>
      <c r="RBX35" s="678"/>
      <c r="RBY35" s="678"/>
      <c r="RBZ35" s="678"/>
      <c r="RCA35" s="678"/>
      <c r="RCB35" s="678"/>
      <c r="RCC35" s="678"/>
      <c r="RCD35" s="678"/>
      <c r="RCE35" s="678"/>
      <c r="RCF35" s="678"/>
      <c r="RCG35" s="678"/>
      <c r="RCH35" s="678"/>
      <c r="RCI35" s="678"/>
      <c r="RCJ35" s="678"/>
      <c r="RCK35" s="678"/>
      <c r="RCL35" s="678"/>
      <c r="RCM35" s="678"/>
      <c r="RCN35" s="678"/>
      <c r="RCO35" s="678"/>
      <c r="RCP35" s="678"/>
      <c r="RCQ35" s="678"/>
      <c r="RCR35" s="678"/>
      <c r="RCS35" s="678"/>
      <c r="RCT35" s="678"/>
      <c r="RCU35" s="678"/>
      <c r="RCV35" s="678"/>
      <c r="RCW35" s="678"/>
      <c r="RCX35" s="678"/>
      <c r="RCY35" s="678"/>
      <c r="RCZ35" s="678"/>
      <c r="RDA35" s="678"/>
      <c r="RDB35" s="678"/>
      <c r="RDC35" s="678"/>
      <c r="RDD35" s="678"/>
      <c r="RDE35" s="678"/>
      <c r="RDF35" s="678"/>
      <c r="RDG35" s="678"/>
      <c r="RDH35" s="678"/>
      <c r="RDI35" s="678"/>
      <c r="RDJ35" s="678"/>
      <c r="RDK35" s="678"/>
      <c r="RDL35" s="678"/>
      <c r="RDM35" s="678"/>
      <c r="RDN35" s="678"/>
      <c r="RDO35" s="678"/>
      <c r="RDP35" s="678"/>
      <c r="RDQ35" s="678"/>
      <c r="RDR35" s="678"/>
      <c r="RDS35" s="678"/>
      <c r="RDT35" s="678"/>
      <c r="RDU35" s="678"/>
      <c r="RDV35" s="678"/>
      <c r="RDW35" s="678"/>
      <c r="RDX35" s="678"/>
      <c r="RDY35" s="678"/>
      <c r="RDZ35" s="678"/>
      <c r="REA35" s="678"/>
      <c r="REB35" s="678"/>
      <c r="REC35" s="678"/>
      <c r="RED35" s="678"/>
      <c r="REE35" s="678"/>
      <c r="REF35" s="678"/>
      <c r="REG35" s="678"/>
      <c r="REH35" s="678"/>
      <c r="REI35" s="678"/>
      <c r="REJ35" s="678"/>
      <c r="REK35" s="678"/>
      <c r="REL35" s="678"/>
      <c r="REM35" s="678"/>
      <c r="REN35" s="678"/>
      <c r="REO35" s="678"/>
      <c r="REP35" s="678"/>
      <c r="REQ35" s="678"/>
      <c r="RER35" s="678"/>
      <c r="RES35" s="678"/>
      <c r="RET35" s="678"/>
      <c r="REU35" s="678"/>
      <c r="REV35" s="678"/>
      <c r="REW35" s="678"/>
      <c r="REX35" s="678"/>
      <c r="REY35" s="678"/>
      <c r="REZ35" s="678"/>
      <c r="RFA35" s="678"/>
      <c r="RFB35" s="678"/>
      <c r="RFC35" s="678"/>
      <c r="RFD35" s="678"/>
      <c r="RFE35" s="678"/>
      <c r="RFF35" s="678"/>
      <c r="RFG35" s="678"/>
      <c r="RFH35" s="678"/>
      <c r="RFI35" s="678"/>
      <c r="RFJ35" s="678"/>
      <c r="RFK35" s="678"/>
      <c r="RFL35" s="678"/>
      <c r="RFM35" s="678"/>
      <c r="RFN35" s="678"/>
      <c r="RFO35" s="678"/>
      <c r="RFP35" s="678"/>
      <c r="RFQ35" s="678"/>
      <c r="RFR35" s="678"/>
      <c r="RFS35" s="678"/>
      <c r="RFT35" s="678"/>
      <c r="RFU35" s="678"/>
      <c r="RFV35" s="678"/>
      <c r="RFW35" s="678"/>
      <c r="RFX35" s="678"/>
      <c r="RFY35" s="678"/>
      <c r="RFZ35" s="678"/>
      <c r="RGA35" s="678"/>
      <c r="RGB35" s="678"/>
      <c r="RGC35" s="678"/>
      <c r="RGD35" s="678"/>
      <c r="RGE35" s="678"/>
      <c r="RGF35" s="678"/>
      <c r="RGG35" s="678"/>
      <c r="RGH35" s="678"/>
      <c r="RGI35" s="678"/>
      <c r="RGJ35" s="678"/>
      <c r="RGK35" s="678"/>
      <c r="RGL35" s="678"/>
      <c r="RGM35" s="678"/>
      <c r="RGN35" s="678"/>
      <c r="RGO35" s="678"/>
      <c r="RGP35" s="678"/>
      <c r="RGQ35" s="678"/>
      <c r="RGR35" s="678"/>
      <c r="RGS35" s="678"/>
      <c r="RGT35" s="678"/>
      <c r="RGU35" s="678"/>
      <c r="RGV35" s="678"/>
      <c r="RGW35" s="678"/>
      <c r="RGX35" s="678"/>
      <c r="RGY35" s="678"/>
      <c r="RGZ35" s="678"/>
      <c r="RHA35" s="678"/>
      <c r="RHB35" s="678"/>
      <c r="RHC35" s="678"/>
      <c r="RHD35" s="678"/>
      <c r="RHE35" s="678"/>
      <c r="RHF35" s="678"/>
      <c r="RHG35" s="678"/>
      <c r="RHH35" s="678"/>
      <c r="RHI35" s="678"/>
      <c r="RHJ35" s="678"/>
      <c r="RHK35" s="678"/>
      <c r="RHL35" s="678"/>
      <c r="RHM35" s="678"/>
      <c r="RHN35" s="678"/>
      <c r="RHO35" s="678"/>
      <c r="RHP35" s="678"/>
      <c r="RHQ35" s="678"/>
      <c r="RHR35" s="678"/>
      <c r="RHS35" s="678"/>
      <c r="RHT35" s="678"/>
      <c r="RHU35" s="678"/>
      <c r="RHV35" s="678"/>
      <c r="RHW35" s="678"/>
      <c r="RHX35" s="678"/>
      <c r="RHY35" s="678"/>
      <c r="RHZ35" s="678"/>
      <c r="RIA35" s="678"/>
      <c r="RIB35" s="678"/>
      <c r="RIC35" s="678"/>
      <c r="RID35" s="678"/>
      <c r="RIE35" s="678"/>
      <c r="RIF35" s="678"/>
      <c r="RIG35" s="678"/>
      <c r="RIH35" s="678"/>
      <c r="RII35" s="678"/>
      <c r="RIJ35" s="678"/>
      <c r="RIK35" s="678"/>
      <c r="RIL35" s="678"/>
      <c r="RIM35" s="678"/>
      <c r="RIN35" s="678"/>
      <c r="RIO35" s="678"/>
      <c r="RIP35" s="678"/>
      <c r="RIQ35" s="678"/>
      <c r="RIR35" s="678"/>
      <c r="RIS35" s="678"/>
      <c r="RIT35" s="678"/>
      <c r="RIU35" s="678"/>
      <c r="RIV35" s="678"/>
      <c r="RIW35" s="678"/>
      <c r="RIX35" s="678"/>
      <c r="RIY35" s="678"/>
      <c r="RIZ35" s="678"/>
      <c r="RJA35" s="678"/>
      <c r="RJB35" s="678"/>
      <c r="RJC35" s="678"/>
      <c r="RJD35" s="678"/>
      <c r="RJE35" s="678"/>
      <c r="RJF35" s="678"/>
      <c r="RJG35" s="678"/>
      <c r="RJH35" s="678"/>
      <c r="RJI35" s="678"/>
      <c r="RJJ35" s="678"/>
      <c r="RJK35" s="678"/>
      <c r="RJL35" s="678"/>
      <c r="RJM35" s="678"/>
      <c r="RJN35" s="678"/>
      <c r="RJO35" s="678"/>
      <c r="RJP35" s="678"/>
      <c r="RJQ35" s="678"/>
      <c r="RJR35" s="678"/>
      <c r="RJS35" s="678"/>
      <c r="RJT35" s="678"/>
      <c r="RJU35" s="678"/>
      <c r="RJV35" s="678"/>
      <c r="RJW35" s="678"/>
      <c r="RJX35" s="678"/>
      <c r="RJY35" s="678"/>
      <c r="RJZ35" s="678"/>
      <c r="RKA35" s="678"/>
      <c r="RKB35" s="678"/>
      <c r="RKC35" s="678"/>
      <c r="RKD35" s="678"/>
      <c r="RKE35" s="678"/>
      <c r="RKF35" s="678"/>
      <c r="RKG35" s="678"/>
      <c r="RKH35" s="678"/>
      <c r="RKI35" s="678"/>
      <c r="RKJ35" s="678"/>
      <c r="RKK35" s="678"/>
      <c r="RKL35" s="678"/>
      <c r="RKM35" s="678"/>
      <c r="RKN35" s="678"/>
      <c r="RKO35" s="678"/>
      <c r="RKP35" s="678"/>
      <c r="RKQ35" s="678"/>
      <c r="RKR35" s="678"/>
      <c r="RKS35" s="678"/>
      <c r="RKT35" s="678"/>
      <c r="RKU35" s="678"/>
      <c r="RKV35" s="678"/>
      <c r="RKW35" s="678"/>
      <c r="RKX35" s="678"/>
      <c r="RKY35" s="678"/>
      <c r="RKZ35" s="678"/>
      <c r="RLA35" s="678"/>
      <c r="RLB35" s="678"/>
      <c r="RLC35" s="678"/>
      <c r="RLD35" s="678"/>
      <c r="RLE35" s="678"/>
      <c r="RLF35" s="678"/>
      <c r="RLG35" s="678"/>
      <c r="RLH35" s="678"/>
      <c r="RLI35" s="678"/>
      <c r="RLJ35" s="678"/>
      <c r="RLK35" s="678"/>
      <c r="RLL35" s="678"/>
      <c r="RLM35" s="678"/>
      <c r="RLN35" s="678"/>
      <c r="RLO35" s="678"/>
      <c r="RLP35" s="678"/>
      <c r="RLQ35" s="678"/>
      <c r="RLR35" s="678"/>
      <c r="RLS35" s="678"/>
      <c r="RLT35" s="678"/>
      <c r="RLU35" s="678"/>
      <c r="RLV35" s="678"/>
      <c r="RLW35" s="678"/>
      <c r="RLX35" s="678"/>
      <c r="RLY35" s="678"/>
      <c r="RLZ35" s="678"/>
      <c r="RMA35" s="678"/>
      <c r="RMB35" s="678"/>
      <c r="RMC35" s="678"/>
      <c r="RMD35" s="678"/>
      <c r="RME35" s="678"/>
      <c r="RMF35" s="678"/>
      <c r="RMG35" s="678"/>
      <c r="RMH35" s="678"/>
      <c r="RMI35" s="678"/>
      <c r="RMJ35" s="678"/>
      <c r="RMK35" s="678"/>
      <c r="RML35" s="678"/>
      <c r="RMM35" s="678"/>
      <c r="RMN35" s="678"/>
      <c r="RMO35" s="678"/>
      <c r="RMP35" s="678"/>
      <c r="RMQ35" s="678"/>
      <c r="RMR35" s="678"/>
      <c r="RMS35" s="678"/>
      <c r="RMT35" s="678"/>
      <c r="RMU35" s="678"/>
      <c r="RMV35" s="678"/>
      <c r="RMW35" s="678"/>
      <c r="RMX35" s="678"/>
      <c r="RMY35" s="678"/>
      <c r="RMZ35" s="678"/>
      <c r="RNA35" s="678"/>
      <c r="RNB35" s="678"/>
      <c r="RNC35" s="678"/>
      <c r="RND35" s="678"/>
      <c r="RNE35" s="678"/>
      <c r="RNF35" s="678"/>
      <c r="RNG35" s="678"/>
      <c r="RNH35" s="678"/>
      <c r="RNI35" s="678"/>
      <c r="RNJ35" s="678"/>
      <c r="RNK35" s="678"/>
      <c r="RNL35" s="678"/>
      <c r="RNM35" s="678"/>
      <c r="RNN35" s="678"/>
      <c r="RNO35" s="678"/>
      <c r="RNP35" s="678"/>
      <c r="RNQ35" s="678"/>
      <c r="RNR35" s="678"/>
      <c r="RNS35" s="678"/>
      <c r="RNT35" s="678"/>
      <c r="RNU35" s="678"/>
      <c r="RNV35" s="678"/>
      <c r="RNW35" s="678"/>
      <c r="RNX35" s="678"/>
      <c r="RNY35" s="678"/>
      <c r="RNZ35" s="678"/>
      <c r="ROA35" s="678"/>
      <c r="ROB35" s="678"/>
      <c r="ROC35" s="678"/>
      <c r="ROD35" s="678"/>
      <c r="ROE35" s="678"/>
      <c r="ROF35" s="678"/>
      <c r="ROG35" s="678"/>
      <c r="ROH35" s="678"/>
      <c r="ROI35" s="678"/>
      <c r="ROJ35" s="678"/>
      <c r="ROK35" s="678"/>
      <c r="ROL35" s="678"/>
      <c r="ROM35" s="678"/>
      <c r="RON35" s="678"/>
      <c r="ROO35" s="678"/>
      <c r="ROP35" s="678"/>
      <c r="ROQ35" s="678"/>
      <c r="ROR35" s="678"/>
      <c r="ROS35" s="678"/>
      <c r="ROT35" s="678"/>
      <c r="ROU35" s="678"/>
      <c r="ROV35" s="678"/>
      <c r="ROW35" s="678"/>
      <c r="ROX35" s="678"/>
      <c r="ROY35" s="678"/>
      <c r="ROZ35" s="678"/>
      <c r="RPA35" s="678"/>
      <c r="RPB35" s="678"/>
      <c r="RPC35" s="678"/>
      <c r="RPD35" s="678"/>
      <c r="RPE35" s="678"/>
      <c r="RPF35" s="678"/>
      <c r="RPG35" s="678"/>
      <c r="RPH35" s="678"/>
      <c r="RPI35" s="678"/>
      <c r="RPJ35" s="678"/>
      <c r="RPK35" s="678"/>
      <c r="RPL35" s="678"/>
      <c r="RPM35" s="678"/>
      <c r="RPN35" s="678"/>
      <c r="RPO35" s="678"/>
      <c r="RPP35" s="678"/>
      <c r="RPQ35" s="678"/>
      <c r="RPR35" s="678"/>
      <c r="RPS35" s="678"/>
      <c r="RPT35" s="678"/>
      <c r="RPU35" s="678"/>
      <c r="RPV35" s="678"/>
      <c r="RPW35" s="678"/>
      <c r="RPX35" s="678"/>
      <c r="RPY35" s="678"/>
      <c r="RPZ35" s="678"/>
      <c r="RQA35" s="678"/>
      <c r="RQB35" s="678"/>
      <c r="RQC35" s="678"/>
      <c r="RQD35" s="678"/>
      <c r="RQE35" s="678"/>
      <c r="RQF35" s="678"/>
      <c r="RQG35" s="678"/>
      <c r="RQH35" s="678"/>
      <c r="RQI35" s="678"/>
      <c r="RQJ35" s="678"/>
      <c r="RQK35" s="678"/>
      <c r="RQL35" s="678"/>
      <c r="RQM35" s="678"/>
      <c r="RQN35" s="678"/>
      <c r="RQO35" s="678"/>
      <c r="RQP35" s="678"/>
      <c r="RQQ35" s="678"/>
      <c r="RQR35" s="678"/>
      <c r="RQS35" s="678"/>
      <c r="RQT35" s="678"/>
      <c r="RQU35" s="678"/>
      <c r="RQV35" s="678"/>
      <c r="RQW35" s="678"/>
      <c r="RQX35" s="678"/>
      <c r="RQY35" s="678"/>
      <c r="RQZ35" s="678"/>
      <c r="RRA35" s="678"/>
      <c r="RRB35" s="678"/>
      <c r="RRC35" s="678"/>
      <c r="RRD35" s="678"/>
      <c r="RRE35" s="678"/>
      <c r="RRF35" s="678"/>
      <c r="RRG35" s="678"/>
      <c r="RRH35" s="678"/>
      <c r="RRI35" s="678"/>
      <c r="RRJ35" s="678"/>
      <c r="RRK35" s="678"/>
      <c r="RRL35" s="678"/>
      <c r="RRM35" s="678"/>
      <c r="RRN35" s="678"/>
      <c r="RRO35" s="678"/>
      <c r="RRP35" s="678"/>
      <c r="RRQ35" s="678"/>
      <c r="RRR35" s="678"/>
      <c r="RRS35" s="678"/>
      <c r="RRT35" s="678"/>
      <c r="RRU35" s="678"/>
      <c r="RRV35" s="678"/>
      <c r="RRW35" s="678"/>
      <c r="RRX35" s="678"/>
      <c r="RRY35" s="678"/>
      <c r="RRZ35" s="678"/>
      <c r="RSA35" s="678"/>
      <c r="RSB35" s="678"/>
      <c r="RSC35" s="678"/>
      <c r="RSD35" s="678"/>
      <c r="RSE35" s="678"/>
      <c r="RSF35" s="678"/>
      <c r="RSG35" s="678"/>
      <c r="RSH35" s="678"/>
      <c r="RSI35" s="678"/>
      <c r="RSJ35" s="678"/>
      <c r="RSK35" s="678"/>
      <c r="RSL35" s="678"/>
      <c r="RSM35" s="678"/>
      <c r="RSN35" s="678"/>
      <c r="RSO35" s="678"/>
      <c r="RSP35" s="678"/>
      <c r="RSQ35" s="678"/>
      <c r="RSR35" s="678"/>
      <c r="RSS35" s="678"/>
      <c r="RST35" s="678"/>
      <c r="RSU35" s="678"/>
      <c r="RSV35" s="678"/>
      <c r="RSW35" s="678"/>
      <c r="RSX35" s="678"/>
      <c r="RSY35" s="678"/>
      <c r="RSZ35" s="678"/>
      <c r="RTA35" s="678"/>
      <c r="RTB35" s="678"/>
      <c r="RTC35" s="678"/>
      <c r="RTD35" s="678"/>
      <c r="RTE35" s="678"/>
      <c r="RTF35" s="678"/>
      <c r="RTG35" s="678"/>
      <c r="RTH35" s="678"/>
      <c r="RTI35" s="678"/>
      <c r="RTJ35" s="678"/>
      <c r="RTK35" s="678"/>
      <c r="RTL35" s="678"/>
      <c r="RTM35" s="678"/>
      <c r="RTN35" s="678"/>
      <c r="RTO35" s="678"/>
      <c r="RTP35" s="678"/>
      <c r="RTQ35" s="678"/>
      <c r="RTR35" s="678"/>
      <c r="RTS35" s="678"/>
      <c r="RTT35" s="678"/>
      <c r="RTU35" s="678"/>
      <c r="RTV35" s="678"/>
      <c r="RTW35" s="678"/>
      <c r="RTX35" s="678"/>
      <c r="RTY35" s="678"/>
      <c r="RTZ35" s="678"/>
      <c r="RUA35" s="678"/>
      <c r="RUB35" s="678"/>
      <c r="RUC35" s="678"/>
      <c r="RUD35" s="678"/>
      <c r="RUE35" s="678"/>
      <c r="RUF35" s="678"/>
      <c r="RUG35" s="678"/>
      <c r="RUH35" s="678"/>
      <c r="RUI35" s="678"/>
      <c r="RUJ35" s="678"/>
      <c r="RUK35" s="678"/>
      <c r="RUL35" s="678"/>
      <c r="RUM35" s="678"/>
      <c r="RUN35" s="678"/>
      <c r="RUO35" s="678"/>
      <c r="RUP35" s="678"/>
      <c r="RUQ35" s="678"/>
      <c r="RUR35" s="678"/>
      <c r="RUS35" s="678"/>
      <c r="RUT35" s="678"/>
      <c r="RUU35" s="678"/>
      <c r="RUV35" s="678"/>
      <c r="RUW35" s="678"/>
      <c r="RUX35" s="678"/>
      <c r="RUY35" s="678"/>
      <c r="RUZ35" s="678"/>
      <c r="RVA35" s="678"/>
      <c r="RVB35" s="678"/>
      <c r="RVC35" s="678"/>
      <c r="RVD35" s="678"/>
      <c r="RVE35" s="678"/>
      <c r="RVF35" s="678"/>
      <c r="RVG35" s="678"/>
      <c r="RVH35" s="678"/>
      <c r="RVI35" s="678"/>
      <c r="RVJ35" s="678"/>
      <c r="RVK35" s="678"/>
      <c r="RVL35" s="678"/>
      <c r="RVM35" s="678"/>
      <c r="RVN35" s="678"/>
      <c r="RVO35" s="678"/>
      <c r="RVP35" s="678"/>
      <c r="RVQ35" s="678"/>
      <c r="RVR35" s="678"/>
      <c r="RVS35" s="678"/>
      <c r="RVT35" s="678"/>
      <c r="RVU35" s="678"/>
      <c r="RVV35" s="678"/>
      <c r="RVW35" s="678"/>
      <c r="RVX35" s="678"/>
      <c r="RVY35" s="678"/>
      <c r="RVZ35" s="678"/>
      <c r="RWA35" s="678"/>
      <c r="RWB35" s="678"/>
      <c r="RWC35" s="678"/>
      <c r="RWD35" s="678"/>
      <c r="RWE35" s="678"/>
      <c r="RWF35" s="678"/>
      <c r="RWG35" s="678"/>
      <c r="RWH35" s="678"/>
      <c r="RWI35" s="678"/>
      <c r="RWJ35" s="678"/>
      <c r="RWK35" s="678"/>
      <c r="RWL35" s="678"/>
      <c r="RWM35" s="678"/>
      <c r="RWN35" s="678"/>
      <c r="RWO35" s="678"/>
      <c r="RWP35" s="678"/>
      <c r="RWQ35" s="678"/>
      <c r="RWR35" s="678"/>
      <c r="RWS35" s="678"/>
      <c r="RWT35" s="678"/>
      <c r="RWU35" s="678"/>
      <c r="RWV35" s="678"/>
      <c r="RWW35" s="678"/>
      <c r="RWX35" s="678"/>
      <c r="RWY35" s="678"/>
      <c r="RWZ35" s="678"/>
      <c r="RXA35" s="678"/>
      <c r="RXB35" s="678"/>
      <c r="RXC35" s="678"/>
      <c r="RXD35" s="678"/>
      <c r="RXE35" s="678"/>
      <c r="RXF35" s="678"/>
      <c r="RXG35" s="678"/>
      <c r="RXH35" s="678"/>
      <c r="RXI35" s="678"/>
      <c r="RXJ35" s="678"/>
      <c r="RXK35" s="678"/>
      <c r="RXL35" s="678"/>
      <c r="RXM35" s="678"/>
      <c r="RXN35" s="678"/>
      <c r="RXO35" s="678"/>
      <c r="RXP35" s="678"/>
      <c r="RXQ35" s="678"/>
      <c r="RXR35" s="678"/>
      <c r="RXS35" s="678"/>
      <c r="RXT35" s="678"/>
      <c r="RXU35" s="678"/>
      <c r="RXV35" s="678"/>
      <c r="RXW35" s="678"/>
      <c r="RXX35" s="678"/>
      <c r="RXY35" s="678"/>
      <c r="RXZ35" s="678"/>
      <c r="RYA35" s="678"/>
      <c r="RYB35" s="678"/>
      <c r="RYC35" s="678"/>
      <c r="RYD35" s="678"/>
      <c r="RYE35" s="678"/>
      <c r="RYF35" s="678"/>
      <c r="RYG35" s="678"/>
      <c r="RYH35" s="678"/>
      <c r="RYI35" s="678"/>
      <c r="RYJ35" s="678"/>
      <c r="RYK35" s="678"/>
      <c r="RYL35" s="678"/>
      <c r="RYM35" s="678"/>
      <c r="RYN35" s="678"/>
      <c r="RYO35" s="678"/>
      <c r="RYP35" s="678"/>
      <c r="RYQ35" s="678"/>
      <c r="RYR35" s="678"/>
      <c r="RYS35" s="678"/>
      <c r="RYT35" s="678"/>
      <c r="RYU35" s="678"/>
      <c r="RYV35" s="678"/>
      <c r="RYW35" s="678"/>
      <c r="RYX35" s="678"/>
      <c r="RYY35" s="678"/>
      <c r="RYZ35" s="678"/>
      <c r="RZA35" s="678"/>
      <c r="RZB35" s="678"/>
      <c r="RZC35" s="678"/>
      <c r="RZD35" s="678"/>
      <c r="RZE35" s="678"/>
      <c r="RZF35" s="678"/>
      <c r="RZG35" s="678"/>
      <c r="RZH35" s="678"/>
      <c r="RZI35" s="678"/>
      <c r="RZJ35" s="678"/>
      <c r="RZK35" s="678"/>
      <c r="RZL35" s="678"/>
      <c r="RZM35" s="678"/>
      <c r="RZN35" s="678"/>
      <c r="RZO35" s="678"/>
      <c r="RZP35" s="678"/>
      <c r="RZQ35" s="678"/>
      <c r="RZR35" s="678"/>
      <c r="RZS35" s="678"/>
      <c r="RZT35" s="678"/>
      <c r="RZU35" s="678"/>
      <c r="RZV35" s="678"/>
      <c r="RZW35" s="678"/>
      <c r="RZX35" s="678"/>
      <c r="RZY35" s="678"/>
      <c r="RZZ35" s="678"/>
      <c r="SAA35" s="678"/>
      <c r="SAB35" s="678"/>
      <c r="SAC35" s="678"/>
      <c r="SAD35" s="678"/>
      <c r="SAE35" s="678"/>
      <c r="SAF35" s="678"/>
      <c r="SAG35" s="678"/>
      <c r="SAH35" s="678"/>
      <c r="SAI35" s="678"/>
      <c r="SAJ35" s="678"/>
      <c r="SAK35" s="678"/>
      <c r="SAL35" s="678"/>
      <c r="SAM35" s="678"/>
      <c r="SAN35" s="678"/>
      <c r="SAO35" s="678"/>
      <c r="SAP35" s="678"/>
      <c r="SAQ35" s="678"/>
      <c r="SAR35" s="678"/>
      <c r="SAS35" s="678"/>
      <c r="SAT35" s="678"/>
      <c r="SAU35" s="678"/>
      <c r="SAV35" s="678"/>
      <c r="SAW35" s="678"/>
      <c r="SAX35" s="678"/>
      <c r="SAY35" s="678"/>
      <c r="SAZ35" s="678"/>
      <c r="SBA35" s="678"/>
      <c r="SBB35" s="678"/>
      <c r="SBC35" s="678"/>
      <c r="SBD35" s="678"/>
      <c r="SBE35" s="678"/>
      <c r="SBF35" s="678"/>
      <c r="SBG35" s="678"/>
      <c r="SBH35" s="678"/>
      <c r="SBI35" s="678"/>
      <c r="SBJ35" s="678"/>
      <c r="SBK35" s="678"/>
      <c r="SBL35" s="678"/>
      <c r="SBM35" s="678"/>
      <c r="SBN35" s="678"/>
      <c r="SBO35" s="678"/>
      <c r="SBP35" s="678"/>
      <c r="SBQ35" s="678"/>
      <c r="SBR35" s="678"/>
      <c r="SBS35" s="678"/>
      <c r="SBT35" s="678"/>
      <c r="SBU35" s="678"/>
      <c r="SBV35" s="678"/>
      <c r="SBW35" s="678"/>
      <c r="SBX35" s="678"/>
      <c r="SBY35" s="678"/>
      <c r="SBZ35" s="678"/>
      <c r="SCA35" s="678"/>
      <c r="SCB35" s="678"/>
      <c r="SCC35" s="678"/>
      <c r="SCD35" s="678"/>
      <c r="SCE35" s="678"/>
      <c r="SCF35" s="678"/>
      <c r="SCG35" s="678"/>
      <c r="SCH35" s="678"/>
      <c r="SCI35" s="678"/>
      <c r="SCJ35" s="678"/>
      <c r="SCK35" s="678"/>
      <c r="SCL35" s="678"/>
      <c r="SCM35" s="678"/>
      <c r="SCN35" s="678"/>
      <c r="SCO35" s="678"/>
      <c r="SCP35" s="678"/>
      <c r="SCQ35" s="678"/>
      <c r="SCR35" s="678"/>
      <c r="SCS35" s="678"/>
      <c r="SCT35" s="678"/>
      <c r="SCU35" s="678"/>
      <c r="SCV35" s="678"/>
      <c r="SCW35" s="678"/>
      <c r="SCX35" s="678"/>
      <c r="SCY35" s="678"/>
      <c r="SCZ35" s="678"/>
      <c r="SDA35" s="678"/>
      <c r="SDB35" s="678"/>
      <c r="SDC35" s="678"/>
      <c r="SDD35" s="678"/>
      <c r="SDE35" s="678"/>
      <c r="SDF35" s="678"/>
      <c r="SDG35" s="678"/>
      <c r="SDH35" s="678"/>
      <c r="SDI35" s="678"/>
      <c r="SDJ35" s="678"/>
      <c r="SDK35" s="678"/>
      <c r="SDL35" s="678"/>
      <c r="SDM35" s="678"/>
      <c r="SDN35" s="678"/>
      <c r="SDO35" s="678"/>
      <c r="SDP35" s="678"/>
      <c r="SDQ35" s="678"/>
      <c r="SDR35" s="678"/>
      <c r="SDS35" s="678"/>
      <c r="SDT35" s="678"/>
      <c r="SDU35" s="678"/>
      <c r="SDV35" s="678"/>
      <c r="SDW35" s="678"/>
      <c r="SDX35" s="678"/>
      <c r="SDY35" s="678"/>
      <c r="SDZ35" s="678"/>
      <c r="SEA35" s="678"/>
      <c r="SEB35" s="678"/>
      <c r="SEC35" s="678"/>
      <c r="SED35" s="678"/>
      <c r="SEE35" s="678"/>
      <c r="SEF35" s="678"/>
      <c r="SEG35" s="678"/>
      <c r="SEH35" s="678"/>
      <c r="SEI35" s="678"/>
      <c r="SEJ35" s="678"/>
      <c r="SEK35" s="678"/>
      <c r="SEL35" s="678"/>
      <c r="SEM35" s="678"/>
      <c r="SEN35" s="678"/>
      <c r="SEO35" s="678"/>
      <c r="SEP35" s="678"/>
      <c r="SEQ35" s="678"/>
      <c r="SER35" s="678"/>
      <c r="SES35" s="678"/>
      <c r="SET35" s="678"/>
      <c r="SEU35" s="678"/>
      <c r="SEV35" s="678"/>
      <c r="SEW35" s="678"/>
      <c r="SEX35" s="678"/>
      <c r="SEY35" s="678"/>
      <c r="SEZ35" s="678"/>
      <c r="SFA35" s="678"/>
      <c r="SFB35" s="678"/>
      <c r="SFC35" s="678"/>
      <c r="SFD35" s="678"/>
      <c r="SFE35" s="678"/>
      <c r="SFF35" s="678"/>
      <c r="SFG35" s="678"/>
      <c r="SFH35" s="678"/>
      <c r="SFI35" s="678"/>
      <c r="SFJ35" s="678"/>
      <c r="SFK35" s="678"/>
      <c r="SFL35" s="678"/>
      <c r="SFM35" s="678"/>
      <c r="SFN35" s="678"/>
      <c r="SFO35" s="678"/>
      <c r="SFP35" s="678"/>
      <c r="SFQ35" s="678"/>
      <c r="SFR35" s="678"/>
      <c r="SFS35" s="678"/>
      <c r="SFT35" s="678"/>
      <c r="SFU35" s="678"/>
      <c r="SFV35" s="678"/>
      <c r="SFW35" s="678"/>
      <c r="SFX35" s="678"/>
      <c r="SFY35" s="678"/>
      <c r="SFZ35" s="678"/>
      <c r="SGA35" s="678"/>
      <c r="SGB35" s="678"/>
      <c r="SGC35" s="678"/>
      <c r="SGD35" s="678"/>
      <c r="SGE35" s="678"/>
      <c r="SGF35" s="678"/>
      <c r="SGG35" s="678"/>
      <c r="SGH35" s="678"/>
      <c r="SGI35" s="678"/>
      <c r="SGJ35" s="678"/>
      <c r="SGK35" s="678"/>
      <c r="SGL35" s="678"/>
      <c r="SGM35" s="678"/>
      <c r="SGN35" s="678"/>
      <c r="SGO35" s="678"/>
      <c r="SGP35" s="678"/>
      <c r="SGQ35" s="678"/>
      <c r="SGR35" s="678"/>
      <c r="SGS35" s="678"/>
      <c r="SGT35" s="678"/>
      <c r="SGU35" s="678"/>
      <c r="SGV35" s="678"/>
      <c r="SGW35" s="678"/>
      <c r="SGX35" s="678"/>
      <c r="SGY35" s="678"/>
      <c r="SGZ35" s="678"/>
      <c r="SHA35" s="678"/>
      <c r="SHB35" s="678"/>
      <c r="SHC35" s="678"/>
      <c r="SHD35" s="678"/>
      <c r="SHE35" s="678"/>
      <c r="SHF35" s="678"/>
      <c r="SHG35" s="678"/>
      <c r="SHH35" s="678"/>
      <c r="SHI35" s="678"/>
      <c r="SHJ35" s="678"/>
      <c r="SHK35" s="678"/>
      <c r="SHL35" s="678"/>
      <c r="SHM35" s="678"/>
      <c r="SHN35" s="678"/>
      <c r="SHO35" s="678"/>
      <c r="SHP35" s="678"/>
      <c r="SHQ35" s="678"/>
      <c r="SHR35" s="678"/>
      <c r="SHS35" s="678"/>
      <c r="SHT35" s="678"/>
      <c r="SHU35" s="678"/>
      <c r="SHV35" s="678"/>
      <c r="SHW35" s="678"/>
      <c r="SHX35" s="678"/>
      <c r="SHY35" s="678"/>
      <c r="SHZ35" s="678"/>
      <c r="SIA35" s="678"/>
      <c r="SIB35" s="678"/>
      <c r="SIC35" s="678"/>
      <c r="SID35" s="678"/>
      <c r="SIE35" s="678"/>
      <c r="SIF35" s="678"/>
      <c r="SIG35" s="678"/>
      <c r="SIH35" s="678"/>
      <c r="SII35" s="678"/>
      <c r="SIJ35" s="678"/>
      <c r="SIK35" s="678"/>
      <c r="SIL35" s="678"/>
      <c r="SIM35" s="678"/>
      <c r="SIN35" s="678"/>
      <c r="SIO35" s="678"/>
      <c r="SIP35" s="678"/>
      <c r="SIQ35" s="678"/>
      <c r="SIR35" s="678"/>
      <c r="SIS35" s="678"/>
      <c r="SIT35" s="678"/>
      <c r="SIU35" s="678"/>
      <c r="SIV35" s="678"/>
      <c r="SIW35" s="678"/>
      <c r="SIX35" s="678"/>
      <c r="SIY35" s="678"/>
      <c r="SIZ35" s="678"/>
      <c r="SJA35" s="678"/>
      <c r="SJB35" s="678"/>
      <c r="SJC35" s="678"/>
      <c r="SJD35" s="678"/>
      <c r="SJE35" s="678"/>
      <c r="SJF35" s="678"/>
      <c r="SJG35" s="678"/>
      <c r="SJH35" s="678"/>
      <c r="SJI35" s="678"/>
      <c r="SJJ35" s="678"/>
      <c r="SJK35" s="678"/>
      <c r="SJL35" s="678"/>
      <c r="SJM35" s="678"/>
      <c r="SJN35" s="678"/>
      <c r="SJO35" s="678"/>
      <c r="SJP35" s="678"/>
      <c r="SJQ35" s="678"/>
      <c r="SJR35" s="678"/>
      <c r="SJS35" s="678"/>
      <c r="SJT35" s="678"/>
      <c r="SJU35" s="678"/>
      <c r="SJV35" s="678"/>
      <c r="SJW35" s="678"/>
      <c r="SJX35" s="678"/>
      <c r="SJY35" s="678"/>
      <c r="SJZ35" s="678"/>
      <c r="SKA35" s="678"/>
      <c r="SKB35" s="678"/>
      <c r="SKC35" s="678"/>
      <c r="SKD35" s="678"/>
      <c r="SKE35" s="678"/>
      <c r="SKF35" s="678"/>
      <c r="SKG35" s="678"/>
      <c r="SKH35" s="678"/>
      <c r="SKI35" s="678"/>
      <c r="SKJ35" s="678"/>
      <c r="SKK35" s="678"/>
      <c r="SKL35" s="678"/>
      <c r="SKM35" s="678"/>
      <c r="SKN35" s="678"/>
      <c r="SKO35" s="678"/>
      <c r="SKP35" s="678"/>
      <c r="SKQ35" s="678"/>
      <c r="SKR35" s="678"/>
      <c r="SKS35" s="678"/>
      <c r="SKT35" s="678"/>
      <c r="SKU35" s="678"/>
      <c r="SKV35" s="678"/>
      <c r="SKW35" s="678"/>
      <c r="SKX35" s="678"/>
      <c r="SKY35" s="678"/>
      <c r="SKZ35" s="678"/>
      <c r="SLA35" s="678"/>
      <c r="SLB35" s="678"/>
      <c r="SLC35" s="678"/>
      <c r="SLD35" s="678"/>
      <c r="SLE35" s="678"/>
      <c r="SLF35" s="678"/>
      <c r="SLG35" s="678"/>
      <c r="SLH35" s="678"/>
      <c r="SLI35" s="678"/>
      <c r="SLJ35" s="678"/>
      <c r="SLK35" s="678"/>
      <c r="SLL35" s="678"/>
      <c r="SLM35" s="678"/>
      <c r="SLN35" s="678"/>
      <c r="SLO35" s="678"/>
      <c r="SLP35" s="678"/>
      <c r="SLQ35" s="678"/>
      <c r="SLR35" s="678"/>
      <c r="SLS35" s="678"/>
      <c r="SLT35" s="678"/>
      <c r="SLU35" s="678"/>
      <c r="SLV35" s="678"/>
      <c r="SLW35" s="678"/>
      <c r="SLX35" s="678"/>
      <c r="SLY35" s="678"/>
      <c r="SLZ35" s="678"/>
      <c r="SMA35" s="678"/>
      <c r="SMB35" s="678"/>
      <c r="SMC35" s="678"/>
      <c r="SMD35" s="678"/>
      <c r="SME35" s="678"/>
      <c r="SMF35" s="678"/>
      <c r="SMG35" s="678"/>
      <c r="SMH35" s="678"/>
      <c r="SMI35" s="678"/>
      <c r="SMJ35" s="678"/>
      <c r="SMK35" s="678"/>
      <c r="SML35" s="678"/>
      <c r="SMM35" s="678"/>
      <c r="SMN35" s="678"/>
      <c r="SMO35" s="678"/>
      <c r="SMP35" s="678"/>
      <c r="SMQ35" s="678"/>
      <c r="SMR35" s="678"/>
      <c r="SMS35" s="678"/>
      <c r="SMT35" s="678"/>
      <c r="SMU35" s="678"/>
      <c r="SMV35" s="678"/>
      <c r="SMW35" s="678"/>
      <c r="SMX35" s="678"/>
      <c r="SMY35" s="678"/>
      <c r="SMZ35" s="678"/>
      <c r="SNA35" s="678"/>
      <c r="SNB35" s="678"/>
      <c r="SNC35" s="678"/>
      <c r="SND35" s="678"/>
      <c r="SNE35" s="678"/>
      <c r="SNF35" s="678"/>
      <c r="SNG35" s="678"/>
      <c r="SNH35" s="678"/>
      <c r="SNI35" s="678"/>
      <c r="SNJ35" s="678"/>
      <c r="SNK35" s="678"/>
      <c r="SNL35" s="678"/>
      <c r="SNM35" s="678"/>
      <c r="SNN35" s="678"/>
      <c r="SNO35" s="678"/>
      <c r="SNP35" s="678"/>
      <c r="SNQ35" s="678"/>
      <c r="SNR35" s="678"/>
      <c r="SNS35" s="678"/>
      <c r="SNT35" s="678"/>
      <c r="SNU35" s="678"/>
      <c r="SNV35" s="678"/>
      <c r="SNW35" s="678"/>
      <c r="SNX35" s="678"/>
      <c r="SNY35" s="678"/>
      <c r="SNZ35" s="678"/>
      <c r="SOA35" s="678"/>
      <c r="SOB35" s="678"/>
      <c r="SOC35" s="678"/>
      <c r="SOD35" s="678"/>
      <c r="SOE35" s="678"/>
      <c r="SOF35" s="678"/>
      <c r="SOG35" s="678"/>
      <c r="SOH35" s="678"/>
      <c r="SOI35" s="678"/>
      <c r="SOJ35" s="678"/>
      <c r="SOK35" s="678"/>
      <c r="SOL35" s="678"/>
      <c r="SOM35" s="678"/>
      <c r="SON35" s="678"/>
      <c r="SOO35" s="678"/>
      <c r="SOP35" s="678"/>
      <c r="SOQ35" s="678"/>
      <c r="SOR35" s="678"/>
      <c r="SOS35" s="678"/>
      <c r="SOT35" s="678"/>
      <c r="SOU35" s="678"/>
      <c r="SOV35" s="678"/>
      <c r="SOW35" s="678"/>
      <c r="SOX35" s="678"/>
      <c r="SOY35" s="678"/>
      <c r="SOZ35" s="678"/>
      <c r="SPA35" s="678"/>
      <c r="SPB35" s="678"/>
      <c r="SPC35" s="678"/>
      <c r="SPD35" s="678"/>
      <c r="SPE35" s="678"/>
      <c r="SPF35" s="678"/>
      <c r="SPG35" s="678"/>
      <c r="SPH35" s="678"/>
      <c r="SPI35" s="678"/>
      <c r="SPJ35" s="678"/>
      <c r="SPK35" s="678"/>
      <c r="SPL35" s="678"/>
      <c r="SPM35" s="678"/>
      <c r="SPN35" s="678"/>
      <c r="SPO35" s="678"/>
      <c r="SPP35" s="678"/>
      <c r="SPQ35" s="678"/>
      <c r="SPR35" s="678"/>
      <c r="SPS35" s="678"/>
      <c r="SPT35" s="678"/>
      <c r="SPU35" s="678"/>
      <c r="SPV35" s="678"/>
      <c r="SPW35" s="678"/>
      <c r="SPX35" s="678"/>
      <c r="SPY35" s="678"/>
      <c r="SPZ35" s="678"/>
      <c r="SQA35" s="678"/>
      <c r="SQB35" s="678"/>
      <c r="SQC35" s="678"/>
      <c r="SQD35" s="678"/>
      <c r="SQE35" s="678"/>
      <c r="SQF35" s="678"/>
      <c r="SQG35" s="678"/>
      <c r="SQH35" s="678"/>
      <c r="SQI35" s="678"/>
      <c r="SQJ35" s="678"/>
      <c r="SQK35" s="678"/>
      <c r="SQL35" s="678"/>
      <c r="SQM35" s="678"/>
      <c r="SQN35" s="678"/>
      <c r="SQO35" s="678"/>
      <c r="SQP35" s="678"/>
      <c r="SQQ35" s="678"/>
      <c r="SQR35" s="678"/>
      <c r="SQS35" s="678"/>
      <c r="SQT35" s="678"/>
      <c r="SQU35" s="678"/>
      <c r="SQV35" s="678"/>
      <c r="SQW35" s="678"/>
      <c r="SQX35" s="678"/>
      <c r="SQY35" s="678"/>
      <c r="SQZ35" s="678"/>
      <c r="SRA35" s="678"/>
      <c r="SRB35" s="678"/>
      <c r="SRC35" s="678"/>
      <c r="SRD35" s="678"/>
      <c r="SRE35" s="678"/>
      <c r="SRF35" s="678"/>
      <c r="SRG35" s="678"/>
      <c r="SRH35" s="678"/>
      <c r="SRI35" s="678"/>
      <c r="SRJ35" s="678"/>
      <c r="SRK35" s="678"/>
      <c r="SRL35" s="678"/>
      <c r="SRM35" s="678"/>
      <c r="SRN35" s="678"/>
      <c r="SRO35" s="678"/>
      <c r="SRP35" s="678"/>
      <c r="SRQ35" s="678"/>
      <c r="SRR35" s="678"/>
      <c r="SRS35" s="678"/>
      <c r="SRT35" s="678"/>
      <c r="SRU35" s="678"/>
      <c r="SRV35" s="678"/>
      <c r="SRW35" s="678"/>
      <c r="SRX35" s="678"/>
      <c r="SRY35" s="678"/>
      <c r="SRZ35" s="678"/>
      <c r="SSA35" s="678"/>
      <c r="SSB35" s="678"/>
      <c r="SSC35" s="678"/>
      <c r="SSD35" s="678"/>
      <c r="SSE35" s="678"/>
      <c r="SSF35" s="678"/>
      <c r="SSG35" s="678"/>
      <c r="SSH35" s="678"/>
      <c r="SSI35" s="678"/>
      <c r="SSJ35" s="678"/>
      <c r="SSK35" s="678"/>
      <c r="SSL35" s="678"/>
      <c r="SSM35" s="678"/>
      <c r="SSN35" s="678"/>
      <c r="SSO35" s="678"/>
      <c r="SSP35" s="678"/>
      <c r="SSQ35" s="678"/>
      <c r="SSR35" s="678"/>
      <c r="SSS35" s="678"/>
      <c r="SST35" s="678"/>
      <c r="SSU35" s="678"/>
      <c r="SSV35" s="678"/>
      <c r="SSW35" s="678"/>
      <c r="SSX35" s="678"/>
      <c r="SSY35" s="678"/>
      <c r="SSZ35" s="678"/>
      <c r="STA35" s="678"/>
      <c r="STB35" s="678"/>
      <c r="STC35" s="678"/>
      <c r="STD35" s="678"/>
      <c r="STE35" s="678"/>
      <c r="STF35" s="678"/>
      <c r="STG35" s="678"/>
      <c r="STH35" s="678"/>
      <c r="STI35" s="678"/>
      <c r="STJ35" s="678"/>
      <c r="STK35" s="678"/>
      <c r="STL35" s="678"/>
      <c r="STM35" s="678"/>
      <c r="STN35" s="678"/>
      <c r="STO35" s="678"/>
      <c r="STP35" s="678"/>
      <c r="STQ35" s="678"/>
      <c r="STR35" s="678"/>
      <c r="STS35" s="678"/>
      <c r="STT35" s="678"/>
      <c r="STU35" s="678"/>
      <c r="STV35" s="678"/>
      <c r="STW35" s="678"/>
      <c r="STX35" s="678"/>
      <c r="STY35" s="678"/>
      <c r="STZ35" s="678"/>
      <c r="SUA35" s="678"/>
      <c r="SUB35" s="678"/>
      <c r="SUC35" s="678"/>
      <c r="SUD35" s="678"/>
      <c r="SUE35" s="678"/>
      <c r="SUF35" s="678"/>
      <c r="SUG35" s="678"/>
      <c r="SUH35" s="678"/>
      <c r="SUI35" s="678"/>
      <c r="SUJ35" s="678"/>
      <c r="SUK35" s="678"/>
      <c r="SUL35" s="678"/>
      <c r="SUM35" s="678"/>
      <c r="SUN35" s="678"/>
      <c r="SUO35" s="678"/>
      <c r="SUP35" s="678"/>
      <c r="SUQ35" s="678"/>
      <c r="SUR35" s="678"/>
      <c r="SUS35" s="678"/>
      <c r="SUT35" s="678"/>
      <c r="SUU35" s="678"/>
      <c r="SUV35" s="678"/>
      <c r="SUW35" s="678"/>
      <c r="SUX35" s="678"/>
      <c r="SUY35" s="678"/>
      <c r="SUZ35" s="678"/>
      <c r="SVA35" s="678"/>
      <c r="SVB35" s="678"/>
      <c r="SVC35" s="678"/>
      <c r="SVD35" s="678"/>
      <c r="SVE35" s="678"/>
      <c r="SVF35" s="678"/>
      <c r="SVG35" s="678"/>
      <c r="SVH35" s="678"/>
      <c r="SVI35" s="678"/>
      <c r="SVJ35" s="678"/>
      <c r="SVK35" s="678"/>
      <c r="SVL35" s="678"/>
      <c r="SVM35" s="678"/>
      <c r="SVN35" s="678"/>
      <c r="SVO35" s="678"/>
      <c r="SVP35" s="678"/>
      <c r="SVQ35" s="678"/>
      <c r="SVR35" s="678"/>
      <c r="SVS35" s="678"/>
      <c r="SVT35" s="678"/>
      <c r="SVU35" s="678"/>
      <c r="SVV35" s="678"/>
      <c r="SVW35" s="678"/>
      <c r="SVX35" s="678"/>
      <c r="SVY35" s="678"/>
      <c r="SVZ35" s="678"/>
      <c r="SWA35" s="678"/>
      <c r="SWB35" s="678"/>
      <c r="SWC35" s="678"/>
      <c r="SWD35" s="678"/>
      <c r="SWE35" s="678"/>
      <c r="SWF35" s="678"/>
      <c r="SWG35" s="678"/>
      <c r="SWH35" s="678"/>
      <c r="SWI35" s="678"/>
      <c r="SWJ35" s="678"/>
      <c r="SWK35" s="678"/>
      <c r="SWL35" s="678"/>
      <c r="SWM35" s="678"/>
      <c r="SWN35" s="678"/>
      <c r="SWO35" s="678"/>
      <c r="SWP35" s="678"/>
      <c r="SWQ35" s="678"/>
      <c r="SWR35" s="678"/>
      <c r="SWS35" s="678"/>
      <c r="SWT35" s="678"/>
      <c r="SWU35" s="678"/>
      <c r="SWV35" s="678"/>
      <c r="SWW35" s="678"/>
      <c r="SWX35" s="678"/>
      <c r="SWY35" s="678"/>
      <c r="SWZ35" s="678"/>
      <c r="SXA35" s="678"/>
      <c r="SXB35" s="678"/>
      <c r="SXC35" s="678"/>
      <c r="SXD35" s="678"/>
      <c r="SXE35" s="678"/>
      <c r="SXF35" s="678"/>
      <c r="SXG35" s="678"/>
      <c r="SXH35" s="678"/>
      <c r="SXI35" s="678"/>
      <c r="SXJ35" s="678"/>
      <c r="SXK35" s="678"/>
      <c r="SXL35" s="678"/>
      <c r="SXM35" s="678"/>
      <c r="SXN35" s="678"/>
      <c r="SXO35" s="678"/>
      <c r="SXP35" s="678"/>
      <c r="SXQ35" s="678"/>
      <c r="SXR35" s="678"/>
      <c r="SXS35" s="678"/>
      <c r="SXT35" s="678"/>
      <c r="SXU35" s="678"/>
      <c r="SXV35" s="678"/>
      <c r="SXW35" s="678"/>
      <c r="SXX35" s="678"/>
      <c r="SXY35" s="678"/>
      <c r="SXZ35" s="678"/>
      <c r="SYA35" s="678"/>
      <c r="SYB35" s="678"/>
      <c r="SYC35" s="678"/>
      <c r="SYD35" s="678"/>
      <c r="SYE35" s="678"/>
      <c r="SYF35" s="678"/>
      <c r="SYG35" s="678"/>
      <c r="SYH35" s="678"/>
      <c r="SYI35" s="678"/>
      <c r="SYJ35" s="678"/>
      <c r="SYK35" s="678"/>
      <c r="SYL35" s="678"/>
      <c r="SYM35" s="678"/>
      <c r="SYN35" s="678"/>
      <c r="SYO35" s="678"/>
      <c r="SYP35" s="678"/>
      <c r="SYQ35" s="678"/>
      <c r="SYR35" s="678"/>
      <c r="SYS35" s="678"/>
      <c r="SYT35" s="678"/>
      <c r="SYU35" s="678"/>
      <c r="SYV35" s="678"/>
      <c r="SYW35" s="678"/>
      <c r="SYX35" s="678"/>
      <c r="SYY35" s="678"/>
      <c r="SYZ35" s="678"/>
      <c r="SZA35" s="678"/>
      <c r="SZB35" s="678"/>
      <c r="SZC35" s="678"/>
      <c r="SZD35" s="678"/>
      <c r="SZE35" s="678"/>
      <c r="SZF35" s="678"/>
      <c r="SZG35" s="678"/>
      <c r="SZH35" s="678"/>
      <c r="SZI35" s="678"/>
      <c r="SZJ35" s="678"/>
      <c r="SZK35" s="678"/>
      <c r="SZL35" s="678"/>
      <c r="SZM35" s="678"/>
      <c r="SZN35" s="678"/>
      <c r="SZO35" s="678"/>
      <c r="SZP35" s="678"/>
      <c r="SZQ35" s="678"/>
      <c r="SZR35" s="678"/>
      <c r="SZS35" s="678"/>
      <c r="SZT35" s="678"/>
      <c r="SZU35" s="678"/>
      <c r="SZV35" s="678"/>
      <c r="SZW35" s="678"/>
      <c r="SZX35" s="678"/>
      <c r="SZY35" s="678"/>
      <c r="SZZ35" s="678"/>
      <c r="TAA35" s="678"/>
      <c r="TAB35" s="678"/>
      <c r="TAC35" s="678"/>
      <c r="TAD35" s="678"/>
      <c r="TAE35" s="678"/>
      <c r="TAF35" s="678"/>
      <c r="TAG35" s="678"/>
      <c r="TAH35" s="678"/>
      <c r="TAI35" s="678"/>
      <c r="TAJ35" s="678"/>
      <c r="TAK35" s="678"/>
      <c r="TAL35" s="678"/>
      <c r="TAM35" s="678"/>
      <c r="TAN35" s="678"/>
      <c r="TAO35" s="678"/>
      <c r="TAP35" s="678"/>
      <c r="TAQ35" s="678"/>
      <c r="TAR35" s="678"/>
      <c r="TAS35" s="678"/>
      <c r="TAT35" s="678"/>
      <c r="TAU35" s="678"/>
      <c r="TAV35" s="678"/>
      <c r="TAW35" s="678"/>
      <c r="TAX35" s="678"/>
      <c r="TAY35" s="678"/>
      <c r="TAZ35" s="678"/>
      <c r="TBA35" s="678"/>
      <c r="TBB35" s="678"/>
      <c r="TBC35" s="678"/>
      <c r="TBD35" s="678"/>
      <c r="TBE35" s="678"/>
      <c r="TBF35" s="678"/>
      <c r="TBG35" s="678"/>
      <c r="TBH35" s="678"/>
      <c r="TBI35" s="678"/>
      <c r="TBJ35" s="678"/>
      <c r="TBK35" s="678"/>
      <c r="TBL35" s="678"/>
      <c r="TBM35" s="678"/>
      <c r="TBN35" s="678"/>
      <c r="TBO35" s="678"/>
      <c r="TBP35" s="678"/>
      <c r="TBQ35" s="678"/>
      <c r="TBR35" s="678"/>
      <c r="TBS35" s="678"/>
      <c r="TBT35" s="678"/>
      <c r="TBU35" s="678"/>
      <c r="TBV35" s="678"/>
      <c r="TBW35" s="678"/>
      <c r="TBX35" s="678"/>
      <c r="TBY35" s="678"/>
      <c r="TBZ35" s="678"/>
      <c r="TCA35" s="678"/>
      <c r="TCB35" s="678"/>
      <c r="TCC35" s="678"/>
      <c r="TCD35" s="678"/>
      <c r="TCE35" s="678"/>
      <c r="TCF35" s="678"/>
      <c r="TCG35" s="678"/>
      <c r="TCH35" s="678"/>
      <c r="TCI35" s="678"/>
      <c r="TCJ35" s="678"/>
      <c r="TCK35" s="678"/>
      <c r="TCL35" s="678"/>
      <c r="TCM35" s="678"/>
      <c r="TCN35" s="678"/>
      <c r="TCO35" s="678"/>
      <c r="TCP35" s="678"/>
      <c r="TCQ35" s="678"/>
      <c r="TCR35" s="678"/>
      <c r="TCS35" s="678"/>
      <c r="TCT35" s="678"/>
      <c r="TCU35" s="678"/>
      <c r="TCV35" s="678"/>
      <c r="TCW35" s="678"/>
      <c r="TCX35" s="678"/>
      <c r="TCY35" s="678"/>
      <c r="TCZ35" s="678"/>
      <c r="TDA35" s="678"/>
      <c r="TDB35" s="678"/>
      <c r="TDC35" s="678"/>
      <c r="TDD35" s="678"/>
      <c r="TDE35" s="678"/>
      <c r="TDF35" s="678"/>
      <c r="TDG35" s="678"/>
      <c r="TDH35" s="678"/>
      <c r="TDI35" s="678"/>
      <c r="TDJ35" s="678"/>
      <c r="TDK35" s="678"/>
      <c r="TDL35" s="678"/>
      <c r="TDM35" s="678"/>
      <c r="TDN35" s="678"/>
      <c r="TDO35" s="678"/>
      <c r="TDP35" s="678"/>
      <c r="TDQ35" s="678"/>
      <c r="TDR35" s="678"/>
      <c r="TDS35" s="678"/>
      <c r="TDT35" s="678"/>
      <c r="TDU35" s="678"/>
      <c r="TDV35" s="678"/>
      <c r="TDW35" s="678"/>
      <c r="TDX35" s="678"/>
      <c r="TDY35" s="678"/>
      <c r="TDZ35" s="678"/>
      <c r="TEA35" s="678"/>
      <c r="TEB35" s="678"/>
      <c r="TEC35" s="678"/>
      <c r="TED35" s="678"/>
      <c r="TEE35" s="678"/>
      <c r="TEF35" s="678"/>
      <c r="TEG35" s="678"/>
      <c r="TEH35" s="678"/>
      <c r="TEI35" s="678"/>
      <c r="TEJ35" s="678"/>
      <c r="TEK35" s="678"/>
      <c r="TEL35" s="678"/>
      <c r="TEM35" s="678"/>
      <c r="TEN35" s="678"/>
      <c r="TEO35" s="678"/>
      <c r="TEP35" s="678"/>
      <c r="TEQ35" s="678"/>
      <c r="TER35" s="678"/>
      <c r="TES35" s="678"/>
      <c r="TET35" s="678"/>
      <c r="TEU35" s="678"/>
      <c r="TEV35" s="678"/>
      <c r="TEW35" s="678"/>
      <c r="TEX35" s="678"/>
      <c r="TEY35" s="678"/>
      <c r="TEZ35" s="678"/>
      <c r="TFA35" s="678"/>
      <c r="TFB35" s="678"/>
      <c r="TFC35" s="678"/>
      <c r="TFD35" s="678"/>
      <c r="TFE35" s="678"/>
      <c r="TFF35" s="678"/>
      <c r="TFG35" s="678"/>
      <c r="TFH35" s="678"/>
      <c r="TFI35" s="678"/>
      <c r="TFJ35" s="678"/>
      <c r="TFK35" s="678"/>
      <c r="TFL35" s="678"/>
      <c r="TFM35" s="678"/>
      <c r="TFN35" s="678"/>
      <c r="TFO35" s="678"/>
      <c r="TFP35" s="678"/>
      <c r="TFQ35" s="678"/>
      <c r="TFR35" s="678"/>
      <c r="TFS35" s="678"/>
      <c r="TFT35" s="678"/>
      <c r="TFU35" s="678"/>
      <c r="TFV35" s="678"/>
      <c r="TFW35" s="678"/>
      <c r="TFX35" s="678"/>
      <c r="TFY35" s="678"/>
      <c r="TFZ35" s="678"/>
      <c r="TGA35" s="678"/>
      <c r="TGB35" s="678"/>
      <c r="TGC35" s="678"/>
      <c r="TGD35" s="678"/>
      <c r="TGE35" s="678"/>
      <c r="TGF35" s="678"/>
      <c r="TGG35" s="678"/>
      <c r="TGH35" s="678"/>
      <c r="TGI35" s="678"/>
      <c r="TGJ35" s="678"/>
      <c r="TGK35" s="678"/>
      <c r="TGL35" s="678"/>
      <c r="TGM35" s="678"/>
      <c r="TGN35" s="678"/>
      <c r="TGO35" s="678"/>
      <c r="TGP35" s="678"/>
      <c r="TGQ35" s="678"/>
      <c r="TGR35" s="678"/>
      <c r="TGS35" s="678"/>
      <c r="TGT35" s="678"/>
      <c r="TGU35" s="678"/>
      <c r="TGV35" s="678"/>
      <c r="TGW35" s="678"/>
      <c r="TGX35" s="678"/>
      <c r="TGY35" s="678"/>
      <c r="TGZ35" s="678"/>
      <c r="THA35" s="678"/>
      <c r="THB35" s="678"/>
      <c r="THC35" s="678"/>
      <c r="THD35" s="678"/>
      <c r="THE35" s="678"/>
      <c r="THF35" s="678"/>
      <c r="THG35" s="678"/>
      <c r="THH35" s="678"/>
      <c r="THI35" s="678"/>
      <c r="THJ35" s="678"/>
      <c r="THK35" s="678"/>
      <c r="THL35" s="678"/>
      <c r="THM35" s="678"/>
      <c r="THN35" s="678"/>
      <c r="THO35" s="678"/>
      <c r="THP35" s="678"/>
      <c r="THQ35" s="678"/>
      <c r="THR35" s="678"/>
      <c r="THS35" s="678"/>
      <c r="THT35" s="678"/>
      <c r="THU35" s="678"/>
      <c r="THV35" s="678"/>
      <c r="THW35" s="678"/>
      <c r="THX35" s="678"/>
      <c r="THY35" s="678"/>
      <c r="THZ35" s="678"/>
      <c r="TIA35" s="678"/>
      <c r="TIB35" s="678"/>
      <c r="TIC35" s="678"/>
      <c r="TID35" s="678"/>
      <c r="TIE35" s="678"/>
      <c r="TIF35" s="678"/>
      <c r="TIG35" s="678"/>
      <c r="TIH35" s="678"/>
      <c r="TII35" s="678"/>
      <c r="TIJ35" s="678"/>
      <c r="TIK35" s="678"/>
      <c r="TIL35" s="678"/>
      <c r="TIM35" s="678"/>
      <c r="TIN35" s="678"/>
      <c r="TIO35" s="678"/>
      <c r="TIP35" s="678"/>
      <c r="TIQ35" s="678"/>
      <c r="TIR35" s="678"/>
      <c r="TIS35" s="678"/>
      <c r="TIT35" s="678"/>
      <c r="TIU35" s="678"/>
      <c r="TIV35" s="678"/>
      <c r="TIW35" s="678"/>
      <c r="TIX35" s="678"/>
      <c r="TIY35" s="678"/>
      <c r="TIZ35" s="678"/>
      <c r="TJA35" s="678"/>
      <c r="TJB35" s="678"/>
      <c r="TJC35" s="678"/>
      <c r="TJD35" s="678"/>
      <c r="TJE35" s="678"/>
      <c r="TJF35" s="678"/>
      <c r="TJG35" s="678"/>
      <c r="TJH35" s="678"/>
      <c r="TJI35" s="678"/>
      <c r="TJJ35" s="678"/>
      <c r="TJK35" s="678"/>
      <c r="TJL35" s="678"/>
      <c r="TJM35" s="678"/>
      <c r="TJN35" s="678"/>
      <c r="TJO35" s="678"/>
      <c r="TJP35" s="678"/>
      <c r="TJQ35" s="678"/>
      <c r="TJR35" s="678"/>
      <c r="TJS35" s="678"/>
      <c r="TJT35" s="678"/>
      <c r="TJU35" s="678"/>
      <c r="TJV35" s="678"/>
      <c r="TJW35" s="678"/>
      <c r="TJX35" s="678"/>
      <c r="TJY35" s="678"/>
      <c r="TJZ35" s="678"/>
      <c r="TKA35" s="678"/>
      <c r="TKB35" s="678"/>
      <c r="TKC35" s="678"/>
      <c r="TKD35" s="678"/>
      <c r="TKE35" s="678"/>
      <c r="TKF35" s="678"/>
      <c r="TKG35" s="678"/>
      <c r="TKH35" s="678"/>
      <c r="TKI35" s="678"/>
      <c r="TKJ35" s="678"/>
      <c r="TKK35" s="678"/>
      <c r="TKL35" s="678"/>
      <c r="TKM35" s="678"/>
      <c r="TKN35" s="678"/>
      <c r="TKO35" s="678"/>
      <c r="TKP35" s="678"/>
      <c r="TKQ35" s="678"/>
      <c r="TKR35" s="678"/>
      <c r="TKS35" s="678"/>
      <c r="TKT35" s="678"/>
      <c r="TKU35" s="678"/>
      <c r="TKV35" s="678"/>
      <c r="TKW35" s="678"/>
      <c r="TKX35" s="678"/>
      <c r="TKY35" s="678"/>
      <c r="TKZ35" s="678"/>
      <c r="TLA35" s="678"/>
      <c r="TLB35" s="678"/>
      <c r="TLC35" s="678"/>
      <c r="TLD35" s="678"/>
      <c r="TLE35" s="678"/>
      <c r="TLF35" s="678"/>
      <c r="TLG35" s="678"/>
      <c r="TLH35" s="678"/>
      <c r="TLI35" s="678"/>
      <c r="TLJ35" s="678"/>
      <c r="TLK35" s="678"/>
      <c r="TLL35" s="678"/>
      <c r="TLM35" s="678"/>
      <c r="TLN35" s="678"/>
      <c r="TLO35" s="678"/>
      <c r="TLP35" s="678"/>
      <c r="TLQ35" s="678"/>
      <c r="TLR35" s="678"/>
      <c r="TLS35" s="678"/>
      <c r="TLT35" s="678"/>
      <c r="TLU35" s="678"/>
      <c r="TLV35" s="678"/>
      <c r="TLW35" s="678"/>
      <c r="TLX35" s="678"/>
      <c r="TLY35" s="678"/>
      <c r="TLZ35" s="678"/>
      <c r="TMA35" s="678"/>
      <c r="TMB35" s="678"/>
      <c r="TMC35" s="678"/>
      <c r="TMD35" s="678"/>
      <c r="TME35" s="678"/>
      <c r="TMF35" s="678"/>
      <c r="TMG35" s="678"/>
      <c r="TMH35" s="678"/>
      <c r="TMI35" s="678"/>
      <c r="TMJ35" s="678"/>
      <c r="TMK35" s="678"/>
      <c r="TML35" s="678"/>
      <c r="TMM35" s="678"/>
      <c r="TMN35" s="678"/>
      <c r="TMO35" s="678"/>
      <c r="TMP35" s="678"/>
      <c r="TMQ35" s="678"/>
      <c r="TMR35" s="678"/>
      <c r="TMS35" s="678"/>
      <c r="TMT35" s="678"/>
      <c r="TMU35" s="678"/>
      <c r="TMV35" s="678"/>
      <c r="TMW35" s="678"/>
      <c r="TMX35" s="678"/>
      <c r="TMY35" s="678"/>
      <c r="TMZ35" s="678"/>
      <c r="TNA35" s="678"/>
      <c r="TNB35" s="678"/>
      <c r="TNC35" s="678"/>
      <c r="TND35" s="678"/>
      <c r="TNE35" s="678"/>
      <c r="TNF35" s="678"/>
      <c r="TNG35" s="678"/>
      <c r="TNH35" s="678"/>
      <c r="TNI35" s="678"/>
      <c r="TNJ35" s="678"/>
      <c r="TNK35" s="678"/>
      <c r="TNL35" s="678"/>
      <c r="TNM35" s="678"/>
      <c r="TNN35" s="678"/>
      <c r="TNO35" s="678"/>
      <c r="TNP35" s="678"/>
      <c r="TNQ35" s="678"/>
      <c r="TNR35" s="678"/>
      <c r="TNS35" s="678"/>
      <c r="TNT35" s="678"/>
      <c r="TNU35" s="678"/>
      <c r="TNV35" s="678"/>
      <c r="TNW35" s="678"/>
      <c r="TNX35" s="678"/>
      <c r="TNY35" s="678"/>
      <c r="TNZ35" s="678"/>
      <c r="TOA35" s="678"/>
      <c r="TOB35" s="678"/>
      <c r="TOC35" s="678"/>
      <c r="TOD35" s="678"/>
      <c r="TOE35" s="678"/>
      <c r="TOF35" s="678"/>
      <c r="TOG35" s="678"/>
      <c r="TOH35" s="678"/>
      <c r="TOI35" s="678"/>
      <c r="TOJ35" s="678"/>
      <c r="TOK35" s="678"/>
      <c r="TOL35" s="678"/>
      <c r="TOM35" s="678"/>
      <c r="TON35" s="678"/>
      <c r="TOO35" s="678"/>
      <c r="TOP35" s="678"/>
      <c r="TOQ35" s="678"/>
      <c r="TOR35" s="678"/>
      <c r="TOS35" s="678"/>
      <c r="TOT35" s="678"/>
      <c r="TOU35" s="678"/>
      <c r="TOV35" s="678"/>
      <c r="TOW35" s="678"/>
      <c r="TOX35" s="678"/>
      <c r="TOY35" s="678"/>
      <c r="TOZ35" s="678"/>
      <c r="TPA35" s="678"/>
      <c r="TPB35" s="678"/>
      <c r="TPC35" s="678"/>
      <c r="TPD35" s="678"/>
      <c r="TPE35" s="678"/>
      <c r="TPF35" s="678"/>
      <c r="TPG35" s="678"/>
      <c r="TPH35" s="678"/>
      <c r="TPI35" s="678"/>
      <c r="TPJ35" s="678"/>
      <c r="TPK35" s="678"/>
      <c r="TPL35" s="678"/>
      <c r="TPM35" s="678"/>
      <c r="TPN35" s="678"/>
      <c r="TPO35" s="678"/>
      <c r="TPP35" s="678"/>
      <c r="TPQ35" s="678"/>
      <c r="TPR35" s="678"/>
      <c r="TPS35" s="678"/>
      <c r="TPT35" s="678"/>
      <c r="TPU35" s="678"/>
      <c r="TPV35" s="678"/>
      <c r="TPW35" s="678"/>
      <c r="TPX35" s="678"/>
      <c r="TPY35" s="678"/>
      <c r="TPZ35" s="678"/>
      <c r="TQA35" s="678"/>
      <c r="TQB35" s="678"/>
      <c r="TQC35" s="678"/>
      <c r="TQD35" s="678"/>
      <c r="TQE35" s="678"/>
      <c r="TQF35" s="678"/>
      <c r="TQG35" s="678"/>
      <c r="TQH35" s="678"/>
      <c r="TQI35" s="678"/>
      <c r="TQJ35" s="678"/>
      <c r="TQK35" s="678"/>
      <c r="TQL35" s="678"/>
      <c r="TQM35" s="678"/>
      <c r="TQN35" s="678"/>
      <c r="TQO35" s="678"/>
      <c r="TQP35" s="678"/>
      <c r="TQQ35" s="678"/>
      <c r="TQR35" s="678"/>
      <c r="TQS35" s="678"/>
      <c r="TQT35" s="678"/>
      <c r="TQU35" s="678"/>
      <c r="TQV35" s="678"/>
      <c r="TQW35" s="678"/>
      <c r="TQX35" s="678"/>
      <c r="TQY35" s="678"/>
      <c r="TQZ35" s="678"/>
      <c r="TRA35" s="678"/>
      <c r="TRB35" s="678"/>
      <c r="TRC35" s="678"/>
      <c r="TRD35" s="678"/>
      <c r="TRE35" s="678"/>
      <c r="TRF35" s="678"/>
      <c r="TRG35" s="678"/>
      <c r="TRH35" s="678"/>
      <c r="TRI35" s="678"/>
      <c r="TRJ35" s="678"/>
      <c r="TRK35" s="678"/>
      <c r="TRL35" s="678"/>
      <c r="TRM35" s="678"/>
      <c r="TRN35" s="678"/>
      <c r="TRO35" s="678"/>
      <c r="TRP35" s="678"/>
      <c r="TRQ35" s="678"/>
      <c r="TRR35" s="678"/>
      <c r="TRS35" s="678"/>
      <c r="TRT35" s="678"/>
      <c r="TRU35" s="678"/>
      <c r="TRV35" s="678"/>
      <c r="TRW35" s="678"/>
      <c r="TRX35" s="678"/>
      <c r="TRY35" s="678"/>
      <c r="TRZ35" s="678"/>
      <c r="TSA35" s="678"/>
      <c r="TSB35" s="678"/>
      <c r="TSC35" s="678"/>
      <c r="TSD35" s="678"/>
      <c r="TSE35" s="678"/>
      <c r="TSF35" s="678"/>
      <c r="TSG35" s="678"/>
      <c r="TSH35" s="678"/>
      <c r="TSI35" s="678"/>
      <c r="TSJ35" s="678"/>
      <c r="TSK35" s="678"/>
      <c r="TSL35" s="678"/>
      <c r="TSM35" s="678"/>
      <c r="TSN35" s="678"/>
      <c r="TSO35" s="678"/>
      <c r="TSP35" s="678"/>
      <c r="TSQ35" s="678"/>
      <c r="TSR35" s="678"/>
      <c r="TSS35" s="678"/>
      <c r="TST35" s="678"/>
      <c r="TSU35" s="678"/>
      <c r="TSV35" s="678"/>
      <c r="TSW35" s="678"/>
      <c r="TSX35" s="678"/>
      <c r="TSY35" s="678"/>
      <c r="TSZ35" s="678"/>
      <c r="TTA35" s="678"/>
      <c r="TTB35" s="678"/>
      <c r="TTC35" s="678"/>
      <c r="TTD35" s="678"/>
      <c r="TTE35" s="678"/>
      <c r="TTF35" s="678"/>
      <c r="TTG35" s="678"/>
      <c r="TTH35" s="678"/>
      <c r="TTI35" s="678"/>
      <c r="TTJ35" s="678"/>
      <c r="TTK35" s="678"/>
      <c r="TTL35" s="678"/>
      <c r="TTM35" s="678"/>
      <c r="TTN35" s="678"/>
      <c r="TTO35" s="678"/>
      <c r="TTP35" s="678"/>
      <c r="TTQ35" s="678"/>
      <c r="TTR35" s="678"/>
      <c r="TTS35" s="678"/>
      <c r="TTT35" s="678"/>
      <c r="TTU35" s="678"/>
      <c r="TTV35" s="678"/>
      <c r="TTW35" s="678"/>
      <c r="TTX35" s="678"/>
      <c r="TTY35" s="678"/>
      <c r="TTZ35" s="678"/>
      <c r="TUA35" s="678"/>
      <c r="TUB35" s="678"/>
      <c r="TUC35" s="678"/>
      <c r="TUD35" s="678"/>
      <c r="TUE35" s="678"/>
      <c r="TUF35" s="678"/>
      <c r="TUG35" s="678"/>
      <c r="TUH35" s="678"/>
      <c r="TUI35" s="678"/>
      <c r="TUJ35" s="678"/>
      <c r="TUK35" s="678"/>
      <c r="TUL35" s="678"/>
      <c r="TUM35" s="678"/>
      <c r="TUN35" s="678"/>
      <c r="TUO35" s="678"/>
      <c r="TUP35" s="678"/>
      <c r="TUQ35" s="678"/>
      <c r="TUR35" s="678"/>
      <c r="TUS35" s="678"/>
      <c r="TUT35" s="678"/>
      <c r="TUU35" s="678"/>
      <c r="TUV35" s="678"/>
      <c r="TUW35" s="678"/>
      <c r="TUX35" s="678"/>
      <c r="TUY35" s="678"/>
      <c r="TUZ35" s="678"/>
      <c r="TVA35" s="678"/>
      <c r="TVB35" s="678"/>
      <c r="TVC35" s="678"/>
      <c r="TVD35" s="678"/>
      <c r="TVE35" s="678"/>
      <c r="TVF35" s="678"/>
      <c r="TVG35" s="678"/>
      <c r="TVH35" s="678"/>
      <c r="TVI35" s="678"/>
      <c r="TVJ35" s="678"/>
      <c r="TVK35" s="678"/>
      <c r="TVL35" s="678"/>
      <c r="TVM35" s="678"/>
      <c r="TVN35" s="678"/>
      <c r="TVO35" s="678"/>
      <c r="TVP35" s="678"/>
      <c r="TVQ35" s="678"/>
      <c r="TVR35" s="678"/>
      <c r="TVS35" s="678"/>
      <c r="TVT35" s="678"/>
      <c r="TVU35" s="678"/>
      <c r="TVV35" s="678"/>
      <c r="TVW35" s="678"/>
      <c r="TVX35" s="678"/>
      <c r="TVY35" s="678"/>
      <c r="TVZ35" s="678"/>
      <c r="TWA35" s="678"/>
      <c r="TWB35" s="678"/>
      <c r="TWC35" s="678"/>
      <c r="TWD35" s="678"/>
      <c r="TWE35" s="678"/>
      <c r="TWF35" s="678"/>
      <c r="TWG35" s="678"/>
      <c r="TWH35" s="678"/>
      <c r="TWI35" s="678"/>
      <c r="TWJ35" s="678"/>
      <c r="TWK35" s="678"/>
      <c r="TWL35" s="678"/>
      <c r="TWM35" s="678"/>
      <c r="TWN35" s="678"/>
      <c r="TWO35" s="678"/>
      <c r="TWP35" s="678"/>
      <c r="TWQ35" s="678"/>
      <c r="TWR35" s="678"/>
      <c r="TWS35" s="678"/>
      <c r="TWT35" s="678"/>
      <c r="TWU35" s="678"/>
      <c r="TWV35" s="678"/>
      <c r="TWW35" s="678"/>
      <c r="TWX35" s="678"/>
      <c r="TWY35" s="678"/>
      <c r="TWZ35" s="678"/>
      <c r="TXA35" s="678"/>
      <c r="TXB35" s="678"/>
      <c r="TXC35" s="678"/>
      <c r="TXD35" s="678"/>
      <c r="TXE35" s="678"/>
      <c r="TXF35" s="678"/>
      <c r="TXG35" s="678"/>
      <c r="TXH35" s="678"/>
      <c r="TXI35" s="678"/>
      <c r="TXJ35" s="678"/>
      <c r="TXK35" s="678"/>
      <c r="TXL35" s="678"/>
      <c r="TXM35" s="678"/>
      <c r="TXN35" s="678"/>
      <c r="TXO35" s="678"/>
      <c r="TXP35" s="678"/>
      <c r="TXQ35" s="678"/>
      <c r="TXR35" s="678"/>
      <c r="TXS35" s="678"/>
      <c r="TXT35" s="678"/>
      <c r="TXU35" s="678"/>
      <c r="TXV35" s="678"/>
      <c r="TXW35" s="678"/>
      <c r="TXX35" s="678"/>
      <c r="TXY35" s="678"/>
      <c r="TXZ35" s="678"/>
      <c r="TYA35" s="678"/>
      <c r="TYB35" s="678"/>
      <c r="TYC35" s="678"/>
      <c r="TYD35" s="678"/>
      <c r="TYE35" s="678"/>
      <c r="TYF35" s="678"/>
      <c r="TYG35" s="678"/>
      <c r="TYH35" s="678"/>
      <c r="TYI35" s="678"/>
      <c r="TYJ35" s="678"/>
      <c r="TYK35" s="678"/>
      <c r="TYL35" s="678"/>
      <c r="TYM35" s="678"/>
      <c r="TYN35" s="678"/>
      <c r="TYO35" s="678"/>
      <c r="TYP35" s="678"/>
      <c r="TYQ35" s="678"/>
      <c r="TYR35" s="678"/>
      <c r="TYS35" s="678"/>
      <c r="TYT35" s="678"/>
      <c r="TYU35" s="678"/>
      <c r="TYV35" s="678"/>
      <c r="TYW35" s="678"/>
      <c r="TYX35" s="678"/>
      <c r="TYY35" s="678"/>
      <c r="TYZ35" s="678"/>
      <c r="TZA35" s="678"/>
      <c r="TZB35" s="678"/>
      <c r="TZC35" s="678"/>
      <c r="TZD35" s="678"/>
      <c r="TZE35" s="678"/>
      <c r="TZF35" s="678"/>
      <c r="TZG35" s="678"/>
      <c r="TZH35" s="678"/>
      <c r="TZI35" s="678"/>
      <c r="TZJ35" s="678"/>
      <c r="TZK35" s="678"/>
      <c r="TZL35" s="678"/>
      <c r="TZM35" s="678"/>
      <c r="TZN35" s="678"/>
      <c r="TZO35" s="678"/>
      <c r="TZP35" s="678"/>
      <c r="TZQ35" s="678"/>
      <c r="TZR35" s="678"/>
      <c r="TZS35" s="678"/>
      <c r="TZT35" s="678"/>
      <c r="TZU35" s="678"/>
      <c r="TZV35" s="678"/>
      <c r="TZW35" s="678"/>
      <c r="TZX35" s="678"/>
      <c r="TZY35" s="678"/>
      <c r="TZZ35" s="678"/>
      <c r="UAA35" s="678"/>
      <c r="UAB35" s="678"/>
      <c r="UAC35" s="678"/>
      <c r="UAD35" s="678"/>
      <c r="UAE35" s="678"/>
      <c r="UAF35" s="678"/>
      <c r="UAG35" s="678"/>
      <c r="UAH35" s="678"/>
      <c r="UAI35" s="678"/>
      <c r="UAJ35" s="678"/>
      <c r="UAK35" s="678"/>
      <c r="UAL35" s="678"/>
      <c r="UAM35" s="678"/>
      <c r="UAN35" s="678"/>
      <c r="UAO35" s="678"/>
      <c r="UAP35" s="678"/>
      <c r="UAQ35" s="678"/>
      <c r="UAR35" s="678"/>
      <c r="UAS35" s="678"/>
      <c r="UAT35" s="678"/>
      <c r="UAU35" s="678"/>
      <c r="UAV35" s="678"/>
      <c r="UAW35" s="678"/>
      <c r="UAX35" s="678"/>
      <c r="UAY35" s="678"/>
      <c r="UAZ35" s="678"/>
      <c r="UBA35" s="678"/>
      <c r="UBB35" s="678"/>
      <c r="UBC35" s="678"/>
      <c r="UBD35" s="678"/>
      <c r="UBE35" s="678"/>
      <c r="UBF35" s="678"/>
      <c r="UBG35" s="678"/>
      <c r="UBH35" s="678"/>
      <c r="UBI35" s="678"/>
      <c r="UBJ35" s="678"/>
      <c r="UBK35" s="678"/>
      <c r="UBL35" s="678"/>
      <c r="UBM35" s="678"/>
      <c r="UBN35" s="678"/>
      <c r="UBO35" s="678"/>
      <c r="UBP35" s="678"/>
      <c r="UBQ35" s="678"/>
      <c r="UBR35" s="678"/>
      <c r="UBS35" s="678"/>
      <c r="UBT35" s="678"/>
      <c r="UBU35" s="678"/>
      <c r="UBV35" s="678"/>
      <c r="UBW35" s="678"/>
      <c r="UBX35" s="678"/>
      <c r="UBY35" s="678"/>
      <c r="UBZ35" s="678"/>
      <c r="UCA35" s="678"/>
      <c r="UCB35" s="678"/>
      <c r="UCC35" s="678"/>
      <c r="UCD35" s="678"/>
      <c r="UCE35" s="678"/>
      <c r="UCF35" s="678"/>
      <c r="UCG35" s="678"/>
      <c r="UCH35" s="678"/>
      <c r="UCI35" s="678"/>
      <c r="UCJ35" s="678"/>
      <c r="UCK35" s="678"/>
      <c r="UCL35" s="678"/>
      <c r="UCM35" s="678"/>
      <c r="UCN35" s="678"/>
      <c r="UCO35" s="678"/>
      <c r="UCP35" s="678"/>
      <c r="UCQ35" s="678"/>
      <c r="UCR35" s="678"/>
      <c r="UCS35" s="678"/>
      <c r="UCT35" s="678"/>
      <c r="UCU35" s="678"/>
      <c r="UCV35" s="678"/>
      <c r="UCW35" s="678"/>
      <c r="UCX35" s="678"/>
      <c r="UCY35" s="678"/>
      <c r="UCZ35" s="678"/>
      <c r="UDA35" s="678"/>
      <c r="UDB35" s="678"/>
      <c r="UDC35" s="678"/>
      <c r="UDD35" s="678"/>
      <c r="UDE35" s="678"/>
      <c r="UDF35" s="678"/>
      <c r="UDG35" s="678"/>
      <c r="UDH35" s="678"/>
      <c r="UDI35" s="678"/>
      <c r="UDJ35" s="678"/>
      <c r="UDK35" s="678"/>
      <c r="UDL35" s="678"/>
      <c r="UDM35" s="678"/>
      <c r="UDN35" s="678"/>
      <c r="UDO35" s="678"/>
      <c r="UDP35" s="678"/>
      <c r="UDQ35" s="678"/>
      <c r="UDR35" s="678"/>
      <c r="UDS35" s="678"/>
      <c r="UDT35" s="678"/>
      <c r="UDU35" s="678"/>
      <c r="UDV35" s="678"/>
      <c r="UDW35" s="678"/>
      <c r="UDX35" s="678"/>
      <c r="UDY35" s="678"/>
      <c r="UDZ35" s="678"/>
      <c r="UEA35" s="678"/>
      <c r="UEB35" s="678"/>
      <c r="UEC35" s="678"/>
      <c r="UED35" s="678"/>
      <c r="UEE35" s="678"/>
      <c r="UEF35" s="678"/>
      <c r="UEG35" s="678"/>
      <c r="UEH35" s="678"/>
      <c r="UEI35" s="678"/>
      <c r="UEJ35" s="678"/>
      <c r="UEK35" s="678"/>
      <c r="UEL35" s="678"/>
      <c r="UEM35" s="678"/>
      <c r="UEN35" s="678"/>
      <c r="UEO35" s="678"/>
      <c r="UEP35" s="678"/>
      <c r="UEQ35" s="678"/>
      <c r="UER35" s="678"/>
      <c r="UES35" s="678"/>
      <c r="UET35" s="678"/>
      <c r="UEU35" s="678"/>
      <c r="UEV35" s="678"/>
      <c r="UEW35" s="678"/>
      <c r="UEX35" s="678"/>
      <c r="UEY35" s="678"/>
      <c r="UEZ35" s="678"/>
      <c r="UFA35" s="678"/>
      <c r="UFB35" s="678"/>
      <c r="UFC35" s="678"/>
      <c r="UFD35" s="678"/>
      <c r="UFE35" s="678"/>
      <c r="UFF35" s="678"/>
      <c r="UFG35" s="678"/>
      <c r="UFH35" s="678"/>
      <c r="UFI35" s="678"/>
      <c r="UFJ35" s="678"/>
      <c r="UFK35" s="678"/>
      <c r="UFL35" s="678"/>
      <c r="UFM35" s="678"/>
      <c r="UFN35" s="678"/>
      <c r="UFO35" s="678"/>
      <c r="UFP35" s="678"/>
      <c r="UFQ35" s="678"/>
      <c r="UFR35" s="678"/>
      <c r="UFS35" s="678"/>
      <c r="UFT35" s="678"/>
      <c r="UFU35" s="678"/>
      <c r="UFV35" s="678"/>
      <c r="UFW35" s="678"/>
      <c r="UFX35" s="678"/>
      <c r="UFY35" s="678"/>
      <c r="UFZ35" s="678"/>
      <c r="UGA35" s="678"/>
      <c r="UGB35" s="678"/>
      <c r="UGC35" s="678"/>
      <c r="UGD35" s="678"/>
      <c r="UGE35" s="678"/>
      <c r="UGF35" s="678"/>
      <c r="UGG35" s="678"/>
      <c r="UGH35" s="678"/>
      <c r="UGI35" s="678"/>
      <c r="UGJ35" s="678"/>
      <c r="UGK35" s="678"/>
      <c r="UGL35" s="678"/>
      <c r="UGM35" s="678"/>
      <c r="UGN35" s="678"/>
      <c r="UGO35" s="678"/>
      <c r="UGP35" s="678"/>
      <c r="UGQ35" s="678"/>
      <c r="UGR35" s="678"/>
      <c r="UGS35" s="678"/>
      <c r="UGT35" s="678"/>
      <c r="UGU35" s="678"/>
      <c r="UGV35" s="678"/>
      <c r="UGW35" s="678"/>
      <c r="UGX35" s="678"/>
      <c r="UGY35" s="678"/>
      <c r="UGZ35" s="678"/>
      <c r="UHA35" s="678"/>
      <c r="UHB35" s="678"/>
      <c r="UHC35" s="678"/>
      <c r="UHD35" s="678"/>
      <c r="UHE35" s="678"/>
      <c r="UHF35" s="678"/>
      <c r="UHG35" s="678"/>
      <c r="UHH35" s="678"/>
      <c r="UHI35" s="678"/>
      <c r="UHJ35" s="678"/>
      <c r="UHK35" s="678"/>
      <c r="UHL35" s="678"/>
      <c r="UHM35" s="678"/>
      <c r="UHN35" s="678"/>
      <c r="UHO35" s="678"/>
      <c r="UHP35" s="678"/>
      <c r="UHQ35" s="678"/>
      <c r="UHR35" s="678"/>
      <c r="UHS35" s="678"/>
      <c r="UHT35" s="678"/>
      <c r="UHU35" s="678"/>
      <c r="UHV35" s="678"/>
      <c r="UHW35" s="678"/>
      <c r="UHX35" s="678"/>
      <c r="UHY35" s="678"/>
      <c r="UHZ35" s="678"/>
      <c r="UIA35" s="678"/>
      <c r="UIB35" s="678"/>
      <c r="UIC35" s="678"/>
      <c r="UID35" s="678"/>
      <c r="UIE35" s="678"/>
      <c r="UIF35" s="678"/>
      <c r="UIG35" s="678"/>
      <c r="UIH35" s="678"/>
      <c r="UII35" s="678"/>
      <c r="UIJ35" s="678"/>
      <c r="UIK35" s="678"/>
      <c r="UIL35" s="678"/>
      <c r="UIM35" s="678"/>
      <c r="UIN35" s="678"/>
      <c r="UIO35" s="678"/>
      <c r="UIP35" s="678"/>
      <c r="UIQ35" s="678"/>
      <c r="UIR35" s="678"/>
      <c r="UIS35" s="678"/>
      <c r="UIT35" s="678"/>
      <c r="UIU35" s="678"/>
      <c r="UIV35" s="678"/>
      <c r="UIW35" s="678"/>
      <c r="UIX35" s="678"/>
      <c r="UIY35" s="678"/>
      <c r="UIZ35" s="678"/>
      <c r="UJA35" s="678"/>
      <c r="UJB35" s="678"/>
      <c r="UJC35" s="678"/>
      <c r="UJD35" s="678"/>
      <c r="UJE35" s="678"/>
      <c r="UJF35" s="678"/>
      <c r="UJG35" s="678"/>
      <c r="UJH35" s="678"/>
      <c r="UJI35" s="678"/>
      <c r="UJJ35" s="678"/>
      <c r="UJK35" s="678"/>
      <c r="UJL35" s="678"/>
      <c r="UJM35" s="678"/>
      <c r="UJN35" s="678"/>
      <c r="UJO35" s="678"/>
      <c r="UJP35" s="678"/>
      <c r="UJQ35" s="678"/>
      <c r="UJR35" s="678"/>
      <c r="UJS35" s="678"/>
      <c r="UJT35" s="678"/>
      <c r="UJU35" s="678"/>
      <c r="UJV35" s="678"/>
      <c r="UJW35" s="678"/>
      <c r="UJX35" s="678"/>
      <c r="UJY35" s="678"/>
      <c r="UJZ35" s="678"/>
      <c r="UKA35" s="678"/>
      <c r="UKB35" s="678"/>
      <c r="UKC35" s="678"/>
      <c r="UKD35" s="678"/>
      <c r="UKE35" s="678"/>
      <c r="UKF35" s="678"/>
      <c r="UKG35" s="678"/>
      <c r="UKH35" s="678"/>
      <c r="UKI35" s="678"/>
      <c r="UKJ35" s="678"/>
      <c r="UKK35" s="678"/>
      <c r="UKL35" s="678"/>
      <c r="UKM35" s="678"/>
      <c r="UKN35" s="678"/>
      <c r="UKO35" s="678"/>
      <c r="UKP35" s="678"/>
      <c r="UKQ35" s="678"/>
      <c r="UKR35" s="678"/>
      <c r="UKS35" s="678"/>
      <c r="UKT35" s="678"/>
      <c r="UKU35" s="678"/>
      <c r="UKV35" s="678"/>
      <c r="UKW35" s="678"/>
      <c r="UKX35" s="678"/>
      <c r="UKY35" s="678"/>
      <c r="UKZ35" s="678"/>
      <c r="ULA35" s="678"/>
      <c r="ULB35" s="678"/>
      <c r="ULC35" s="678"/>
      <c r="ULD35" s="678"/>
      <c r="ULE35" s="678"/>
      <c r="ULF35" s="678"/>
      <c r="ULG35" s="678"/>
      <c r="ULH35" s="678"/>
      <c r="ULI35" s="678"/>
      <c r="ULJ35" s="678"/>
      <c r="ULK35" s="678"/>
      <c r="ULL35" s="678"/>
      <c r="ULM35" s="678"/>
      <c r="ULN35" s="678"/>
      <c r="ULO35" s="678"/>
      <c r="ULP35" s="678"/>
      <c r="ULQ35" s="678"/>
      <c r="ULR35" s="678"/>
      <c r="ULS35" s="678"/>
      <c r="ULT35" s="678"/>
      <c r="ULU35" s="678"/>
      <c r="ULV35" s="678"/>
      <c r="ULW35" s="678"/>
      <c r="ULX35" s="678"/>
      <c r="ULY35" s="678"/>
      <c r="ULZ35" s="678"/>
      <c r="UMA35" s="678"/>
      <c r="UMB35" s="678"/>
      <c r="UMC35" s="678"/>
      <c r="UMD35" s="678"/>
      <c r="UME35" s="678"/>
      <c r="UMF35" s="678"/>
      <c r="UMG35" s="678"/>
      <c r="UMH35" s="678"/>
      <c r="UMI35" s="678"/>
      <c r="UMJ35" s="678"/>
      <c r="UMK35" s="678"/>
      <c r="UML35" s="678"/>
      <c r="UMM35" s="678"/>
      <c r="UMN35" s="678"/>
      <c r="UMO35" s="678"/>
      <c r="UMP35" s="678"/>
      <c r="UMQ35" s="678"/>
      <c r="UMR35" s="678"/>
      <c r="UMS35" s="678"/>
      <c r="UMT35" s="678"/>
      <c r="UMU35" s="678"/>
      <c r="UMV35" s="678"/>
      <c r="UMW35" s="678"/>
      <c r="UMX35" s="678"/>
      <c r="UMY35" s="678"/>
      <c r="UMZ35" s="678"/>
      <c r="UNA35" s="678"/>
      <c r="UNB35" s="678"/>
      <c r="UNC35" s="678"/>
      <c r="UND35" s="678"/>
      <c r="UNE35" s="678"/>
      <c r="UNF35" s="678"/>
      <c r="UNG35" s="678"/>
      <c r="UNH35" s="678"/>
      <c r="UNI35" s="678"/>
      <c r="UNJ35" s="678"/>
      <c r="UNK35" s="678"/>
      <c r="UNL35" s="678"/>
      <c r="UNM35" s="678"/>
      <c r="UNN35" s="678"/>
      <c r="UNO35" s="678"/>
      <c r="UNP35" s="678"/>
      <c r="UNQ35" s="678"/>
      <c r="UNR35" s="678"/>
      <c r="UNS35" s="678"/>
      <c r="UNT35" s="678"/>
      <c r="UNU35" s="678"/>
      <c r="UNV35" s="678"/>
      <c r="UNW35" s="678"/>
      <c r="UNX35" s="678"/>
      <c r="UNY35" s="678"/>
      <c r="UNZ35" s="678"/>
      <c r="UOA35" s="678"/>
      <c r="UOB35" s="678"/>
      <c r="UOC35" s="678"/>
      <c r="UOD35" s="678"/>
      <c r="UOE35" s="678"/>
      <c r="UOF35" s="678"/>
      <c r="UOG35" s="678"/>
      <c r="UOH35" s="678"/>
      <c r="UOI35" s="678"/>
      <c r="UOJ35" s="678"/>
      <c r="UOK35" s="678"/>
      <c r="UOL35" s="678"/>
      <c r="UOM35" s="678"/>
      <c r="UON35" s="678"/>
      <c r="UOO35" s="678"/>
      <c r="UOP35" s="678"/>
      <c r="UOQ35" s="678"/>
      <c r="UOR35" s="678"/>
      <c r="UOS35" s="678"/>
      <c r="UOT35" s="678"/>
      <c r="UOU35" s="678"/>
      <c r="UOV35" s="678"/>
      <c r="UOW35" s="678"/>
      <c r="UOX35" s="678"/>
      <c r="UOY35" s="678"/>
      <c r="UOZ35" s="678"/>
      <c r="UPA35" s="678"/>
      <c r="UPB35" s="678"/>
      <c r="UPC35" s="678"/>
      <c r="UPD35" s="678"/>
      <c r="UPE35" s="678"/>
      <c r="UPF35" s="678"/>
      <c r="UPG35" s="678"/>
      <c r="UPH35" s="678"/>
      <c r="UPI35" s="678"/>
      <c r="UPJ35" s="678"/>
      <c r="UPK35" s="678"/>
      <c r="UPL35" s="678"/>
      <c r="UPM35" s="678"/>
      <c r="UPN35" s="678"/>
      <c r="UPO35" s="678"/>
      <c r="UPP35" s="678"/>
      <c r="UPQ35" s="678"/>
      <c r="UPR35" s="678"/>
      <c r="UPS35" s="678"/>
      <c r="UPT35" s="678"/>
      <c r="UPU35" s="678"/>
      <c r="UPV35" s="678"/>
      <c r="UPW35" s="678"/>
      <c r="UPX35" s="678"/>
      <c r="UPY35" s="678"/>
      <c r="UPZ35" s="678"/>
      <c r="UQA35" s="678"/>
      <c r="UQB35" s="678"/>
      <c r="UQC35" s="678"/>
      <c r="UQD35" s="678"/>
      <c r="UQE35" s="678"/>
      <c r="UQF35" s="678"/>
      <c r="UQG35" s="678"/>
      <c r="UQH35" s="678"/>
      <c r="UQI35" s="678"/>
      <c r="UQJ35" s="678"/>
      <c r="UQK35" s="678"/>
      <c r="UQL35" s="678"/>
      <c r="UQM35" s="678"/>
      <c r="UQN35" s="678"/>
      <c r="UQO35" s="678"/>
      <c r="UQP35" s="678"/>
      <c r="UQQ35" s="678"/>
      <c r="UQR35" s="678"/>
      <c r="UQS35" s="678"/>
      <c r="UQT35" s="678"/>
      <c r="UQU35" s="678"/>
      <c r="UQV35" s="678"/>
      <c r="UQW35" s="678"/>
      <c r="UQX35" s="678"/>
      <c r="UQY35" s="678"/>
      <c r="UQZ35" s="678"/>
      <c r="URA35" s="678"/>
      <c r="URB35" s="678"/>
      <c r="URC35" s="678"/>
      <c r="URD35" s="678"/>
      <c r="URE35" s="678"/>
      <c r="URF35" s="678"/>
      <c r="URG35" s="678"/>
      <c r="URH35" s="678"/>
      <c r="URI35" s="678"/>
      <c r="URJ35" s="678"/>
      <c r="URK35" s="678"/>
      <c r="URL35" s="678"/>
      <c r="URM35" s="678"/>
      <c r="URN35" s="678"/>
      <c r="URO35" s="678"/>
      <c r="URP35" s="678"/>
      <c r="URQ35" s="678"/>
      <c r="URR35" s="678"/>
      <c r="URS35" s="678"/>
      <c r="URT35" s="678"/>
      <c r="URU35" s="678"/>
      <c r="URV35" s="678"/>
      <c r="URW35" s="678"/>
      <c r="URX35" s="678"/>
      <c r="URY35" s="678"/>
      <c r="URZ35" s="678"/>
      <c r="USA35" s="678"/>
      <c r="USB35" s="678"/>
      <c r="USC35" s="678"/>
      <c r="USD35" s="678"/>
      <c r="USE35" s="678"/>
      <c r="USF35" s="678"/>
      <c r="USG35" s="678"/>
      <c r="USH35" s="678"/>
      <c r="USI35" s="678"/>
      <c r="USJ35" s="678"/>
      <c r="USK35" s="678"/>
      <c r="USL35" s="678"/>
      <c r="USM35" s="678"/>
      <c r="USN35" s="678"/>
      <c r="USO35" s="678"/>
      <c r="USP35" s="678"/>
      <c r="USQ35" s="678"/>
      <c r="USR35" s="678"/>
      <c r="USS35" s="678"/>
      <c r="UST35" s="678"/>
      <c r="USU35" s="678"/>
      <c r="USV35" s="678"/>
      <c r="USW35" s="678"/>
      <c r="USX35" s="678"/>
      <c r="USY35" s="678"/>
      <c r="USZ35" s="678"/>
      <c r="UTA35" s="678"/>
      <c r="UTB35" s="678"/>
      <c r="UTC35" s="678"/>
      <c r="UTD35" s="678"/>
      <c r="UTE35" s="678"/>
      <c r="UTF35" s="678"/>
      <c r="UTG35" s="678"/>
      <c r="UTH35" s="678"/>
      <c r="UTI35" s="678"/>
      <c r="UTJ35" s="678"/>
      <c r="UTK35" s="678"/>
      <c r="UTL35" s="678"/>
      <c r="UTM35" s="678"/>
      <c r="UTN35" s="678"/>
      <c r="UTO35" s="678"/>
      <c r="UTP35" s="678"/>
      <c r="UTQ35" s="678"/>
      <c r="UTR35" s="678"/>
      <c r="UTS35" s="678"/>
      <c r="UTT35" s="678"/>
      <c r="UTU35" s="678"/>
      <c r="UTV35" s="678"/>
      <c r="UTW35" s="678"/>
      <c r="UTX35" s="678"/>
      <c r="UTY35" s="678"/>
      <c r="UTZ35" s="678"/>
      <c r="UUA35" s="678"/>
      <c r="UUB35" s="678"/>
      <c r="UUC35" s="678"/>
      <c r="UUD35" s="678"/>
      <c r="UUE35" s="678"/>
      <c r="UUF35" s="678"/>
      <c r="UUG35" s="678"/>
      <c r="UUH35" s="678"/>
      <c r="UUI35" s="678"/>
      <c r="UUJ35" s="678"/>
      <c r="UUK35" s="678"/>
      <c r="UUL35" s="678"/>
      <c r="UUM35" s="678"/>
      <c r="UUN35" s="678"/>
      <c r="UUO35" s="678"/>
      <c r="UUP35" s="678"/>
      <c r="UUQ35" s="678"/>
      <c r="UUR35" s="678"/>
      <c r="UUS35" s="678"/>
      <c r="UUT35" s="678"/>
      <c r="UUU35" s="678"/>
      <c r="UUV35" s="678"/>
      <c r="UUW35" s="678"/>
      <c r="UUX35" s="678"/>
      <c r="UUY35" s="678"/>
      <c r="UUZ35" s="678"/>
      <c r="UVA35" s="678"/>
      <c r="UVB35" s="678"/>
      <c r="UVC35" s="678"/>
      <c r="UVD35" s="678"/>
      <c r="UVE35" s="678"/>
      <c r="UVF35" s="678"/>
      <c r="UVG35" s="678"/>
      <c r="UVH35" s="678"/>
      <c r="UVI35" s="678"/>
      <c r="UVJ35" s="678"/>
      <c r="UVK35" s="678"/>
      <c r="UVL35" s="678"/>
      <c r="UVM35" s="678"/>
      <c r="UVN35" s="678"/>
      <c r="UVO35" s="678"/>
      <c r="UVP35" s="678"/>
      <c r="UVQ35" s="678"/>
      <c r="UVR35" s="678"/>
      <c r="UVS35" s="678"/>
      <c r="UVT35" s="678"/>
      <c r="UVU35" s="678"/>
      <c r="UVV35" s="678"/>
      <c r="UVW35" s="678"/>
      <c r="UVX35" s="678"/>
      <c r="UVY35" s="678"/>
      <c r="UVZ35" s="678"/>
      <c r="UWA35" s="678"/>
      <c r="UWB35" s="678"/>
      <c r="UWC35" s="678"/>
      <c r="UWD35" s="678"/>
      <c r="UWE35" s="678"/>
      <c r="UWF35" s="678"/>
      <c r="UWG35" s="678"/>
      <c r="UWH35" s="678"/>
      <c r="UWI35" s="678"/>
      <c r="UWJ35" s="678"/>
      <c r="UWK35" s="678"/>
      <c r="UWL35" s="678"/>
      <c r="UWM35" s="678"/>
      <c r="UWN35" s="678"/>
      <c r="UWO35" s="678"/>
      <c r="UWP35" s="678"/>
      <c r="UWQ35" s="678"/>
      <c r="UWR35" s="678"/>
      <c r="UWS35" s="678"/>
      <c r="UWT35" s="678"/>
      <c r="UWU35" s="678"/>
      <c r="UWV35" s="678"/>
      <c r="UWW35" s="678"/>
      <c r="UWX35" s="678"/>
      <c r="UWY35" s="678"/>
      <c r="UWZ35" s="678"/>
      <c r="UXA35" s="678"/>
      <c r="UXB35" s="678"/>
      <c r="UXC35" s="678"/>
      <c r="UXD35" s="678"/>
      <c r="UXE35" s="678"/>
      <c r="UXF35" s="678"/>
      <c r="UXG35" s="678"/>
      <c r="UXH35" s="678"/>
      <c r="UXI35" s="678"/>
      <c r="UXJ35" s="678"/>
      <c r="UXK35" s="678"/>
      <c r="UXL35" s="678"/>
      <c r="UXM35" s="678"/>
      <c r="UXN35" s="678"/>
      <c r="UXO35" s="678"/>
      <c r="UXP35" s="678"/>
      <c r="UXQ35" s="678"/>
      <c r="UXR35" s="678"/>
      <c r="UXS35" s="678"/>
      <c r="UXT35" s="678"/>
      <c r="UXU35" s="678"/>
      <c r="UXV35" s="678"/>
      <c r="UXW35" s="678"/>
      <c r="UXX35" s="678"/>
      <c r="UXY35" s="678"/>
      <c r="UXZ35" s="678"/>
      <c r="UYA35" s="678"/>
      <c r="UYB35" s="678"/>
      <c r="UYC35" s="678"/>
      <c r="UYD35" s="678"/>
      <c r="UYE35" s="678"/>
      <c r="UYF35" s="678"/>
      <c r="UYG35" s="678"/>
      <c r="UYH35" s="678"/>
      <c r="UYI35" s="678"/>
      <c r="UYJ35" s="678"/>
      <c r="UYK35" s="678"/>
      <c r="UYL35" s="678"/>
      <c r="UYM35" s="678"/>
      <c r="UYN35" s="678"/>
      <c r="UYO35" s="678"/>
      <c r="UYP35" s="678"/>
      <c r="UYQ35" s="678"/>
      <c r="UYR35" s="678"/>
      <c r="UYS35" s="678"/>
      <c r="UYT35" s="678"/>
      <c r="UYU35" s="678"/>
      <c r="UYV35" s="678"/>
      <c r="UYW35" s="678"/>
      <c r="UYX35" s="678"/>
      <c r="UYY35" s="678"/>
      <c r="UYZ35" s="678"/>
      <c r="UZA35" s="678"/>
      <c r="UZB35" s="678"/>
      <c r="UZC35" s="678"/>
      <c r="UZD35" s="678"/>
      <c r="UZE35" s="678"/>
      <c r="UZF35" s="678"/>
      <c r="UZG35" s="678"/>
      <c r="UZH35" s="678"/>
      <c r="UZI35" s="678"/>
      <c r="UZJ35" s="678"/>
      <c r="UZK35" s="678"/>
      <c r="UZL35" s="678"/>
      <c r="UZM35" s="678"/>
      <c r="UZN35" s="678"/>
      <c r="UZO35" s="678"/>
      <c r="UZP35" s="678"/>
      <c r="UZQ35" s="678"/>
      <c r="UZR35" s="678"/>
      <c r="UZS35" s="678"/>
      <c r="UZT35" s="678"/>
      <c r="UZU35" s="678"/>
      <c r="UZV35" s="678"/>
      <c r="UZW35" s="678"/>
      <c r="UZX35" s="678"/>
      <c r="UZY35" s="678"/>
      <c r="UZZ35" s="678"/>
      <c r="VAA35" s="678"/>
      <c r="VAB35" s="678"/>
      <c r="VAC35" s="678"/>
      <c r="VAD35" s="678"/>
      <c r="VAE35" s="678"/>
      <c r="VAF35" s="678"/>
      <c r="VAG35" s="678"/>
      <c r="VAH35" s="678"/>
      <c r="VAI35" s="678"/>
      <c r="VAJ35" s="678"/>
      <c r="VAK35" s="678"/>
      <c r="VAL35" s="678"/>
      <c r="VAM35" s="678"/>
      <c r="VAN35" s="678"/>
      <c r="VAO35" s="678"/>
      <c r="VAP35" s="678"/>
      <c r="VAQ35" s="678"/>
      <c r="VAR35" s="678"/>
      <c r="VAS35" s="678"/>
      <c r="VAT35" s="678"/>
      <c r="VAU35" s="678"/>
      <c r="VAV35" s="678"/>
      <c r="VAW35" s="678"/>
      <c r="VAX35" s="678"/>
      <c r="VAY35" s="678"/>
      <c r="VAZ35" s="678"/>
      <c r="VBA35" s="678"/>
      <c r="VBB35" s="678"/>
      <c r="VBC35" s="678"/>
      <c r="VBD35" s="678"/>
      <c r="VBE35" s="678"/>
      <c r="VBF35" s="678"/>
      <c r="VBG35" s="678"/>
      <c r="VBH35" s="678"/>
      <c r="VBI35" s="678"/>
      <c r="VBJ35" s="678"/>
      <c r="VBK35" s="678"/>
      <c r="VBL35" s="678"/>
      <c r="VBM35" s="678"/>
      <c r="VBN35" s="678"/>
      <c r="VBO35" s="678"/>
      <c r="VBP35" s="678"/>
      <c r="VBQ35" s="678"/>
      <c r="VBR35" s="678"/>
      <c r="VBS35" s="678"/>
      <c r="VBT35" s="678"/>
      <c r="VBU35" s="678"/>
      <c r="VBV35" s="678"/>
      <c r="VBW35" s="678"/>
      <c r="VBX35" s="678"/>
      <c r="VBY35" s="678"/>
      <c r="VBZ35" s="678"/>
      <c r="VCA35" s="678"/>
      <c r="VCB35" s="678"/>
      <c r="VCC35" s="678"/>
      <c r="VCD35" s="678"/>
      <c r="VCE35" s="678"/>
      <c r="VCF35" s="678"/>
      <c r="VCG35" s="678"/>
      <c r="VCH35" s="678"/>
      <c r="VCI35" s="678"/>
      <c r="VCJ35" s="678"/>
      <c r="VCK35" s="678"/>
      <c r="VCL35" s="678"/>
      <c r="VCM35" s="678"/>
      <c r="VCN35" s="678"/>
      <c r="VCO35" s="678"/>
      <c r="VCP35" s="678"/>
      <c r="VCQ35" s="678"/>
      <c r="VCR35" s="678"/>
      <c r="VCS35" s="678"/>
      <c r="VCT35" s="678"/>
      <c r="VCU35" s="678"/>
      <c r="VCV35" s="678"/>
      <c r="VCW35" s="678"/>
      <c r="VCX35" s="678"/>
      <c r="VCY35" s="678"/>
      <c r="VCZ35" s="678"/>
      <c r="VDA35" s="678"/>
      <c r="VDB35" s="678"/>
      <c r="VDC35" s="678"/>
      <c r="VDD35" s="678"/>
      <c r="VDE35" s="678"/>
      <c r="VDF35" s="678"/>
      <c r="VDG35" s="678"/>
      <c r="VDH35" s="678"/>
      <c r="VDI35" s="678"/>
      <c r="VDJ35" s="678"/>
      <c r="VDK35" s="678"/>
      <c r="VDL35" s="678"/>
      <c r="VDM35" s="678"/>
      <c r="VDN35" s="678"/>
      <c r="VDO35" s="678"/>
      <c r="VDP35" s="678"/>
      <c r="VDQ35" s="678"/>
      <c r="VDR35" s="678"/>
      <c r="VDS35" s="678"/>
      <c r="VDT35" s="678"/>
      <c r="VDU35" s="678"/>
      <c r="VDV35" s="678"/>
      <c r="VDW35" s="678"/>
      <c r="VDX35" s="678"/>
      <c r="VDY35" s="678"/>
      <c r="VDZ35" s="678"/>
      <c r="VEA35" s="678"/>
      <c r="VEB35" s="678"/>
      <c r="VEC35" s="678"/>
      <c r="VED35" s="678"/>
      <c r="VEE35" s="678"/>
      <c r="VEF35" s="678"/>
      <c r="VEG35" s="678"/>
      <c r="VEH35" s="678"/>
      <c r="VEI35" s="678"/>
      <c r="VEJ35" s="678"/>
      <c r="VEK35" s="678"/>
      <c r="VEL35" s="678"/>
      <c r="VEM35" s="678"/>
      <c r="VEN35" s="678"/>
      <c r="VEO35" s="678"/>
      <c r="VEP35" s="678"/>
      <c r="VEQ35" s="678"/>
      <c r="VER35" s="678"/>
      <c r="VES35" s="678"/>
      <c r="VET35" s="678"/>
      <c r="VEU35" s="678"/>
      <c r="VEV35" s="678"/>
      <c r="VEW35" s="678"/>
      <c r="VEX35" s="678"/>
      <c r="VEY35" s="678"/>
      <c r="VEZ35" s="678"/>
      <c r="VFA35" s="678"/>
      <c r="VFB35" s="678"/>
      <c r="VFC35" s="678"/>
      <c r="VFD35" s="678"/>
      <c r="VFE35" s="678"/>
      <c r="VFF35" s="678"/>
      <c r="VFG35" s="678"/>
      <c r="VFH35" s="678"/>
      <c r="VFI35" s="678"/>
      <c r="VFJ35" s="678"/>
      <c r="VFK35" s="678"/>
      <c r="VFL35" s="678"/>
      <c r="VFM35" s="678"/>
      <c r="VFN35" s="678"/>
      <c r="VFO35" s="678"/>
      <c r="VFP35" s="678"/>
      <c r="VFQ35" s="678"/>
      <c r="VFR35" s="678"/>
      <c r="VFS35" s="678"/>
      <c r="VFT35" s="678"/>
      <c r="VFU35" s="678"/>
      <c r="VFV35" s="678"/>
      <c r="VFW35" s="678"/>
      <c r="VFX35" s="678"/>
      <c r="VFY35" s="678"/>
      <c r="VFZ35" s="678"/>
      <c r="VGA35" s="678"/>
      <c r="VGB35" s="678"/>
      <c r="VGC35" s="678"/>
      <c r="VGD35" s="678"/>
      <c r="VGE35" s="678"/>
      <c r="VGF35" s="678"/>
      <c r="VGG35" s="678"/>
      <c r="VGH35" s="678"/>
      <c r="VGI35" s="678"/>
      <c r="VGJ35" s="678"/>
      <c r="VGK35" s="678"/>
      <c r="VGL35" s="678"/>
      <c r="VGM35" s="678"/>
      <c r="VGN35" s="678"/>
      <c r="VGO35" s="678"/>
      <c r="VGP35" s="678"/>
      <c r="VGQ35" s="678"/>
      <c r="VGR35" s="678"/>
      <c r="VGS35" s="678"/>
      <c r="VGT35" s="678"/>
      <c r="VGU35" s="678"/>
      <c r="VGV35" s="678"/>
      <c r="VGW35" s="678"/>
      <c r="VGX35" s="678"/>
      <c r="VGY35" s="678"/>
      <c r="VGZ35" s="678"/>
      <c r="VHA35" s="678"/>
      <c r="VHB35" s="678"/>
      <c r="VHC35" s="678"/>
      <c r="VHD35" s="678"/>
      <c r="VHE35" s="678"/>
      <c r="VHF35" s="678"/>
      <c r="VHG35" s="678"/>
      <c r="VHH35" s="678"/>
      <c r="VHI35" s="678"/>
      <c r="VHJ35" s="678"/>
      <c r="VHK35" s="678"/>
      <c r="VHL35" s="678"/>
      <c r="VHM35" s="678"/>
      <c r="VHN35" s="678"/>
      <c r="VHO35" s="678"/>
      <c r="VHP35" s="678"/>
      <c r="VHQ35" s="678"/>
      <c r="VHR35" s="678"/>
      <c r="VHS35" s="678"/>
      <c r="VHT35" s="678"/>
      <c r="VHU35" s="678"/>
      <c r="VHV35" s="678"/>
      <c r="VHW35" s="678"/>
      <c r="VHX35" s="678"/>
      <c r="VHY35" s="678"/>
      <c r="VHZ35" s="678"/>
      <c r="VIA35" s="678"/>
      <c r="VIB35" s="678"/>
      <c r="VIC35" s="678"/>
      <c r="VID35" s="678"/>
      <c r="VIE35" s="678"/>
      <c r="VIF35" s="678"/>
      <c r="VIG35" s="678"/>
      <c r="VIH35" s="678"/>
      <c r="VII35" s="678"/>
      <c r="VIJ35" s="678"/>
      <c r="VIK35" s="678"/>
      <c r="VIL35" s="678"/>
      <c r="VIM35" s="678"/>
      <c r="VIN35" s="678"/>
      <c r="VIO35" s="678"/>
      <c r="VIP35" s="678"/>
      <c r="VIQ35" s="678"/>
      <c r="VIR35" s="678"/>
      <c r="VIS35" s="678"/>
      <c r="VIT35" s="678"/>
      <c r="VIU35" s="678"/>
      <c r="VIV35" s="678"/>
      <c r="VIW35" s="678"/>
      <c r="VIX35" s="678"/>
      <c r="VIY35" s="678"/>
      <c r="VIZ35" s="678"/>
      <c r="VJA35" s="678"/>
      <c r="VJB35" s="678"/>
      <c r="VJC35" s="678"/>
      <c r="VJD35" s="678"/>
      <c r="VJE35" s="678"/>
      <c r="VJF35" s="678"/>
      <c r="VJG35" s="678"/>
      <c r="VJH35" s="678"/>
      <c r="VJI35" s="678"/>
      <c r="VJJ35" s="678"/>
      <c r="VJK35" s="678"/>
      <c r="VJL35" s="678"/>
      <c r="VJM35" s="678"/>
      <c r="VJN35" s="678"/>
      <c r="VJO35" s="678"/>
      <c r="VJP35" s="678"/>
      <c r="VJQ35" s="678"/>
      <c r="VJR35" s="678"/>
      <c r="VJS35" s="678"/>
      <c r="VJT35" s="678"/>
      <c r="VJU35" s="678"/>
      <c r="VJV35" s="678"/>
      <c r="VJW35" s="678"/>
      <c r="VJX35" s="678"/>
      <c r="VJY35" s="678"/>
      <c r="VJZ35" s="678"/>
      <c r="VKA35" s="678"/>
      <c r="VKB35" s="678"/>
      <c r="VKC35" s="678"/>
      <c r="VKD35" s="678"/>
      <c r="VKE35" s="678"/>
      <c r="VKF35" s="678"/>
      <c r="VKG35" s="678"/>
      <c r="VKH35" s="678"/>
      <c r="VKI35" s="678"/>
      <c r="VKJ35" s="678"/>
      <c r="VKK35" s="678"/>
      <c r="VKL35" s="678"/>
      <c r="VKM35" s="678"/>
      <c r="VKN35" s="678"/>
      <c r="VKO35" s="678"/>
      <c r="VKP35" s="678"/>
      <c r="VKQ35" s="678"/>
      <c r="VKR35" s="678"/>
      <c r="VKS35" s="678"/>
      <c r="VKT35" s="678"/>
      <c r="VKU35" s="678"/>
      <c r="VKV35" s="678"/>
      <c r="VKW35" s="678"/>
      <c r="VKX35" s="678"/>
      <c r="VKY35" s="678"/>
      <c r="VKZ35" s="678"/>
      <c r="VLA35" s="678"/>
      <c r="VLB35" s="678"/>
      <c r="VLC35" s="678"/>
      <c r="VLD35" s="678"/>
      <c r="VLE35" s="678"/>
      <c r="VLF35" s="678"/>
      <c r="VLG35" s="678"/>
      <c r="VLH35" s="678"/>
      <c r="VLI35" s="678"/>
      <c r="VLJ35" s="678"/>
      <c r="VLK35" s="678"/>
      <c r="VLL35" s="678"/>
      <c r="VLM35" s="678"/>
      <c r="VLN35" s="678"/>
      <c r="VLO35" s="678"/>
      <c r="VLP35" s="678"/>
      <c r="VLQ35" s="678"/>
      <c r="VLR35" s="678"/>
      <c r="VLS35" s="678"/>
      <c r="VLT35" s="678"/>
      <c r="VLU35" s="678"/>
      <c r="VLV35" s="678"/>
      <c r="VLW35" s="678"/>
      <c r="VLX35" s="678"/>
      <c r="VLY35" s="678"/>
      <c r="VLZ35" s="678"/>
      <c r="VMA35" s="678"/>
      <c r="VMB35" s="678"/>
      <c r="VMC35" s="678"/>
      <c r="VMD35" s="678"/>
      <c r="VME35" s="678"/>
      <c r="VMF35" s="678"/>
      <c r="VMG35" s="678"/>
      <c r="VMH35" s="678"/>
      <c r="VMI35" s="678"/>
      <c r="VMJ35" s="678"/>
      <c r="VMK35" s="678"/>
      <c r="VML35" s="678"/>
      <c r="VMM35" s="678"/>
      <c r="VMN35" s="678"/>
      <c r="VMO35" s="678"/>
      <c r="VMP35" s="678"/>
      <c r="VMQ35" s="678"/>
      <c r="VMR35" s="678"/>
      <c r="VMS35" s="678"/>
      <c r="VMT35" s="678"/>
      <c r="VMU35" s="678"/>
      <c r="VMV35" s="678"/>
      <c r="VMW35" s="678"/>
      <c r="VMX35" s="678"/>
      <c r="VMY35" s="678"/>
      <c r="VMZ35" s="678"/>
      <c r="VNA35" s="678"/>
      <c r="VNB35" s="678"/>
      <c r="VNC35" s="678"/>
      <c r="VND35" s="678"/>
      <c r="VNE35" s="678"/>
      <c r="VNF35" s="678"/>
      <c r="VNG35" s="678"/>
      <c r="VNH35" s="678"/>
      <c r="VNI35" s="678"/>
      <c r="VNJ35" s="678"/>
      <c r="VNK35" s="678"/>
      <c r="VNL35" s="678"/>
      <c r="VNM35" s="678"/>
      <c r="VNN35" s="678"/>
      <c r="VNO35" s="678"/>
      <c r="VNP35" s="678"/>
      <c r="VNQ35" s="678"/>
      <c r="VNR35" s="678"/>
      <c r="VNS35" s="678"/>
      <c r="VNT35" s="678"/>
      <c r="VNU35" s="678"/>
      <c r="VNV35" s="678"/>
      <c r="VNW35" s="678"/>
      <c r="VNX35" s="678"/>
      <c r="VNY35" s="678"/>
      <c r="VNZ35" s="678"/>
      <c r="VOA35" s="678"/>
      <c r="VOB35" s="678"/>
      <c r="VOC35" s="678"/>
      <c r="VOD35" s="678"/>
      <c r="VOE35" s="678"/>
      <c r="VOF35" s="678"/>
      <c r="VOG35" s="678"/>
      <c r="VOH35" s="678"/>
      <c r="VOI35" s="678"/>
      <c r="VOJ35" s="678"/>
      <c r="VOK35" s="678"/>
      <c r="VOL35" s="678"/>
      <c r="VOM35" s="678"/>
      <c r="VON35" s="678"/>
      <c r="VOO35" s="678"/>
      <c r="VOP35" s="678"/>
      <c r="VOQ35" s="678"/>
      <c r="VOR35" s="678"/>
      <c r="VOS35" s="678"/>
      <c r="VOT35" s="678"/>
      <c r="VOU35" s="678"/>
      <c r="VOV35" s="678"/>
      <c r="VOW35" s="678"/>
      <c r="VOX35" s="678"/>
      <c r="VOY35" s="678"/>
      <c r="VOZ35" s="678"/>
      <c r="VPA35" s="678"/>
      <c r="VPB35" s="678"/>
      <c r="VPC35" s="678"/>
      <c r="VPD35" s="678"/>
      <c r="VPE35" s="678"/>
      <c r="VPF35" s="678"/>
      <c r="VPG35" s="678"/>
      <c r="VPH35" s="678"/>
      <c r="VPI35" s="678"/>
      <c r="VPJ35" s="678"/>
      <c r="VPK35" s="678"/>
      <c r="VPL35" s="678"/>
      <c r="VPM35" s="678"/>
      <c r="VPN35" s="678"/>
      <c r="VPO35" s="678"/>
      <c r="VPP35" s="678"/>
      <c r="VPQ35" s="678"/>
      <c r="VPR35" s="678"/>
      <c r="VPS35" s="678"/>
      <c r="VPT35" s="678"/>
      <c r="VPU35" s="678"/>
      <c r="VPV35" s="678"/>
      <c r="VPW35" s="678"/>
      <c r="VPX35" s="678"/>
      <c r="VPY35" s="678"/>
      <c r="VPZ35" s="678"/>
      <c r="VQA35" s="678"/>
      <c r="VQB35" s="678"/>
      <c r="VQC35" s="678"/>
      <c r="VQD35" s="678"/>
      <c r="VQE35" s="678"/>
      <c r="VQF35" s="678"/>
      <c r="VQG35" s="678"/>
      <c r="VQH35" s="678"/>
      <c r="VQI35" s="678"/>
      <c r="VQJ35" s="678"/>
      <c r="VQK35" s="678"/>
      <c r="VQL35" s="678"/>
      <c r="VQM35" s="678"/>
      <c r="VQN35" s="678"/>
      <c r="VQO35" s="678"/>
      <c r="VQP35" s="678"/>
      <c r="VQQ35" s="678"/>
      <c r="VQR35" s="678"/>
      <c r="VQS35" s="678"/>
      <c r="VQT35" s="678"/>
      <c r="VQU35" s="678"/>
      <c r="VQV35" s="678"/>
      <c r="VQW35" s="678"/>
      <c r="VQX35" s="678"/>
      <c r="VQY35" s="678"/>
      <c r="VQZ35" s="678"/>
      <c r="VRA35" s="678"/>
      <c r="VRB35" s="678"/>
      <c r="VRC35" s="678"/>
      <c r="VRD35" s="678"/>
      <c r="VRE35" s="678"/>
      <c r="VRF35" s="678"/>
      <c r="VRG35" s="678"/>
      <c r="VRH35" s="678"/>
      <c r="VRI35" s="678"/>
      <c r="VRJ35" s="678"/>
      <c r="VRK35" s="678"/>
      <c r="VRL35" s="678"/>
      <c r="VRM35" s="678"/>
      <c r="VRN35" s="678"/>
      <c r="VRO35" s="678"/>
      <c r="VRP35" s="678"/>
      <c r="VRQ35" s="678"/>
      <c r="VRR35" s="678"/>
      <c r="VRS35" s="678"/>
      <c r="VRT35" s="678"/>
      <c r="VRU35" s="678"/>
      <c r="VRV35" s="678"/>
      <c r="VRW35" s="678"/>
      <c r="VRX35" s="678"/>
      <c r="VRY35" s="678"/>
      <c r="VRZ35" s="678"/>
      <c r="VSA35" s="678"/>
      <c r="VSB35" s="678"/>
      <c r="VSC35" s="678"/>
      <c r="VSD35" s="678"/>
      <c r="VSE35" s="678"/>
      <c r="VSF35" s="678"/>
      <c r="VSG35" s="678"/>
      <c r="VSH35" s="678"/>
      <c r="VSI35" s="678"/>
      <c r="VSJ35" s="678"/>
      <c r="VSK35" s="678"/>
      <c r="VSL35" s="678"/>
      <c r="VSM35" s="678"/>
      <c r="VSN35" s="678"/>
      <c r="VSO35" s="678"/>
      <c r="VSP35" s="678"/>
      <c r="VSQ35" s="678"/>
      <c r="VSR35" s="678"/>
      <c r="VSS35" s="678"/>
      <c r="VST35" s="678"/>
      <c r="VSU35" s="678"/>
      <c r="VSV35" s="678"/>
      <c r="VSW35" s="678"/>
      <c r="VSX35" s="678"/>
      <c r="VSY35" s="678"/>
      <c r="VSZ35" s="678"/>
      <c r="VTA35" s="678"/>
      <c r="VTB35" s="678"/>
      <c r="VTC35" s="678"/>
      <c r="VTD35" s="678"/>
      <c r="VTE35" s="678"/>
      <c r="VTF35" s="678"/>
      <c r="VTG35" s="678"/>
      <c r="VTH35" s="678"/>
      <c r="VTI35" s="678"/>
      <c r="VTJ35" s="678"/>
      <c r="VTK35" s="678"/>
      <c r="VTL35" s="678"/>
      <c r="VTM35" s="678"/>
      <c r="VTN35" s="678"/>
      <c r="VTO35" s="678"/>
      <c r="VTP35" s="678"/>
      <c r="VTQ35" s="678"/>
      <c r="VTR35" s="678"/>
      <c r="VTS35" s="678"/>
      <c r="VTT35" s="678"/>
      <c r="VTU35" s="678"/>
      <c r="VTV35" s="678"/>
      <c r="VTW35" s="678"/>
      <c r="VTX35" s="678"/>
      <c r="VTY35" s="678"/>
      <c r="VTZ35" s="678"/>
      <c r="VUA35" s="678"/>
      <c r="VUB35" s="678"/>
      <c r="VUC35" s="678"/>
      <c r="VUD35" s="678"/>
      <c r="VUE35" s="678"/>
      <c r="VUF35" s="678"/>
      <c r="VUG35" s="678"/>
      <c r="VUH35" s="678"/>
      <c r="VUI35" s="678"/>
      <c r="VUJ35" s="678"/>
      <c r="VUK35" s="678"/>
      <c r="VUL35" s="678"/>
      <c r="VUM35" s="678"/>
      <c r="VUN35" s="678"/>
      <c r="VUO35" s="678"/>
      <c r="VUP35" s="678"/>
      <c r="VUQ35" s="678"/>
      <c r="VUR35" s="678"/>
      <c r="VUS35" s="678"/>
      <c r="VUT35" s="678"/>
      <c r="VUU35" s="678"/>
      <c r="VUV35" s="678"/>
      <c r="VUW35" s="678"/>
      <c r="VUX35" s="678"/>
      <c r="VUY35" s="678"/>
      <c r="VUZ35" s="678"/>
      <c r="VVA35" s="678"/>
      <c r="VVB35" s="678"/>
      <c r="VVC35" s="678"/>
      <c r="VVD35" s="678"/>
      <c r="VVE35" s="678"/>
      <c r="VVF35" s="678"/>
      <c r="VVG35" s="678"/>
      <c r="VVH35" s="678"/>
      <c r="VVI35" s="678"/>
      <c r="VVJ35" s="678"/>
      <c r="VVK35" s="678"/>
      <c r="VVL35" s="678"/>
      <c r="VVM35" s="678"/>
      <c r="VVN35" s="678"/>
      <c r="VVO35" s="678"/>
      <c r="VVP35" s="678"/>
      <c r="VVQ35" s="678"/>
      <c r="VVR35" s="678"/>
      <c r="VVS35" s="678"/>
      <c r="VVT35" s="678"/>
      <c r="VVU35" s="678"/>
      <c r="VVV35" s="678"/>
      <c r="VVW35" s="678"/>
      <c r="VVX35" s="678"/>
      <c r="VVY35" s="678"/>
      <c r="VVZ35" s="678"/>
      <c r="VWA35" s="678"/>
      <c r="VWB35" s="678"/>
      <c r="VWC35" s="678"/>
      <c r="VWD35" s="678"/>
      <c r="VWE35" s="678"/>
      <c r="VWF35" s="678"/>
      <c r="VWG35" s="678"/>
      <c r="VWH35" s="678"/>
      <c r="VWI35" s="678"/>
      <c r="VWJ35" s="678"/>
      <c r="VWK35" s="678"/>
      <c r="VWL35" s="678"/>
      <c r="VWM35" s="678"/>
      <c r="VWN35" s="678"/>
      <c r="VWO35" s="678"/>
      <c r="VWP35" s="678"/>
      <c r="VWQ35" s="678"/>
      <c r="VWR35" s="678"/>
      <c r="VWS35" s="678"/>
      <c r="VWT35" s="678"/>
      <c r="VWU35" s="678"/>
      <c r="VWV35" s="678"/>
      <c r="VWW35" s="678"/>
      <c r="VWX35" s="678"/>
      <c r="VWY35" s="678"/>
      <c r="VWZ35" s="678"/>
      <c r="VXA35" s="678"/>
      <c r="VXB35" s="678"/>
      <c r="VXC35" s="678"/>
      <c r="VXD35" s="678"/>
      <c r="VXE35" s="678"/>
      <c r="VXF35" s="678"/>
      <c r="VXG35" s="678"/>
      <c r="VXH35" s="678"/>
      <c r="VXI35" s="678"/>
      <c r="VXJ35" s="678"/>
      <c r="VXK35" s="678"/>
      <c r="VXL35" s="678"/>
      <c r="VXM35" s="678"/>
      <c r="VXN35" s="678"/>
      <c r="VXO35" s="678"/>
      <c r="VXP35" s="678"/>
      <c r="VXQ35" s="678"/>
      <c r="VXR35" s="678"/>
      <c r="VXS35" s="678"/>
      <c r="VXT35" s="678"/>
      <c r="VXU35" s="678"/>
      <c r="VXV35" s="678"/>
      <c r="VXW35" s="678"/>
      <c r="VXX35" s="678"/>
      <c r="VXY35" s="678"/>
      <c r="VXZ35" s="678"/>
      <c r="VYA35" s="678"/>
      <c r="VYB35" s="678"/>
      <c r="VYC35" s="678"/>
      <c r="VYD35" s="678"/>
      <c r="VYE35" s="678"/>
      <c r="VYF35" s="678"/>
      <c r="VYG35" s="678"/>
      <c r="VYH35" s="678"/>
      <c r="VYI35" s="678"/>
      <c r="VYJ35" s="678"/>
      <c r="VYK35" s="678"/>
      <c r="VYL35" s="678"/>
      <c r="VYM35" s="678"/>
      <c r="VYN35" s="678"/>
      <c r="VYO35" s="678"/>
      <c r="VYP35" s="678"/>
      <c r="VYQ35" s="678"/>
      <c r="VYR35" s="678"/>
      <c r="VYS35" s="678"/>
      <c r="VYT35" s="678"/>
      <c r="VYU35" s="678"/>
      <c r="VYV35" s="678"/>
      <c r="VYW35" s="678"/>
      <c r="VYX35" s="678"/>
      <c r="VYY35" s="678"/>
      <c r="VYZ35" s="678"/>
      <c r="VZA35" s="678"/>
      <c r="VZB35" s="678"/>
      <c r="VZC35" s="678"/>
      <c r="VZD35" s="678"/>
      <c r="VZE35" s="678"/>
      <c r="VZF35" s="678"/>
      <c r="VZG35" s="678"/>
      <c r="VZH35" s="678"/>
      <c r="VZI35" s="678"/>
      <c r="VZJ35" s="678"/>
      <c r="VZK35" s="678"/>
      <c r="VZL35" s="678"/>
      <c r="VZM35" s="678"/>
      <c r="VZN35" s="678"/>
      <c r="VZO35" s="678"/>
      <c r="VZP35" s="678"/>
      <c r="VZQ35" s="678"/>
      <c r="VZR35" s="678"/>
      <c r="VZS35" s="678"/>
      <c r="VZT35" s="678"/>
      <c r="VZU35" s="678"/>
      <c r="VZV35" s="678"/>
      <c r="VZW35" s="678"/>
      <c r="VZX35" s="678"/>
      <c r="VZY35" s="678"/>
      <c r="VZZ35" s="678"/>
      <c r="WAA35" s="678"/>
      <c r="WAB35" s="678"/>
      <c r="WAC35" s="678"/>
      <c r="WAD35" s="678"/>
      <c r="WAE35" s="678"/>
      <c r="WAF35" s="678"/>
      <c r="WAG35" s="678"/>
      <c r="WAH35" s="678"/>
      <c r="WAI35" s="678"/>
      <c r="WAJ35" s="678"/>
      <c r="WAK35" s="678"/>
      <c r="WAL35" s="678"/>
      <c r="WAM35" s="678"/>
      <c r="WAN35" s="678"/>
      <c r="WAO35" s="678"/>
      <c r="WAP35" s="678"/>
      <c r="WAQ35" s="678"/>
      <c r="WAR35" s="678"/>
      <c r="WAS35" s="678"/>
      <c r="WAT35" s="678"/>
      <c r="WAU35" s="678"/>
      <c r="WAV35" s="678"/>
      <c r="WAW35" s="678"/>
      <c r="WAX35" s="678"/>
      <c r="WAY35" s="678"/>
      <c r="WAZ35" s="678"/>
      <c r="WBA35" s="678"/>
      <c r="WBB35" s="678"/>
      <c r="WBC35" s="678"/>
      <c r="WBD35" s="678"/>
      <c r="WBE35" s="678"/>
      <c r="WBF35" s="678"/>
      <c r="WBG35" s="678"/>
      <c r="WBH35" s="678"/>
      <c r="WBI35" s="678"/>
      <c r="WBJ35" s="678"/>
      <c r="WBK35" s="678"/>
      <c r="WBL35" s="678"/>
      <c r="WBM35" s="678"/>
      <c r="WBN35" s="678"/>
      <c r="WBO35" s="678"/>
      <c r="WBP35" s="678"/>
      <c r="WBQ35" s="678"/>
      <c r="WBR35" s="678"/>
      <c r="WBS35" s="678"/>
      <c r="WBT35" s="678"/>
      <c r="WBU35" s="678"/>
      <c r="WBV35" s="678"/>
      <c r="WBW35" s="678"/>
      <c r="WBX35" s="678"/>
      <c r="WBY35" s="678"/>
      <c r="WBZ35" s="678"/>
      <c r="WCA35" s="678"/>
      <c r="WCB35" s="678"/>
      <c r="WCC35" s="678"/>
      <c r="WCD35" s="678"/>
      <c r="WCE35" s="678"/>
      <c r="WCF35" s="678"/>
      <c r="WCG35" s="678"/>
      <c r="WCH35" s="678"/>
      <c r="WCI35" s="678"/>
      <c r="WCJ35" s="678"/>
      <c r="WCK35" s="678"/>
      <c r="WCL35" s="678"/>
      <c r="WCM35" s="678"/>
      <c r="WCN35" s="678"/>
      <c r="WCO35" s="678"/>
      <c r="WCP35" s="678"/>
      <c r="WCQ35" s="678"/>
      <c r="WCR35" s="678"/>
      <c r="WCS35" s="678"/>
      <c r="WCT35" s="678"/>
      <c r="WCU35" s="678"/>
      <c r="WCV35" s="678"/>
      <c r="WCW35" s="678"/>
      <c r="WCX35" s="678"/>
      <c r="WCY35" s="678"/>
      <c r="WCZ35" s="678"/>
      <c r="WDA35" s="678"/>
      <c r="WDB35" s="678"/>
      <c r="WDC35" s="678"/>
      <c r="WDD35" s="678"/>
      <c r="WDE35" s="678"/>
      <c r="WDF35" s="678"/>
      <c r="WDG35" s="678"/>
      <c r="WDH35" s="678"/>
      <c r="WDI35" s="678"/>
      <c r="WDJ35" s="678"/>
      <c r="WDK35" s="678"/>
      <c r="WDL35" s="678"/>
      <c r="WDM35" s="678"/>
      <c r="WDN35" s="678"/>
      <c r="WDO35" s="678"/>
      <c r="WDP35" s="678"/>
      <c r="WDQ35" s="678"/>
      <c r="WDR35" s="678"/>
      <c r="WDS35" s="678"/>
      <c r="WDT35" s="678"/>
      <c r="WDU35" s="678"/>
      <c r="WDV35" s="678"/>
      <c r="WDW35" s="678"/>
      <c r="WDX35" s="678"/>
      <c r="WDY35" s="678"/>
      <c r="WDZ35" s="678"/>
      <c r="WEA35" s="678"/>
      <c r="WEB35" s="678"/>
      <c r="WEC35" s="678"/>
      <c r="WED35" s="678"/>
      <c r="WEE35" s="678"/>
      <c r="WEF35" s="678"/>
      <c r="WEG35" s="678"/>
      <c r="WEH35" s="678"/>
      <c r="WEI35" s="678"/>
      <c r="WEJ35" s="678"/>
      <c r="WEK35" s="678"/>
      <c r="WEL35" s="678"/>
      <c r="WEM35" s="678"/>
      <c r="WEN35" s="678"/>
      <c r="WEO35" s="678"/>
      <c r="WEP35" s="678"/>
      <c r="WEQ35" s="678"/>
      <c r="WER35" s="678"/>
      <c r="WES35" s="678"/>
      <c r="WET35" s="678"/>
      <c r="WEU35" s="678"/>
      <c r="WEV35" s="678"/>
      <c r="WEW35" s="678"/>
      <c r="WEX35" s="678"/>
      <c r="WEY35" s="678"/>
      <c r="WEZ35" s="678"/>
      <c r="WFA35" s="678"/>
      <c r="WFB35" s="678"/>
      <c r="WFC35" s="678"/>
      <c r="WFD35" s="678"/>
      <c r="WFE35" s="678"/>
      <c r="WFF35" s="678"/>
      <c r="WFG35" s="678"/>
      <c r="WFH35" s="678"/>
      <c r="WFI35" s="678"/>
      <c r="WFJ35" s="678"/>
      <c r="WFK35" s="678"/>
      <c r="WFL35" s="678"/>
      <c r="WFM35" s="678"/>
      <c r="WFN35" s="678"/>
      <c r="WFO35" s="678"/>
      <c r="WFP35" s="678"/>
      <c r="WFQ35" s="678"/>
      <c r="WFR35" s="678"/>
      <c r="WFS35" s="678"/>
      <c r="WFT35" s="678"/>
      <c r="WFU35" s="678"/>
      <c r="WFV35" s="678"/>
      <c r="WFW35" s="678"/>
      <c r="WFX35" s="678"/>
      <c r="WFY35" s="678"/>
      <c r="WFZ35" s="678"/>
      <c r="WGA35" s="678"/>
      <c r="WGB35" s="678"/>
      <c r="WGC35" s="678"/>
      <c r="WGD35" s="678"/>
      <c r="WGE35" s="678"/>
      <c r="WGF35" s="678"/>
      <c r="WGG35" s="678"/>
      <c r="WGH35" s="678"/>
      <c r="WGI35" s="678"/>
      <c r="WGJ35" s="678"/>
      <c r="WGK35" s="678"/>
      <c r="WGL35" s="678"/>
      <c r="WGM35" s="678"/>
      <c r="WGN35" s="678"/>
      <c r="WGO35" s="678"/>
      <c r="WGP35" s="678"/>
      <c r="WGQ35" s="678"/>
      <c r="WGR35" s="678"/>
      <c r="WGS35" s="678"/>
      <c r="WGT35" s="678"/>
      <c r="WGU35" s="678"/>
      <c r="WGV35" s="678"/>
      <c r="WGW35" s="678"/>
      <c r="WGX35" s="678"/>
      <c r="WGY35" s="678"/>
      <c r="WGZ35" s="678"/>
      <c r="WHA35" s="678"/>
      <c r="WHB35" s="678"/>
      <c r="WHC35" s="678"/>
      <c r="WHD35" s="678"/>
      <c r="WHE35" s="678"/>
      <c r="WHF35" s="678"/>
      <c r="WHG35" s="678"/>
      <c r="WHH35" s="678"/>
      <c r="WHI35" s="678"/>
      <c r="WHJ35" s="678"/>
      <c r="WHK35" s="678"/>
      <c r="WHL35" s="678"/>
      <c r="WHM35" s="678"/>
      <c r="WHN35" s="678"/>
      <c r="WHO35" s="678"/>
      <c r="WHP35" s="678"/>
      <c r="WHQ35" s="678"/>
      <c r="WHR35" s="678"/>
      <c r="WHS35" s="678"/>
      <c r="WHT35" s="678"/>
      <c r="WHU35" s="678"/>
      <c r="WHV35" s="678"/>
      <c r="WHW35" s="678"/>
      <c r="WHX35" s="678"/>
      <c r="WHY35" s="678"/>
      <c r="WHZ35" s="678"/>
      <c r="WIA35" s="678"/>
      <c r="WIB35" s="678"/>
      <c r="WIC35" s="678"/>
      <c r="WID35" s="678"/>
      <c r="WIE35" s="678"/>
      <c r="WIF35" s="678"/>
      <c r="WIG35" s="678"/>
      <c r="WIH35" s="678"/>
      <c r="WII35" s="678"/>
      <c r="WIJ35" s="678"/>
      <c r="WIK35" s="678"/>
      <c r="WIL35" s="678"/>
      <c r="WIM35" s="678"/>
      <c r="WIN35" s="678"/>
      <c r="WIO35" s="678"/>
      <c r="WIP35" s="678"/>
      <c r="WIQ35" s="678"/>
      <c r="WIR35" s="678"/>
      <c r="WIS35" s="678"/>
      <c r="WIT35" s="678"/>
      <c r="WIU35" s="678"/>
      <c r="WIV35" s="678"/>
      <c r="WIW35" s="678"/>
      <c r="WIX35" s="678"/>
      <c r="WIY35" s="678"/>
      <c r="WIZ35" s="678"/>
      <c r="WJA35" s="678"/>
      <c r="WJB35" s="678"/>
      <c r="WJC35" s="678"/>
      <c r="WJD35" s="678"/>
      <c r="WJE35" s="678"/>
      <c r="WJF35" s="678"/>
      <c r="WJG35" s="678"/>
      <c r="WJH35" s="678"/>
      <c r="WJI35" s="678"/>
      <c r="WJJ35" s="678"/>
      <c r="WJK35" s="678"/>
      <c r="WJL35" s="678"/>
      <c r="WJM35" s="678"/>
      <c r="WJN35" s="678"/>
      <c r="WJO35" s="678"/>
      <c r="WJP35" s="678"/>
      <c r="WJQ35" s="678"/>
      <c r="WJR35" s="678"/>
      <c r="WJS35" s="678"/>
      <c r="WJT35" s="678"/>
      <c r="WJU35" s="678"/>
      <c r="WJV35" s="678"/>
      <c r="WJW35" s="678"/>
      <c r="WJX35" s="678"/>
      <c r="WJY35" s="678"/>
      <c r="WJZ35" s="678"/>
      <c r="WKA35" s="678"/>
      <c r="WKB35" s="678"/>
      <c r="WKC35" s="678"/>
      <c r="WKD35" s="678"/>
      <c r="WKE35" s="678"/>
      <c r="WKF35" s="678"/>
      <c r="WKG35" s="678"/>
      <c r="WKH35" s="678"/>
      <c r="WKI35" s="678"/>
      <c r="WKJ35" s="678"/>
      <c r="WKK35" s="678"/>
      <c r="WKL35" s="678"/>
      <c r="WKM35" s="678"/>
      <c r="WKN35" s="678"/>
      <c r="WKO35" s="678"/>
      <c r="WKP35" s="678"/>
      <c r="WKQ35" s="678"/>
      <c r="WKR35" s="678"/>
      <c r="WKS35" s="678"/>
      <c r="WKT35" s="678"/>
      <c r="WKU35" s="678"/>
      <c r="WKV35" s="678"/>
      <c r="WKW35" s="678"/>
      <c r="WKX35" s="678"/>
      <c r="WKY35" s="678"/>
      <c r="WKZ35" s="678"/>
      <c r="WLA35" s="678"/>
      <c r="WLB35" s="678"/>
      <c r="WLC35" s="678"/>
      <c r="WLD35" s="678"/>
      <c r="WLE35" s="678"/>
      <c r="WLF35" s="678"/>
      <c r="WLG35" s="678"/>
      <c r="WLH35" s="678"/>
      <c r="WLI35" s="678"/>
      <c r="WLJ35" s="678"/>
      <c r="WLK35" s="678"/>
      <c r="WLL35" s="678"/>
      <c r="WLM35" s="678"/>
      <c r="WLN35" s="678"/>
      <c r="WLO35" s="678"/>
      <c r="WLP35" s="678"/>
      <c r="WLQ35" s="678"/>
      <c r="WLR35" s="678"/>
      <c r="WLS35" s="678"/>
      <c r="WLT35" s="678"/>
      <c r="WLU35" s="678"/>
      <c r="WLV35" s="678"/>
      <c r="WLW35" s="678"/>
      <c r="WLX35" s="678"/>
      <c r="WLY35" s="678"/>
      <c r="WLZ35" s="678"/>
      <c r="WMA35" s="678"/>
      <c r="WMB35" s="678"/>
      <c r="WMC35" s="678"/>
      <c r="WMD35" s="678"/>
      <c r="WME35" s="678"/>
      <c r="WMF35" s="678"/>
      <c r="WMG35" s="678"/>
      <c r="WMH35" s="678"/>
      <c r="WMI35" s="678"/>
      <c r="WMJ35" s="678"/>
      <c r="WMK35" s="678"/>
      <c r="WML35" s="678"/>
      <c r="WMM35" s="678"/>
      <c r="WMN35" s="678"/>
      <c r="WMO35" s="678"/>
      <c r="WMP35" s="678"/>
      <c r="WMQ35" s="678"/>
      <c r="WMR35" s="678"/>
      <c r="WMS35" s="678"/>
      <c r="WMT35" s="678"/>
      <c r="WMU35" s="678"/>
      <c r="WMV35" s="678"/>
      <c r="WMW35" s="678"/>
      <c r="WMX35" s="678"/>
      <c r="WMY35" s="678"/>
      <c r="WMZ35" s="678"/>
      <c r="WNA35" s="678"/>
      <c r="WNB35" s="678"/>
      <c r="WNC35" s="678"/>
      <c r="WND35" s="678"/>
      <c r="WNE35" s="678"/>
      <c r="WNF35" s="678"/>
      <c r="WNG35" s="678"/>
      <c r="WNH35" s="678"/>
      <c r="WNI35" s="678"/>
      <c r="WNJ35" s="678"/>
      <c r="WNK35" s="678"/>
      <c r="WNL35" s="678"/>
      <c r="WNM35" s="678"/>
      <c r="WNN35" s="678"/>
      <c r="WNO35" s="678"/>
      <c r="WNP35" s="678"/>
      <c r="WNQ35" s="678"/>
      <c r="WNR35" s="678"/>
      <c r="WNS35" s="678"/>
      <c r="WNT35" s="678"/>
      <c r="WNU35" s="678"/>
      <c r="WNV35" s="678"/>
      <c r="WNW35" s="678"/>
      <c r="WNX35" s="678"/>
      <c r="WNY35" s="678"/>
      <c r="WNZ35" s="678"/>
      <c r="WOA35" s="678"/>
      <c r="WOB35" s="678"/>
      <c r="WOC35" s="678"/>
      <c r="WOD35" s="678"/>
      <c r="WOE35" s="678"/>
      <c r="WOF35" s="678"/>
      <c r="WOG35" s="678"/>
      <c r="WOH35" s="678"/>
      <c r="WOI35" s="678"/>
      <c r="WOJ35" s="678"/>
      <c r="WOK35" s="678"/>
      <c r="WOL35" s="678"/>
      <c r="WOM35" s="678"/>
      <c r="WON35" s="678"/>
      <c r="WOO35" s="678"/>
      <c r="WOP35" s="678"/>
      <c r="WOQ35" s="678"/>
      <c r="WOR35" s="678"/>
      <c r="WOS35" s="678"/>
      <c r="WOT35" s="678"/>
      <c r="WOU35" s="678"/>
      <c r="WOV35" s="678"/>
      <c r="WOW35" s="678"/>
      <c r="WOX35" s="678"/>
      <c r="WOY35" s="678"/>
      <c r="WOZ35" s="678"/>
      <c r="WPA35" s="678"/>
      <c r="WPB35" s="678"/>
      <c r="WPC35" s="678"/>
      <c r="WPD35" s="678"/>
      <c r="WPE35" s="678"/>
      <c r="WPF35" s="678"/>
      <c r="WPG35" s="678"/>
      <c r="WPH35" s="678"/>
      <c r="WPI35" s="678"/>
      <c r="WPJ35" s="678"/>
      <c r="WPK35" s="678"/>
      <c r="WPL35" s="678"/>
      <c r="WPM35" s="678"/>
      <c r="WPN35" s="678"/>
      <c r="WPO35" s="678"/>
      <c r="WPP35" s="678"/>
      <c r="WPQ35" s="678"/>
      <c r="WPR35" s="678"/>
      <c r="WPS35" s="678"/>
      <c r="WPT35" s="678"/>
      <c r="WPU35" s="678"/>
      <c r="WPV35" s="678"/>
      <c r="WPW35" s="678"/>
      <c r="WPX35" s="678"/>
      <c r="WPY35" s="678"/>
      <c r="WPZ35" s="678"/>
      <c r="WQA35" s="678"/>
      <c r="WQB35" s="678"/>
      <c r="WQC35" s="678"/>
      <c r="WQD35" s="678"/>
      <c r="WQE35" s="678"/>
      <c r="WQF35" s="678"/>
      <c r="WQG35" s="678"/>
      <c r="WQH35" s="678"/>
      <c r="WQI35" s="678"/>
      <c r="WQJ35" s="678"/>
      <c r="WQK35" s="678"/>
      <c r="WQL35" s="678"/>
      <c r="WQM35" s="678"/>
      <c r="WQN35" s="678"/>
      <c r="WQO35" s="678"/>
      <c r="WQP35" s="678"/>
      <c r="WQQ35" s="678"/>
      <c r="WQR35" s="678"/>
      <c r="WQS35" s="678"/>
      <c r="WQT35" s="678"/>
      <c r="WQU35" s="678"/>
      <c r="WQV35" s="678"/>
      <c r="WQW35" s="678"/>
      <c r="WQX35" s="678"/>
      <c r="WQY35" s="678"/>
      <c r="WQZ35" s="678"/>
      <c r="WRA35" s="678"/>
      <c r="WRB35" s="678"/>
      <c r="WRC35" s="678"/>
      <c r="WRD35" s="678"/>
      <c r="WRE35" s="678"/>
      <c r="WRF35" s="678"/>
      <c r="WRG35" s="678"/>
      <c r="WRH35" s="678"/>
      <c r="WRI35" s="678"/>
      <c r="WRJ35" s="678"/>
      <c r="WRK35" s="678"/>
      <c r="WRL35" s="678"/>
      <c r="WRM35" s="678"/>
      <c r="WRN35" s="678"/>
      <c r="WRO35" s="678"/>
      <c r="WRP35" s="678"/>
      <c r="WRQ35" s="678"/>
      <c r="WRR35" s="678"/>
      <c r="WRS35" s="678"/>
      <c r="WRT35" s="678"/>
      <c r="WRU35" s="678"/>
      <c r="WRV35" s="678"/>
      <c r="WRW35" s="678"/>
      <c r="WRX35" s="678"/>
      <c r="WRY35" s="678"/>
      <c r="WRZ35" s="678"/>
      <c r="WSA35" s="678"/>
      <c r="WSB35" s="678"/>
      <c r="WSC35" s="678"/>
      <c r="WSD35" s="678"/>
      <c r="WSE35" s="678"/>
      <c r="WSF35" s="678"/>
      <c r="WSG35" s="678"/>
      <c r="WSH35" s="678"/>
      <c r="WSI35" s="678"/>
      <c r="WSJ35" s="678"/>
      <c r="WSK35" s="678"/>
      <c r="WSL35" s="678"/>
      <c r="WSM35" s="678"/>
      <c r="WSN35" s="678"/>
      <c r="WSO35" s="678"/>
      <c r="WSP35" s="678"/>
      <c r="WSQ35" s="678"/>
      <c r="WSR35" s="678"/>
      <c r="WSS35" s="678"/>
      <c r="WST35" s="678"/>
      <c r="WSU35" s="678"/>
      <c r="WSV35" s="678"/>
      <c r="WSW35" s="678"/>
      <c r="WSX35" s="678"/>
      <c r="WSY35" s="678"/>
      <c r="WSZ35" s="678"/>
      <c r="WTA35" s="678"/>
      <c r="WTB35" s="678"/>
      <c r="WTC35" s="678"/>
      <c r="WTD35" s="678"/>
      <c r="WTE35" s="678"/>
      <c r="WTF35" s="678"/>
      <c r="WTG35" s="678"/>
      <c r="WTH35" s="678"/>
      <c r="WTI35" s="678"/>
      <c r="WTJ35" s="678"/>
      <c r="WTK35" s="678"/>
      <c r="WTL35" s="678"/>
      <c r="WTM35" s="678"/>
      <c r="WTN35" s="678"/>
      <c r="WTO35" s="678"/>
      <c r="WTP35" s="678"/>
      <c r="WTQ35" s="678"/>
      <c r="WTR35" s="678"/>
      <c r="WTS35" s="678"/>
      <c r="WTT35" s="678"/>
      <c r="WTU35" s="678"/>
      <c r="WTV35" s="678"/>
      <c r="WTW35" s="678"/>
      <c r="WTX35" s="678"/>
      <c r="WTY35" s="678"/>
      <c r="WTZ35" s="678"/>
      <c r="WUA35" s="678"/>
      <c r="WUB35" s="678"/>
      <c r="WUC35" s="678"/>
      <c r="WUD35" s="678"/>
      <c r="WUE35" s="678"/>
      <c r="WUF35" s="678"/>
      <c r="WUG35" s="678"/>
      <c r="WUH35" s="678"/>
      <c r="WUI35" s="678"/>
      <c r="WUJ35" s="678"/>
      <c r="WUK35" s="678"/>
      <c r="WUL35" s="678"/>
      <c r="WUM35" s="678"/>
      <c r="WUN35" s="678"/>
      <c r="WUO35" s="678"/>
      <c r="WUP35" s="678"/>
      <c r="WUQ35" s="678"/>
      <c r="WUR35" s="678"/>
      <c r="WUS35" s="678"/>
      <c r="WUT35" s="678"/>
      <c r="WUU35" s="678"/>
      <c r="WUV35" s="678"/>
      <c r="WUW35" s="678"/>
      <c r="WUX35" s="678"/>
      <c r="WUY35" s="678"/>
      <c r="WUZ35" s="678"/>
      <c r="WVA35" s="678"/>
      <c r="WVB35" s="678"/>
      <c r="WVC35" s="678"/>
      <c r="WVD35" s="678"/>
      <c r="WVE35" s="678"/>
      <c r="WVF35" s="678"/>
      <c r="WVG35" s="678"/>
      <c r="WVH35" s="678"/>
      <c r="WVI35" s="678"/>
      <c r="WVJ35" s="678"/>
      <c r="WVK35" s="678"/>
      <c r="WVL35" s="678"/>
      <c r="WVM35" s="678"/>
      <c r="WVN35" s="678"/>
      <c r="WVO35" s="678"/>
      <c r="WVP35" s="678"/>
      <c r="WVQ35" s="678"/>
      <c r="WVR35" s="678"/>
      <c r="WVS35" s="678"/>
      <c r="WVT35" s="678"/>
      <c r="WVU35" s="678"/>
      <c r="WVV35" s="678"/>
      <c r="WVW35" s="678"/>
      <c r="WVX35" s="678"/>
      <c r="WVY35" s="678"/>
      <c r="WVZ35" s="678"/>
      <c r="WWA35" s="678"/>
      <c r="WWB35" s="678"/>
      <c r="WWC35" s="678"/>
      <c r="WWD35" s="678"/>
      <c r="WWE35" s="678"/>
      <c r="WWF35" s="678"/>
      <c r="WWG35" s="678"/>
      <c r="WWH35" s="678"/>
      <c r="WWI35" s="678"/>
      <c r="WWJ35" s="678"/>
      <c r="WWK35" s="678"/>
      <c r="WWL35" s="678"/>
      <c r="WWM35" s="678"/>
      <c r="WWN35" s="678"/>
      <c r="WWO35" s="678"/>
      <c r="WWP35" s="678"/>
      <c r="WWQ35" s="678"/>
      <c r="WWR35" s="678"/>
      <c r="WWS35" s="678"/>
      <c r="WWT35" s="678"/>
      <c r="WWU35" s="678"/>
      <c r="WWV35" s="678"/>
      <c r="WWW35" s="678"/>
      <c r="WWX35" s="678"/>
      <c r="WWY35" s="678"/>
      <c r="WWZ35" s="678"/>
      <c r="WXA35" s="678"/>
      <c r="WXB35" s="678"/>
      <c r="WXC35" s="678"/>
      <c r="WXD35" s="678"/>
      <c r="WXE35" s="678"/>
      <c r="WXF35" s="678"/>
      <c r="WXG35" s="678"/>
      <c r="WXH35" s="678"/>
      <c r="WXI35" s="678"/>
      <c r="WXJ35" s="678"/>
      <c r="WXK35" s="678"/>
      <c r="WXL35" s="678"/>
      <c r="WXM35" s="678"/>
      <c r="WXN35" s="678"/>
      <c r="WXO35" s="678"/>
      <c r="WXP35" s="678"/>
      <c r="WXQ35" s="678"/>
      <c r="WXR35" s="678"/>
      <c r="WXS35" s="678"/>
      <c r="WXT35" s="678"/>
      <c r="WXU35" s="678"/>
      <c r="WXV35" s="678"/>
      <c r="WXW35" s="678"/>
      <c r="WXX35" s="678"/>
      <c r="WXY35" s="678"/>
      <c r="WXZ35" s="678"/>
      <c r="WYA35" s="678"/>
      <c r="WYB35" s="678"/>
      <c r="WYC35" s="678"/>
      <c r="WYD35" s="678"/>
      <c r="WYE35" s="678"/>
      <c r="WYF35" s="678"/>
      <c r="WYG35" s="678"/>
      <c r="WYH35" s="678"/>
      <c r="WYI35" s="678"/>
      <c r="WYJ35" s="678"/>
      <c r="WYK35" s="678"/>
      <c r="WYL35" s="678"/>
      <c r="WYM35" s="678"/>
      <c r="WYN35" s="678"/>
      <c r="WYO35" s="678"/>
      <c r="WYP35" s="678"/>
      <c r="WYQ35" s="678"/>
      <c r="WYR35" s="678"/>
      <c r="WYS35" s="678"/>
      <c r="WYT35" s="678"/>
      <c r="WYU35" s="678"/>
      <c r="WYV35" s="678"/>
      <c r="WYW35" s="678"/>
      <c r="WYX35" s="678"/>
      <c r="WYY35" s="678"/>
      <c r="WYZ35" s="678"/>
      <c r="WZA35" s="678"/>
      <c r="WZB35" s="678"/>
      <c r="WZC35" s="678"/>
      <c r="WZD35" s="678"/>
      <c r="WZE35" s="678"/>
      <c r="WZF35" s="678"/>
      <c r="WZG35" s="678"/>
      <c r="WZH35" s="678"/>
      <c r="WZI35" s="678"/>
      <c r="WZJ35" s="678"/>
      <c r="WZK35" s="678"/>
      <c r="WZL35" s="678"/>
      <c r="WZM35" s="678"/>
      <c r="WZN35" s="678"/>
      <c r="WZO35" s="678"/>
      <c r="WZP35" s="678"/>
      <c r="WZQ35" s="678"/>
      <c r="WZR35" s="678"/>
      <c r="WZS35" s="678"/>
      <c r="WZT35" s="678"/>
      <c r="WZU35" s="678"/>
      <c r="WZV35" s="678"/>
      <c r="WZW35" s="678"/>
      <c r="WZX35" s="678"/>
      <c r="WZY35" s="678"/>
      <c r="WZZ35" s="678"/>
      <c r="XAA35" s="678"/>
      <c r="XAB35" s="678"/>
      <c r="XAC35" s="678"/>
      <c r="XAD35" s="678"/>
      <c r="XAE35" s="678"/>
      <c r="XAF35" s="678"/>
      <c r="XAG35" s="678"/>
      <c r="XAH35" s="678"/>
      <c r="XAI35" s="678"/>
      <c r="XAJ35" s="678"/>
      <c r="XAK35" s="678"/>
      <c r="XAL35" s="678"/>
      <c r="XAM35" s="678"/>
      <c r="XAN35" s="678"/>
      <c r="XAO35" s="678"/>
      <c r="XAP35" s="678"/>
      <c r="XAQ35" s="678"/>
      <c r="XAR35" s="678"/>
      <c r="XAS35" s="678"/>
      <c r="XAT35" s="678"/>
      <c r="XAU35" s="678"/>
      <c r="XAV35" s="678"/>
      <c r="XAW35" s="678"/>
      <c r="XAX35" s="678"/>
      <c r="XAY35" s="678"/>
      <c r="XAZ35" s="678"/>
      <c r="XBA35" s="678"/>
      <c r="XBB35" s="678"/>
      <c r="XBC35" s="678"/>
      <c r="XBD35" s="678"/>
      <c r="XBE35" s="678"/>
      <c r="XBF35" s="678"/>
      <c r="XBG35" s="678"/>
      <c r="XBH35" s="678"/>
      <c r="XBI35" s="678"/>
      <c r="XBJ35" s="678"/>
      <c r="XBK35" s="678"/>
      <c r="XBL35" s="678"/>
      <c r="XBM35" s="678"/>
      <c r="XBN35" s="678"/>
      <c r="XBO35" s="678"/>
      <c r="XBP35" s="678"/>
      <c r="XBQ35" s="678"/>
      <c r="XBR35" s="678"/>
      <c r="XBS35" s="678"/>
      <c r="XBT35" s="678"/>
      <c r="XBU35" s="678"/>
      <c r="XBV35" s="678"/>
      <c r="XBW35" s="678"/>
      <c r="XBX35" s="678"/>
      <c r="XBY35" s="678"/>
      <c r="XBZ35" s="678"/>
      <c r="XCA35" s="678"/>
      <c r="XCB35" s="678"/>
      <c r="XCC35" s="678"/>
      <c r="XCD35" s="678"/>
      <c r="XCE35" s="678"/>
      <c r="XCF35" s="678"/>
      <c r="XCG35" s="678"/>
      <c r="XCH35" s="678"/>
      <c r="XCI35" s="678"/>
      <c r="XCJ35" s="678"/>
      <c r="XCK35" s="678"/>
      <c r="XCL35" s="678"/>
      <c r="XCM35" s="678"/>
      <c r="XCN35" s="678"/>
      <c r="XCO35" s="678"/>
      <c r="XCP35" s="678"/>
      <c r="XCQ35" s="678"/>
      <c r="XCR35" s="678"/>
      <c r="XCS35" s="678"/>
      <c r="XCT35" s="678"/>
      <c r="XCU35" s="678"/>
      <c r="XCV35" s="678"/>
      <c r="XCW35" s="678"/>
      <c r="XCX35" s="678"/>
      <c r="XCY35" s="678"/>
      <c r="XCZ35" s="678"/>
      <c r="XDA35" s="678"/>
      <c r="XDB35" s="678"/>
      <c r="XDC35" s="678"/>
      <c r="XDD35" s="678"/>
      <c r="XDE35" s="678"/>
      <c r="XDF35" s="678"/>
      <c r="XDG35" s="678"/>
      <c r="XDH35" s="678"/>
      <c r="XDI35" s="678"/>
      <c r="XDJ35" s="678"/>
      <c r="XDK35" s="678"/>
      <c r="XDL35" s="678"/>
      <c r="XDM35" s="678"/>
      <c r="XDN35" s="678"/>
      <c r="XDO35" s="678"/>
      <c r="XDP35" s="678"/>
      <c r="XDQ35" s="678"/>
      <c r="XDR35" s="678"/>
      <c r="XDS35" s="678"/>
      <c r="XDT35" s="678"/>
      <c r="XDU35" s="678"/>
      <c r="XDV35" s="678"/>
      <c r="XDW35" s="678"/>
      <c r="XDX35" s="678"/>
      <c r="XDY35" s="678"/>
      <c r="XDZ35" s="678"/>
      <c r="XEA35" s="678"/>
      <c r="XEB35" s="678"/>
      <c r="XEC35" s="678"/>
      <c r="XED35" s="678"/>
      <c r="XEE35" s="678"/>
      <c r="XEF35" s="678"/>
      <c r="XEG35" s="678"/>
      <c r="XEH35" s="678"/>
      <c r="XEI35" s="678"/>
      <c r="XEJ35" s="678"/>
      <c r="XEK35" s="678"/>
      <c r="XEL35" s="678"/>
      <c r="XEM35" s="678"/>
      <c r="XEN35" s="678"/>
      <c r="XEO35" s="678"/>
      <c r="XEP35" s="678"/>
      <c r="XEQ35" s="678"/>
      <c r="XER35" s="678"/>
      <c r="XES35" s="678"/>
      <c r="XET35" s="678"/>
      <c r="XEU35" s="678"/>
      <c r="XEV35" s="678"/>
      <c r="XEW35" s="678"/>
      <c r="XEX35" s="678"/>
      <c r="XEY35" s="678"/>
      <c r="XEZ35" s="678"/>
      <c r="XFA35" s="678"/>
      <c r="XFB35" s="678"/>
    </row>
    <row r="36" spans="1:16382" ht="15" customHeight="1">
      <c r="A36" s="678" t="s">
        <v>304</v>
      </c>
      <c r="B36" s="678"/>
      <c r="C36" s="678"/>
      <c r="D36" s="678"/>
      <c r="E36" s="678"/>
      <c r="F36" s="678"/>
      <c r="G36" s="678"/>
      <c r="H36" s="678"/>
      <c r="I36" s="678"/>
      <c r="J36" s="678"/>
      <c r="K36" s="678"/>
      <c r="L36" s="678"/>
      <c r="M36" s="678"/>
      <c r="N36" s="7"/>
      <c r="O36" s="7"/>
      <c r="P36" s="7"/>
      <c r="Q36" s="7"/>
      <c r="R36" s="7"/>
      <c r="S36" s="7"/>
      <c r="T36" s="12"/>
      <c r="U36" s="12"/>
      <c r="V36" s="12"/>
      <c r="W36" s="12"/>
      <c r="X36" s="278"/>
      <c r="Y36" s="12"/>
      <c r="Z36" s="12"/>
      <c r="AA36" s="12"/>
      <c r="AB36" s="12"/>
      <c r="AC36" s="278"/>
      <c r="AD36" s="12"/>
      <c r="AE36" s="12"/>
      <c r="AF36" s="12"/>
      <c r="AG36" s="12"/>
      <c r="AH36" s="278"/>
      <c r="AI36" s="12"/>
      <c r="AJ36" s="647"/>
      <c r="AK36" s="7"/>
      <c r="AL36" s="434"/>
      <c r="AM36" s="434"/>
      <c r="AN36" s="434"/>
      <c r="AO36" s="434"/>
      <c r="AP36" s="434"/>
      <c r="AQ36" s="649"/>
      <c r="AR36" s="649"/>
      <c r="AS36" s="649"/>
      <c r="AT36" s="649"/>
      <c r="AU36" s="649"/>
      <c r="AW36" s="649"/>
      <c r="AX36" s="649"/>
      <c r="AY36" s="649"/>
      <c r="AZ36" s="649"/>
      <c r="BA36" s="649"/>
    </row>
    <row r="37" spans="1:16382" ht="15" customHeight="1">
      <c r="A37" s="378"/>
      <c r="B37" s="378"/>
      <c r="C37" s="378"/>
      <c r="D37" s="378"/>
      <c r="E37" s="378"/>
      <c r="F37" s="378"/>
      <c r="G37" s="378"/>
      <c r="H37" s="379"/>
      <c r="I37" s="380"/>
      <c r="T37" s="10"/>
      <c r="U37" s="10"/>
      <c r="V37" s="10"/>
      <c r="W37" s="10"/>
      <c r="X37" s="285"/>
      <c r="Y37" s="10"/>
      <c r="Z37" s="10"/>
      <c r="AA37" s="10"/>
      <c r="AB37" s="10"/>
      <c r="AC37" s="285"/>
      <c r="AD37" s="10"/>
      <c r="AE37" s="10"/>
      <c r="AF37" s="10"/>
      <c r="AG37" s="10"/>
      <c r="AH37" s="285"/>
      <c r="AI37" s="10"/>
      <c r="AJ37" s="646"/>
      <c r="AK37" s="7"/>
      <c r="AL37" s="10"/>
      <c r="AM37" s="10"/>
      <c r="AN37" s="285"/>
      <c r="AO37" s="10"/>
      <c r="AP37" s="10"/>
      <c r="AQ37" s="10"/>
      <c r="AR37" s="10"/>
      <c r="AS37" s="285"/>
      <c r="AT37" s="10"/>
      <c r="AU37" s="10"/>
      <c r="AW37" s="10"/>
      <c r="AX37" s="10"/>
      <c r="AY37" s="285"/>
      <c r="AZ37" s="10"/>
      <c r="BA37" s="10"/>
    </row>
    <row r="38" spans="1:16382" ht="15" customHeight="1">
      <c r="A38" s="685"/>
      <c r="B38" s="685"/>
      <c r="C38" s="685"/>
      <c r="D38" s="685"/>
      <c r="E38" s="685"/>
      <c r="F38" s="685"/>
      <c r="G38" s="685"/>
      <c r="H38" s="685"/>
      <c r="I38" s="685"/>
      <c r="J38" s="685"/>
      <c r="K38" s="685"/>
      <c r="L38" s="685"/>
      <c r="M38" s="685"/>
      <c r="N38" s="7"/>
      <c r="O38" s="7"/>
      <c r="P38" s="7"/>
      <c r="Q38" s="7"/>
      <c r="R38" s="7"/>
      <c r="S38" s="7"/>
      <c r="T38" s="12"/>
      <c r="U38" s="12"/>
      <c r="V38" s="12"/>
      <c r="W38" s="12"/>
      <c r="X38" s="278"/>
      <c r="Y38" s="12"/>
      <c r="Z38" s="12"/>
      <c r="AA38" s="12"/>
      <c r="AB38" s="12"/>
      <c r="AC38" s="278"/>
      <c r="AD38" s="12"/>
      <c r="AE38" s="12"/>
      <c r="AF38" s="12"/>
      <c r="AG38" s="12"/>
      <c r="AH38" s="278"/>
      <c r="AI38" s="12"/>
      <c r="AJ38" s="647"/>
      <c r="AK38" s="7"/>
      <c r="AL38" s="12"/>
      <c r="AM38" s="12"/>
      <c r="AN38" s="278"/>
      <c r="AO38" s="12"/>
      <c r="AP38" s="12"/>
      <c r="AQ38" s="12"/>
      <c r="AR38" s="12"/>
      <c r="AS38" s="278"/>
      <c r="AT38" s="12"/>
      <c r="AU38" s="12"/>
      <c r="AW38" s="12"/>
      <c r="AX38" s="12"/>
      <c r="AY38" s="278"/>
      <c r="AZ38" s="12"/>
      <c r="BA38" s="12"/>
    </row>
    <row r="39" spans="1:16382" ht="15" customHeight="1">
      <c r="A39" s="377"/>
      <c r="B39" s="378"/>
      <c r="C39" s="378"/>
      <c r="D39" s="378"/>
      <c r="E39" s="378"/>
      <c r="F39" s="378"/>
      <c r="G39" s="378"/>
      <c r="H39" s="379"/>
      <c r="I39" s="380"/>
      <c r="T39" s="10"/>
      <c r="U39" s="10"/>
      <c r="V39" s="10"/>
      <c r="W39" s="10"/>
      <c r="X39" s="285"/>
      <c r="Y39" s="10"/>
      <c r="Z39" s="10"/>
      <c r="AA39" s="10"/>
      <c r="AB39" s="10"/>
      <c r="AC39" s="285"/>
      <c r="AD39" s="10"/>
      <c r="AE39" s="10"/>
      <c r="AF39" s="10"/>
      <c r="AG39" s="10"/>
      <c r="AH39" s="285"/>
      <c r="AI39" s="10"/>
      <c r="AJ39" s="646"/>
      <c r="AK39" s="7"/>
      <c r="AL39" s="10"/>
      <c r="AM39" s="10"/>
      <c r="AN39" s="285"/>
      <c r="AO39" s="10"/>
      <c r="AP39" s="10"/>
      <c r="AQ39" s="10"/>
      <c r="AR39" s="10"/>
      <c r="AS39" s="285"/>
      <c r="AT39" s="10"/>
      <c r="AU39" s="10"/>
      <c r="AW39" s="10"/>
      <c r="AX39" s="10"/>
      <c r="AY39" s="285"/>
      <c r="AZ39" s="10"/>
      <c r="BA39" s="10"/>
    </row>
    <row r="40" spans="1:16382" ht="28.5" customHeight="1">
      <c r="A40" s="377"/>
      <c r="B40" s="378"/>
      <c r="C40" s="378"/>
      <c r="D40" s="378"/>
      <c r="E40" s="378"/>
      <c r="F40" s="378"/>
      <c r="G40" s="378"/>
      <c r="H40" s="379"/>
      <c r="I40" s="380"/>
      <c r="T40" s="10"/>
      <c r="U40" s="10"/>
      <c r="V40" s="10"/>
      <c r="W40" s="10"/>
      <c r="X40" s="285"/>
      <c r="Y40" s="10"/>
      <c r="Z40" s="10"/>
      <c r="AA40" s="10"/>
      <c r="AB40" s="10"/>
      <c r="AC40" s="285"/>
      <c r="AD40" s="10"/>
      <c r="AE40" s="10"/>
      <c r="AF40" s="10"/>
      <c r="AG40" s="10"/>
      <c r="AH40" s="285"/>
      <c r="AI40" s="10"/>
      <c r="AJ40" s="646"/>
      <c r="AK40" s="7"/>
      <c r="AL40" s="10"/>
      <c r="AM40" s="10"/>
      <c r="AN40" s="285"/>
      <c r="AO40" s="10"/>
      <c r="AP40" s="10"/>
      <c r="AQ40" s="10"/>
      <c r="AR40" s="10"/>
      <c r="AS40" s="285"/>
      <c r="AT40" s="10"/>
      <c r="AU40" s="10"/>
      <c r="AW40" s="10"/>
      <c r="AX40" s="10"/>
      <c r="AY40" s="285"/>
      <c r="AZ40" s="10"/>
      <c r="BA40" s="10"/>
    </row>
    <row r="41" spans="1:16382" ht="28.5" customHeight="1">
      <c r="A41" s="377"/>
      <c r="B41" s="378"/>
      <c r="C41" s="378"/>
      <c r="D41" s="378"/>
      <c r="E41" s="378"/>
      <c r="F41" s="378"/>
      <c r="G41" s="378"/>
      <c r="H41" s="379"/>
      <c r="I41" s="380"/>
      <c r="T41" s="10"/>
      <c r="U41" s="10"/>
      <c r="V41" s="10"/>
      <c r="W41" s="10"/>
      <c r="X41" s="285"/>
      <c r="Y41" s="10"/>
      <c r="Z41" s="10"/>
      <c r="AA41" s="10"/>
      <c r="AB41" s="10"/>
      <c r="AC41" s="285"/>
      <c r="AD41" s="10"/>
      <c r="AE41" s="10"/>
      <c r="AF41" s="10"/>
      <c r="AG41" s="10"/>
      <c r="AH41" s="285"/>
      <c r="AI41" s="10"/>
      <c r="AJ41" s="646"/>
      <c r="AK41" s="7"/>
      <c r="AL41" s="10"/>
      <c r="AM41" s="10"/>
      <c r="AN41" s="285"/>
      <c r="AO41" s="10"/>
      <c r="AP41" s="10"/>
      <c r="AQ41" s="10"/>
      <c r="AR41" s="10"/>
      <c r="AS41" s="285"/>
      <c r="AT41" s="10"/>
      <c r="AU41" s="10"/>
      <c r="AW41" s="10"/>
      <c r="AX41" s="10"/>
      <c r="AY41" s="285"/>
      <c r="AZ41" s="10"/>
      <c r="BA41" s="10"/>
    </row>
    <row r="42" spans="1:16382" ht="28.5" customHeight="1">
      <c r="A42" s="377"/>
      <c r="B42" s="378"/>
      <c r="C42" s="378"/>
      <c r="D42" s="378"/>
      <c r="E42" s="378"/>
      <c r="F42" s="378"/>
      <c r="G42" s="378"/>
      <c r="H42" s="379"/>
      <c r="I42" s="380"/>
      <c r="T42" s="10"/>
      <c r="U42" s="10"/>
      <c r="V42" s="10"/>
      <c r="W42" s="10"/>
      <c r="X42" s="285"/>
      <c r="Y42" s="10"/>
      <c r="Z42" s="10"/>
      <c r="AA42" s="10"/>
      <c r="AB42" s="10"/>
      <c r="AC42" s="285"/>
      <c r="AD42" s="10"/>
      <c r="AE42" s="10"/>
      <c r="AF42" s="10"/>
      <c r="AG42" s="10"/>
      <c r="AH42" s="285"/>
      <c r="AI42" s="10"/>
      <c r="AJ42" s="646"/>
      <c r="AK42" s="7"/>
      <c r="AL42" s="10"/>
      <c r="AM42" s="10"/>
      <c r="AN42" s="285"/>
      <c r="AO42" s="10"/>
      <c r="AP42" s="10"/>
      <c r="AQ42" s="10"/>
      <c r="AR42" s="10"/>
      <c r="AS42" s="285"/>
      <c r="AT42" s="10"/>
      <c r="AU42" s="10"/>
      <c r="AW42" s="10"/>
      <c r="AX42" s="10"/>
      <c r="AY42" s="285"/>
      <c r="AZ42" s="10"/>
      <c r="BA42" s="10"/>
    </row>
    <row r="43" spans="1:16382" ht="28.5" customHeight="1">
      <c r="A43" s="377"/>
      <c r="B43" s="378"/>
      <c r="C43" s="378"/>
      <c r="D43" s="378"/>
      <c r="E43" s="378"/>
      <c r="F43" s="378"/>
      <c r="G43" s="378"/>
      <c r="H43" s="379"/>
      <c r="I43" s="380"/>
      <c r="T43" s="10"/>
      <c r="U43" s="10"/>
      <c r="V43" s="10"/>
      <c r="W43" s="10"/>
      <c r="X43" s="285"/>
      <c r="Y43" s="10"/>
      <c r="Z43" s="10"/>
      <c r="AA43" s="10"/>
      <c r="AB43" s="10"/>
      <c r="AC43" s="285"/>
      <c r="AD43" s="10"/>
      <c r="AE43" s="10"/>
      <c r="AF43" s="10"/>
      <c r="AG43" s="10"/>
      <c r="AH43" s="285"/>
      <c r="AI43" s="10"/>
      <c r="AJ43" s="646"/>
      <c r="AK43" s="7"/>
      <c r="AL43" s="10"/>
      <c r="AM43" s="10"/>
      <c r="AN43" s="285"/>
      <c r="AO43" s="10"/>
      <c r="AP43" s="10"/>
      <c r="AQ43" s="10"/>
      <c r="AR43" s="10"/>
      <c r="AS43" s="285"/>
      <c r="AT43" s="10"/>
      <c r="AU43" s="10"/>
      <c r="AW43" s="10"/>
      <c r="AX43" s="10"/>
      <c r="AY43" s="285"/>
      <c r="AZ43" s="10"/>
      <c r="BA43" s="10"/>
    </row>
    <row r="44" spans="1:16382" ht="28.5" customHeight="1">
      <c r="A44" s="377"/>
      <c r="B44" s="378"/>
      <c r="C44" s="378"/>
      <c r="D44" s="378"/>
      <c r="E44" s="378"/>
      <c r="F44" s="378"/>
      <c r="G44" s="378"/>
      <c r="H44" s="379"/>
      <c r="I44" s="380"/>
      <c r="T44" s="10"/>
      <c r="U44" s="10"/>
      <c r="V44" s="10"/>
      <c r="W44" s="10"/>
      <c r="X44" s="285"/>
      <c r="Y44" s="10"/>
      <c r="Z44" s="10"/>
      <c r="AA44" s="10"/>
      <c r="AB44" s="10"/>
      <c r="AC44" s="285"/>
      <c r="AD44" s="10"/>
      <c r="AE44" s="10"/>
      <c r="AF44" s="10"/>
      <c r="AG44" s="10"/>
      <c r="AH44" s="285"/>
      <c r="AI44" s="10"/>
      <c r="AJ44" s="646"/>
      <c r="AK44" s="7"/>
      <c r="AL44" s="10"/>
      <c r="AM44" s="10"/>
      <c r="AN44" s="285"/>
      <c r="AO44" s="10"/>
      <c r="AP44" s="10"/>
      <c r="AQ44" s="10"/>
      <c r="AR44" s="10"/>
      <c r="AS44" s="285"/>
      <c r="AT44" s="10"/>
      <c r="AU44" s="10"/>
      <c r="AW44" s="10"/>
      <c r="AX44" s="10"/>
      <c r="AY44" s="285"/>
      <c r="AZ44" s="10"/>
      <c r="BA44" s="10"/>
    </row>
    <row r="45" spans="1:16382" ht="28.5" customHeight="1">
      <c r="A45" s="377"/>
      <c r="B45" s="378"/>
      <c r="C45" s="378"/>
      <c r="D45" s="378"/>
      <c r="E45" s="378"/>
      <c r="F45" s="378"/>
      <c r="G45" s="378"/>
      <c r="H45" s="379"/>
      <c r="I45" s="380"/>
      <c r="T45" s="10"/>
      <c r="U45" s="10"/>
      <c r="V45" s="10"/>
      <c r="W45" s="10"/>
      <c r="X45" s="285"/>
      <c r="Y45" s="10"/>
      <c r="Z45" s="10"/>
      <c r="AA45" s="10"/>
      <c r="AB45" s="10"/>
      <c r="AC45" s="285"/>
      <c r="AD45" s="10"/>
      <c r="AE45" s="10"/>
      <c r="AF45" s="10"/>
      <c r="AG45" s="10"/>
      <c r="AH45" s="285"/>
      <c r="AI45" s="10"/>
      <c r="AJ45" s="646"/>
      <c r="AK45" s="7"/>
      <c r="AL45" s="10"/>
      <c r="AM45" s="10"/>
      <c r="AN45" s="285"/>
      <c r="AO45" s="10"/>
      <c r="AP45" s="10"/>
      <c r="AQ45" s="10"/>
      <c r="AR45" s="10"/>
      <c r="AS45" s="285"/>
      <c r="AT45" s="10"/>
      <c r="AU45" s="10"/>
      <c r="AW45" s="10"/>
      <c r="AX45" s="10"/>
      <c r="AY45" s="285"/>
      <c r="AZ45" s="10"/>
      <c r="BA45" s="10"/>
    </row>
    <row r="46" spans="1:16382" ht="28.5" customHeight="1">
      <c r="A46" s="377"/>
      <c r="B46" s="378"/>
      <c r="C46" s="378"/>
      <c r="D46" s="378"/>
      <c r="E46" s="378"/>
      <c r="F46" s="378"/>
      <c r="G46" s="378"/>
      <c r="H46" s="379"/>
      <c r="I46" s="380"/>
      <c r="T46" s="10"/>
      <c r="U46" s="10"/>
      <c r="V46" s="10"/>
      <c r="W46" s="10"/>
      <c r="X46" s="285"/>
      <c r="Y46" s="10"/>
      <c r="Z46" s="10"/>
      <c r="AA46" s="10"/>
      <c r="AB46" s="10"/>
      <c r="AC46" s="285"/>
      <c r="AD46" s="10"/>
      <c r="AE46" s="10"/>
      <c r="AF46" s="10"/>
      <c r="AG46" s="10"/>
      <c r="AH46" s="285"/>
      <c r="AI46" s="10"/>
      <c r="AJ46" s="646"/>
      <c r="AK46" s="7"/>
      <c r="AL46" s="10"/>
      <c r="AM46" s="10"/>
      <c r="AN46" s="285"/>
      <c r="AO46" s="10"/>
      <c r="AP46" s="10"/>
      <c r="AQ46" s="10"/>
      <c r="AR46" s="10"/>
      <c r="AS46" s="285"/>
      <c r="AT46" s="10"/>
      <c r="AU46" s="10"/>
      <c r="AW46" s="10"/>
      <c r="AX46" s="10"/>
      <c r="AY46" s="285"/>
      <c r="AZ46" s="10"/>
      <c r="BA46" s="10"/>
    </row>
    <row r="47" spans="1:16382" ht="28.5" customHeight="1">
      <c r="A47" s="377"/>
      <c r="B47" s="378"/>
      <c r="C47" s="378"/>
      <c r="D47" s="378"/>
      <c r="E47" s="378"/>
      <c r="F47" s="378"/>
      <c r="G47" s="378"/>
      <c r="H47" s="379"/>
      <c r="I47" s="380"/>
      <c r="T47" s="10"/>
      <c r="U47" s="10"/>
      <c r="V47" s="10"/>
      <c r="W47" s="10"/>
      <c r="X47" s="285"/>
      <c r="Y47" s="10"/>
      <c r="Z47" s="10"/>
      <c r="AA47" s="10"/>
      <c r="AB47" s="10"/>
      <c r="AC47" s="285"/>
      <c r="AD47" s="10"/>
      <c r="AE47" s="10"/>
      <c r="AF47" s="10"/>
      <c r="AG47" s="10"/>
      <c r="AH47" s="285"/>
      <c r="AI47" s="10"/>
      <c r="AJ47" s="646"/>
      <c r="AK47" s="7"/>
      <c r="AL47" s="10"/>
      <c r="AM47" s="10"/>
      <c r="AN47" s="285"/>
      <c r="AO47" s="10"/>
      <c r="AP47" s="10"/>
      <c r="AQ47" s="10"/>
      <c r="AR47" s="10"/>
      <c r="AS47" s="285"/>
      <c r="AT47" s="10"/>
      <c r="AU47" s="10"/>
      <c r="AW47" s="10"/>
      <c r="AX47" s="10"/>
      <c r="AY47" s="285"/>
      <c r="AZ47" s="10"/>
      <c r="BA47" s="10"/>
    </row>
    <row r="48" spans="1:16382" ht="28.5" customHeight="1">
      <c r="A48" s="377"/>
      <c r="B48" s="378"/>
      <c r="C48" s="378"/>
      <c r="D48" s="378"/>
      <c r="E48" s="378"/>
      <c r="F48" s="378"/>
      <c r="G48" s="378"/>
      <c r="H48" s="379"/>
      <c r="I48" s="380"/>
      <c r="T48" s="10"/>
      <c r="U48" s="10"/>
      <c r="V48" s="10"/>
      <c r="W48" s="10"/>
      <c r="X48" s="285"/>
      <c r="Y48" s="10"/>
      <c r="Z48" s="10"/>
      <c r="AA48" s="10"/>
      <c r="AB48" s="10"/>
      <c r="AC48" s="285"/>
      <c r="AD48" s="10"/>
      <c r="AE48" s="10"/>
      <c r="AF48" s="10"/>
      <c r="AG48" s="10"/>
      <c r="AH48" s="285"/>
      <c r="AI48" s="10"/>
      <c r="AJ48" s="646"/>
      <c r="AK48" s="7"/>
      <c r="AL48" s="10"/>
      <c r="AM48" s="10"/>
      <c r="AN48" s="285"/>
      <c r="AO48" s="10"/>
      <c r="AP48" s="10"/>
      <c r="AQ48" s="10"/>
      <c r="AR48" s="10"/>
      <c r="AS48" s="285"/>
      <c r="AT48" s="10"/>
      <c r="AU48" s="10"/>
      <c r="AW48" s="10"/>
      <c r="AX48" s="10"/>
      <c r="AY48" s="285"/>
      <c r="AZ48" s="10"/>
      <c r="BA48" s="10"/>
    </row>
    <row r="49" spans="1:37" ht="28.5" customHeight="1">
      <c r="A49" s="377"/>
      <c r="B49" s="378"/>
      <c r="C49" s="378"/>
      <c r="D49" s="378"/>
      <c r="E49" s="378"/>
      <c r="F49" s="378"/>
      <c r="G49" s="378"/>
      <c r="H49" s="379"/>
      <c r="I49" s="380"/>
      <c r="AK49" s="7"/>
    </row>
    <row r="50" spans="1:37" ht="28.5" customHeight="1">
      <c r="AK50" s="7"/>
    </row>
    <row r="51" spans="1:37" ht="28.5" customHeight="1">
      <c r="AK51" s="7"/>
    </row>
    <row r="52" spans="1:37" ht="28.5" customHeight="1">
      <c r="AK52" s="7"/>
    </row>
  </sheetData>
  <mergeCells count="2901">
    <mergeCell ref="XBZ35:XCP35"/>
    <mergeCell ref="XCQ35:XDG35"/>
    <mergeCell ref="XDH35:XDX35"/>
    <mergeCell ref="XDY35:XEO35"/>
    <mergeCell ref="XEP35:XFB35"/>
    <mergeCell ref="WYS35:WZI35"/>
    <mergeCell ref="WZJ35:WZZ35"/>
    <mergeCell ref="XAA35:XAQ35"/>
    <mergeCell ref="XAR35:XBH35"/>
    <mergeCell ref="XBI35:XBY35"/>
    <mergeCell ref="WVL35:WWB35"/>
    <mergeCell ref="WWC35:WWS35"/>
    <mergeCell ref="WWT35:WXJ35"/>
    <mergeCell ref="WXK35:WYA35"/>
    <mergeCell ref="WYB35:WYR35"/>
    <mergeCell ref="WSE35:WSU35"/>
    <mergeCell ref="WSV35:WTL35"/>
    <mergeCell ref="WTM35:WUC35"/>
    <mergeCell ref="WUD35:WUT35"/>
    <mergeCell ref="WUU35:WVK35"/>
    <mergeCell ref="WOX35:WPN35"/>
    <mergeCell ref="WPO35:WQE35"/>
    <mergeCell ref="WQF35:WQV35"/>
    <mergeCell ref="WQW35:WRM35"/>
    <mergeCell ref="WRN35:WSD35"/>
    <mergeCell ref="WLQ35:WMG35"/>
    <mergeCell ref="WMH35:WMX35"/>
    <mergeCell ref="WMY35:WNO35"/>
    <mergeCell ref="WNP35:WOF35"/>
    <mergeCell ref="WOG35:WOW35"/>
    <mergeCell ref="WIJ35:WIZ35"/>
    <mergeCell ref="WJA35:WJQ35"/>
    <mergeCell ref="WJR35:WKH35"/>
    <mergeCell ref="WKI35:WKY35"/>
    <mergeCell ref="WKZ35:WLP35"/>
    <mergeCell ref="WFC35:WFS35"/>
    <mergeCell ref="WFT35:WGJ35"/>
    <mergeCell ref="WGK35:WHA35"/>
    <mergeCell ref="WHB35:WHR35"/>
    <mergeCell ref="WHS35:WII35"/>
    <mergeCell ref="WBV35:WCL35"/>
    <mergeCell ref="WCM35:WDC35"/>
    <mergeCell ref="WDD35:WDT35"/>
    <mergeCell ref="WDU35:WEK35"/>
    <mergeCell ref="WEL35:WFB35"/>
    <mergeCell ref="VYO35:VZE35"/>
    <mergeCell ref="VZF35:VZV35"/>
    <mergeCell ref="VZW35:WAM35"/>
    <mergeCell ref="WAN35:WBD35"/>
    <mergeCell ref="WBE35:WBU35"/>
    <mergeCell ref="VVH35:VVX35"/>
    <mergeCell ref="VVY35:VWO35"/>
    <mergeCell ref="VWP35:VXF35"/>
    <mergeCell ref="VXG35:VXW35"/>
    <mergeCell ref="VXX35:VYN35"/>
    <mergeCell ref="VSA35:VSQ35"/>
    <mergeCell ref="VSR35:VTH35"/>
    <mergeCell ref="VTI35:VTY35"/>
    <mergeCell ref="VTZ35:VUP35"/>
    <mergeCell ref="VUQ35:VVG35"/>
    <mergeCell ref="VOT35:VPJ35"/>
    <mergeCell ref="VPK35:VQA35"/>
    <mergeCell ref="VQB35:VQR35"/>
    <mergeCell ref="VQS35:VRI35"/>
    <mergeCell ref="VRJ35:VRZ35"/>
    <mergeCell ref="VLM35:VMC35"/>
    <mergeCell ref="VMD35:VMT35"/>
    <mergeCell ref="VMU35:VNK35"/>
    <mergeCell ref="VNL35:VOB35"/>
    <mergeCell ref="VOC35:VOS35"/>
    <mergeCell ref="VIF35:VIV35"/>
    <mergeCell ref="VIW35:VJM35"/>
    <mergeCell ref="VJN35:VKD35"/>
    <mergeCell ref="VKE35:VKU35"/>
    <mergeCell ref="VKV35:VLL35"/>
    <mergeCell ref="VEY35:VFO35"/>
    <mergeCell ref="VFP35:VGF35"/>
    <mergeCell ref="VGG35:VGW35"/>
    <mergeCell ref="VGX35:VHN35"/>
    <mergeCell ref="VHO35:VIE35"/>
    <mergeCell ref="VBR35:VCH35"/>
    <mergeCell ref="VCI35:VCY35"/>
    <mergeCell ref="VCZ35:VDP35"/>
    <mergeCell ref="VDQ35:VEG35"/>
    <mergeCell ref="VEH35:VEX35"/>
    <mergeCell ref="UYK35:UZA35"/>
    <mergeCell ref="UZB35:UZR35"/>
    <mergeCell ref="UZS35:VAI35"/>
    <mergeCell ref="VAJ35:VAZ35"/>
    <mergeCell ref="VBA35:VBQ35"/>
    <mergeCell ref="UVD35:UVT35"/>
    <mergeCell ref="UVU35:UWK35"/>
    <mergeCell ref="UWL35:UXB35"/>
    <mergeCell ref="UXC35:UXS35"/>
    <mergeCell ref="UXT35:UYJ35"/>
    <mergeCell ref="URW35:USM35"/>
    <mergeCell ref="USN35:UTD35"/>
    <mergeCell ref="UTE35:UTU35"/>
    <mergeCell ref="UTV35:UUL35"/>
    <mergeCell ref="UUM35:UVC35"/>
    <mergeCell ref="UOP35:UPF35"/>
    <mergeCell ref="UPG35:UPW35"/>
    <mergeCell ref="UPX35:UQN35"/>
    <mergeCell ref="UQO35:URE35"/>
    <mergeCell ref="URF35:URV35"/>
    <mergeCell ref="ULI35:ULY35"/>
    <mergeCell ref="ULZ35:UMP35"/>
    <mergeCell ref="UMQ35:UNG35"/>
    <mergeCell ref="UNH35:UNX35"/>
    <mergeCell ref="UNY35:UOO35"/>
    <mergeCell ref="UIB35:UIR35"/>
    <mergeCell ref="UIS35:UJI35"/>
    <mergeCell ref="UJJ35:UJZ35"/>
    <mergeCell ref="UKA35:UKQ35"/>
    <mergeCell ref="UKR35:ULH35"/>
    <mergeCell ref="UEU35:UFK35"/>
    <mergeCell ref="UFL35:UGB35"/>
    <mergeCell ref="UGC35:UGS35"/>
    <mergeCell ref="UGT35:UHJ35"/>
    <mergeCell ref="UHK35:UIA35"/>
    <mergeCell ref="UBN35:UCD35"/>
    <mergeCell ref="UCE35:UCU35"/>
    <mergeCell ref="UCV35:UDL35"/>
    <mergeCell ref="UDM35:UEC35"/>
    <mergeCell ref="UED35:UET35"/>
    <mergeCell ref="TYG35:TYW35"/>
    <mergeCell ref="TYX35:TZN35"/>
    <mergeCell ref="TZO35:UAE35"/>
    <mergeCell ref="UAF35:UAV35"/>
    <mergeCell ref="UAW35:UBM35"/>
    <mergeCell ref="TUZ35:TVP35"/>
    <mergeCell ref="TVQ35:TWG35"/>
    <mergeCell ref="TWH35:TWX35"/>
    <mergeCell ref="TWY35:TXO35"/>
    <mergeCell ref="TXP35:TYF35"/>
    <mergeCell ref="TRS35:TSI35"/>
    <mergeCell ref="TSJ35:TSZ35"/>
    <mergeCell ref="TTA35:TTQ35"/>
    <mergeCell ref="TTR35:TUH35"/>
    <mergeCell ref="TUI35:TUY35"/>
    <mergeCell ref="TOL35:TPB35"/>
    <mergeCell ref="TPC35:TPS35"/>
    <mergeCell ref="TPT35:TQJ35"/>
    <mergeCell ref="TQK35:TRA35"/>
    <mergeCell ref="TRB35:TRR35"/>
    <mergeCell ref="TLE35:TLU35"/>
    <mergeCell ref="TLV35:TML35"/>
    <mergeCell ref="TMM35:TNC35"/>
    <mergeCell ref="TND35:TNT35"/>
    <mergeCell ref="TNU35:TOK35"/>
    <mergeCell ref="THX35:TIN35"/>
    <mergeCell ref="TIO35:TJE35"/>
    <mergeCell ref="TJF35:TJV35"/>
    <mergeCell ref="TJW35:TKM35"/>
    <mergeCell ref="TKN35:TLD35"/>
    <mergeCell ref="TEQ35:TFG35"/>
    <mergeCell ref="TFH35:TFX35"/>
    <mergeCell ref="TFY35:TGO35"/>
    <mergeCell ref="TGP35:THF35"/>
    <mergeCell ref="THG35:THW35"/>
    <mergeCell ref="TBJ35:TBZ35"/>
    <mergeCell ref="TCA35:TCQ35"/>
    <mergeCell ref="TCR35:TDH35"/>
    <mergeCell ref="TDI35:TDY35"/>
    <mergeCell ref="TDZ35:TEP35"/>
    <mergeCell ref="SYC35:SYS35"/>
    <mergeCell ref="SYT35:SZJ35"/>
    <mergeCell ref="SZK35:TAA35"/>
    <mergeCell ref="TAB35:TAR35"/>
    <mergeCell ref="TAS35:TBI35"/>
    <mergeCell ref="SUV35:SVL35"/>
    <mergeCell ref="SVM35:SWC35"/>
    <mergeCell ref="SWD35:SWT35"/>
    <mergeCell ref="SWU35:SXK35"/>
    <mergeCell ref="SXL35:SYB35"/>
    <mergeCell ref="SRO35:SSE35"/>
    <mergeCell ref="SSF35:SSV35"/>
    <mergeCell ref="SSW35:STM35"/>
    <mergeCell ref="STN35:SUD35"/>
    <mergeCell ref="SUE35:SUU35"/>
    <mergeCell ref="SOH35:SOX35"/>
    <mergeCell ref="SOY35:SPO35"/>
    <mergeCell ref="SPP35:SQF35"/>
    <mergeCell ref="SQG35:SQW35"/>
    <mergeCell ref="SQX35:SRN35"/>
    <mergeCell ref="SLA35:SLQ35"/>
    <mergeCell ref="SLR35:SMH35"/>
    <mergeCell ref="SMI35:SMY35"/>
    <mergeCell ref="SMZ35:SNP35"/>
    <mergeCell ref="SNQ35:SOG35"/>
    <mergeCell ref="SHT35:SIJ35"/>
    <mergeCell ref="SIK35:SJA35"/>
    <mergeCell ref="SJB35:SJR35"/>
    <mergeCell ref="SJS35:SKI35"/>
    <mergeCell ref="SKJ35:SKZ35"/>
    <mergeCell ref="SEM35:SFC35"/>
    <mergeCell ref="SFD35:SFT35"/>
    <mergeCell ref="SFU35:SGK35"/>
    <mergeCell ref="SGL35:SHB35"/>
    <mergeCell ref="SHC35:SHS35"/>
    <mergeCell ref="SBF35:SBV35"/>
    <mergeCell ref="SBW35:SCM35"/>
    <mergeCell ref="SCN35:SDD35"/>
    <mergeCell ref="SDE35:SDU35"/>
    <mergeCell ref="SDV35:SEL35"/>
    <mergeCell ref="RXY35:RYO35"/>
    <mergeCell ref="RYP35:RZF35"/>
    <mergeCell ref="RZG35:RZW35"/>
    <mergeCell ref="RZX35:SAN35"/>
    <mergeCell ref="SAO35:SBE35"/>
    <mergeCell ref="RUR35:RVH35"/>
    <mergeCell ref="RVI35:RVY35"/>
    <mergeCell ref="RVZ35:RWP35"/>
    <mergeCell ref="RWQ35:RXG35"/>
    <mergeCell ref="RXH35:RXX35"/>
    <mergeCell ref="RRK35:RSA35"/>
    <mergeCell ref="RSB35:RSR35"/>
    <mergeCell ref="RSS35:RTI35"/>
    <mergeCell ref="RTJ35:RTZ35"/>
    <mergeCell ref="RUA35:RUQ35"/>
    <mergeCell ref="ROD35:ROT35"/>
    <mergeCell ref="ROU35:RPK35"/>
    <mergeCell ref="RPL35:RQB35"/>
    <mergeCell ref="RQC35:RQS35"/>
    <mergeCell ref="RQT35:RRJ35"/>
    <mergeCell ref="RKW35:RLM35"/>
    <mergeCell ref="RLN35:RMD35"/>
    <mergeCell ref="RME35:RMU35"/>
    <mergeCell ref="RMV35:RNL35"/>
    <mergeCell ref="RNM35:ROC35"/>
    <mergeCell ref="RHP35:RIF35"/>
    <mergeCell ref="RIG35:RIW35"/>
    <mergeCell ref="RIX35:RJN35"/>
    <mergeCell ref="RJO35:RKE35"/>
    <mergeCell ref="RKF35:RKV35"/>
    <mergeCell ref="REI35:REY35"/>
    <mergeCell ref="REZ35:RFP35"/>
    <mergeCell ref="RFQ35:RGG35"/>
    <mergeCell ref="RGH35:RGX35"/>
    <mergeCell ref="RGY35:RHO35"/>
    <mergeCell ref="RBB35:RBR35"/>
    <mergeCell ref="RBS35:RCI35"/>
    <mergeCell ref="RCJ35:RCZ35"/>
    <mergeCell ref="RDA35:RDQ35"/>
    <mergeCell ref="RDR35:REH35"/>
    <mergeCell ref="QXU35:QYK35"/>
    <mergeCell ref="QYL35:QZB35"/>
    <mergeCell ref="QZC35:QZS35"/>
    <mergeCell ref="QZT35:RAJ35"/>
    <mergeCell ref="RAK35:RBA35"/>
    <mergeCell ref="QUN35:QVD35"/>
    <mergeCell ref="QVE35:QVU35"/>
    <mergeCell ref="QVV35:QWL35"/>
    <mergeCell ref="QWM35:QXC35"/>
    <mergeCell ref="QXD35:QXT35"/>
    <mergeCell ref="QRG35:QRW35"/>
    <mergeCell ref="QRX35:QSN35"/>
    <mergeCell ref="QSO35:QTE35"/>
    <mergeCell ref="QTF35:QTV35"/>
    <mergeCell ref="QTW35:QUM35"/>
    <mergeCell ref="QNZ35:QOP35"/>
    <mergeCell ref="QOQ35:QPG35"/>
    <mergeCell ref="QPH35:QPX35"/>
    <mergeCell ref="QPY35:QQO35"/>
    <mergeCell ref="QQP35:QRF35"/>
    <mergeCell ref="QKS35:QLI35"/>
    <mergeCell ref="QLJ35:QLZ35"/>
    <mergeCell ref="QMA35:QMQ35"/>
    <mergeCell ref="QMR35:QNH35"/>
    <mergeCell ref="QNI35:QNY35"/>
    <mergeCell ref="QHL35:QIB35"/>
    <mergeCell ref="QIC35:QIS35"/>
    <mergeCell ref="QIT35:QJJ35"/>
    <mergeCell ref="QJK35:QKA35"/>
    <mergeCell ref="QKB35:QKR35"/>
    <mergeCell ref="QEE35:QEU35"/>
    <mergeCell ref="QEV35:QFL35"/>
    <mergeCell ref="QFM35:QGC35"/>
    <mergeCell ref="QGD35:QGT35"/>
    <mergeCell ref="QGU35:QHK35"/>
    <mergeCell ref="QAX35:QBN35"/>
    <mergeCell ref="QBO35:QCE35"/>
    <mergeCell ref="QCF35:QCV35"/>
    <mergeCell ref="QCW35:QDM35"/>
    <mergeCell ref="QDN35:QED35"/>
    <mergeCell ref="PXQ35:PYG35"/>
    <mergeCell ref="PYH35:PYX35"/>
    <mergeCell ref="PYY35:PZO35"/>
    <mergeCell ref="PZP35:QAF35"/>
    <mergeCell ref="QAG35:QAW35"/>
    <mergeCell ref="PUJ35:PUZ35"/>
    <mergeCell ref="PVA35:PVQ35"/>
    <mergeCell ref="PVR35:PWH35"/>
    <mergeCell ref="PWI35:PWY35"/>
    <mergeCell ref="PWZ35:PXP35"/>
    <mergeCell ref="PRC35:PRS35"/>
    <mergeCell ref="PRT35:PSJ35"/>
    <mergeCell ref="PSK35:PTA35"/>
    <mergeCell ref="PTB35:PTR35"/>
    <mergeCell ref="PTS35:PUI35"/>
    <mergeCell ref="PNV35:POL35"/>
    <mergeCell ref="POM35:PPC35"/>
    <mergeCell ref="PPD35:PPT35"/>
    <mergeCell ref="PPU35:PQK35"/>
    <mergeCell ref="PQL35:PRB35"/>
    <mergeCell ref="PKO35:PLE35"/>
    <mergeCell ref="PLF35:PLV35"/>
    <mergeCell ref="PLW35:PMM35"/>
    <mergeCell ref="PMN35:PND35"/>
    <mergeCell ref="PNE35:PNU35"/>
    <mergeCell ref="PHH35:PHX35"/>
    <mergeCell ref="PHY35:PIO35"/>
    <mergeCell ref="PIP35:PJF35"/>
    <mergeCell ref="PJG35:PJW35"/>
    <mergeCell ref="PJX35:PKN35"/>
    <mergeCell ref="PEA35:PEQ35"/>
    <mergeCell ref="PER35:PFH35"/>
    <mergeCell ref="PFI35:PFY35"/>
    <mergeCell ref="PFZ35:PGP35"/>
    <mergeCell ref="PGQ35:PHG35"/>
    <mergeCell ref="PAT35:PBJ35"/>
    <mergeCell ref="PBK35:PCA35"/>
    <mergeCell ref="PCB35:PCR35"/>
    <mergeCell ref="PCS35:PDI35"/>
    <mergeCell ref="PDJ35:PDZ35"/>
    <mergeCell ref="OXM35:OYC35"/>
    <mergeCell ref="OYD35:OYT35"/>
    <mergeCell ref="OYU35:OZK35"/>
    <mergeCell ref="OZL35:PAB35"/>
    <mergeCell ref="PAC35:PAS35"/>
    <mergeCell ref="OUF35:OUV35"/>
    <mergeCell ref="OUW35:OVM35"/>
    <mergeCell ref="OVN35:OWD35"/>
    <mergeCell ref="OWE35:OWU35"/>
    <mergeCell ref="OWV35:OXL35"/>
    <mergeCell ref="OQY35:ORO35"/>
    <mergeCell ref="ORP35:OSF35"/>
    <mergeCell ref="OSG35:OSW35"/>
    <mergeCell ref="OSX35:OTN35"/>
    <mergeCell ref="OTO35:OUE35"/>
    <mergeCell ref="ONR35:OOH35"/>
    <mergeCell ref="OOI35:OOY35"/>
    <mergeCell ref="OOZ35:OPP35"/>
    <mergeCell ref="OPQ35:OQG35"/>
    <mergeCell ref="OQH35:OQX35"/>
    <mergeCell ref="OKK35:OLA35"/>
    <mergeCell ref="OLB35:OLR35"/>
    <mergeCell ref="OLS35:OMI35"/>
    <mergeCell ref="OMJ35:OMZ35"/>
    <mergeCell ref="ONA35:ONQ35"/>
    <mergeCell ref="OHD35:OHT35"/>
    <mergeCell ref="OHU35:OIK35"/>
    <mergeCell ref="OIL35:OJB35"/>
    <mergeCell ref="OJC35:OJS35"/>
    <mergeCell ref="OJT35:OKJ35"/>
    <mergeCell ref="ODW35:OEM35"/>
    <mergeCell ref="OEN35:OFD35"/>
    <mergeCell ref="OFE35:OFU35"/>
    <mergeCell ref="OFV35:OGL35"/>
    <mergeCell ref="OGM35:OHC35"/>
    <mergeCell ref="OAP35:OBF35"/>
    <mergeCell ref="OBG35:OBW35"/>
    <mergeCell ref="OBX35:OCN35"/>
    <mergeCell ref="OCO35:ODE35"/>
    <mergeCell ref="ODF35:ODV35"/>
    <mergeCell ref="NXI35:NXY35"/>
    <mergeCell ref="NXZ35:NYP35"/>
    <mergeCell ref="NYQ35:NZG35"/>
    <mergeCell ref="NZH35:NZX35"/>
    <mergeCell ref="NZY35:OAO35"/>
    <mergeCell ref="NUB35:NUR35"/>
    <mergeCell ref="NUS35:NVI35"/>
    <mergeCell ref="NVJ35:NVZ35"/>
    <mergeCell ref="NWA35:NWQ35"/>
    <mergeCell ref="NWR35:NXH35"/>
    <mergeCell ref="NQU35:NRK35"/>
    <mergeCell ref="NRL35:NSB35"/>
    <mergeCell ref="NSC35:NSS35"/>
    <mergeCell ref="NST35:NTJ35"/>
    <mergeCell ref="NTK35:NUA35"/>
    <mergeCell ref="NNN35:NOD35"/>
    <mergeCell ref="NOE35:NOU35"/>
    <mergeCell ref="NOV35:NPL35"/>
    <mergeCell ref="NPM35:NQC35"/>
    <mergeCell ref="NQD35:NQT35"/>
    <mergeCell ref="NKG35:NKW35"/>
    <mergeCell ref="NKX35:NLN35"/>
    <mergeCell ref="NLO35:NME35"/>
    <mergeCell ref="NMF35:NMV35"/>
    <mergeCell ref="NMW35:NNM35"/>
    <mergeCell ref="NGZ35:NHP35"/>
    <mergeCell ref="NHQ35:NIG35"/>
    <mergeCell ref="NIH35:NIX35"/>
    <mergeCell ref="NIY35:NJO35"/>
    <mergeCell ref="NJP35:NKF35"/>
    <mergeCell ref="NDS35:NEI35"/>
    <mergeCell ref="NEJ35:NEZ35"/>
    <mergeCell ref="NFA35:NFQ35"/>
    <mergeCell ref="NFR35:NGH35"/>
    <mergeCell ref="NGI35:NGY35"/>
    <mergeCell ref="NAL35:NBB35"/>
    <mergeCell ref="NBC35:NBS35"/>
    <mergeCell ref="NBT35:NCJ35"/>
    <mergeCell ref="NCK35:NDA35"/>
    <mergeCell ref="NDB35:NDR35"/>
    <mergeCell ref="MXE35:MXU35"/>
    <mergeCell ref="MXV35:MYL35"/>
    <mergeCell ref="MYM35:MZC35"/>
    <mergeCell ref="MZD35:MZT35"/>
    <mergeCell ref="MZU35:NAK35"/>
    <mergeCell ref="MTX35:MUN35"/>
    <mergeCell ref="MUO35:MVE35"/>
    <mergeCell ref="MVF35:MVV35"/>
    <mergeCell ref="MVW35:MWM35"/>
    <mergeCell ref="MWN35:MXD35"/>
    <mergeCell ref="MQQ35:MRG35"/>
    <mergeCell ref="MRH35:MRX35"/>
    <mergeCell ref="MRY35:MSO35"/>
    <mergeCell ref="MSP35:MTF35"/>
    <mergeCell ref="MTG35:MTW35"/>
    <mergeCell ref="MNJ35:MNZ35"/>
    <mergeCell ref="MOA35:MOQ35"/>
    <mergeCell ref="MOR35:MPH35"/>
    <mergeCell ref="MPI35:MPY35"/>
    <mergeCell ref="MPZ35:MQP35"/>
    <mergeCell ref="MKC35:MKS35"/>
    <mergeCell ref="MKT35:MLJ35"/>
    <mergeCell ref="MLK35:MMA35"/>
    <mergeCell ref="MMB35:MMR35"/>
    <mergeCell ref="MMS35:MNI35"/>
    <mergeCell ref="MGV35:MHL35"/>
    <mergeCell ref="MHM35:MIC35"/>
    <mergeCell ref="MID35:MIT35"/>
    <mergeCell ref="MIU35:MJK35"/>
    <mergeCell ref="MJL35:MKB35"/>
    <mergeCell ref="MDO35:MEE35"/>
    <mergeCell ref="MEF35:MEV35"/>
    <mergeCell ref="MEW35:MFM35"/>
    <mergeCell ref="MFN35:MGD35"/>
    <mergeCell ref="MGE35:MGU35"/>
    <mergeCell ref="MAH35:MAX35"/>
    <mergeCell ref="MAY35:MBO35"/>
    <mergeCell ref="MBP35:MCF35"/>
    <mergeCell ref="MCG35:MCW35"/>
    <mergeCell ref="MCX35:MDN35"/>
    <mergeCell ref="LXA35:LXQ35"/>
    <mergeCell ref="LXR35:LYH35"/>
    <mergeCell ref="LYI35:LYY35"/>
    <mergeCell ref="LYZ35:LZP35"/>
    <mergeCell ref="LZQ35:MAG35"/>
    <mergeCell ref="LTT35:LUJ35"/>
    <mergeCell ref="LUK35:LVA35"/>
    <mergeCell ref="LVB35:LVR35"/>
    <mergeCell ref="LVS35:LWI35"/>
    <mergeCell ref="LWJ35:LWZ35"/>
    <mergeCell ref="LQM35:LRC35"/>
    <mergeCell ref="LRD35:LRT35"/>
    <mergeCell ref="LRU35:LSK35"/>
    <mergeCell ref="LSL35:LTB35"/>
    <mergeCell ref="LTC35:LTS35"/>
    <mergeCell ref="LNF35:LNV35"/>
    <mergeCell ref="LNW35:LOM35"/>
    <mergeCell ref="LON35:LPD35"/>
    <mergeCell ref="LPE35:LPU35"/>
    <mergeCell ref="LPV35:LQL35"/>
    <mergeCell ref="LJY35:LKO35"/>
    <mergeCell ref="LKP35:LLF35"/>
    <mergeCell ref="LLG35:LLW35"/>
    <mergeCell ref="LLX35:LMN35"/>
    <mergeCell ref="LMO35:LNE35"/>
    <mergeCell ref="LGR35:LHH35"/>
    <mergeCell ref="LHI35:LHY35"/>
    <mergeCell ref="LHZ35:LIP35"/>
    <mergeCell ref="LIQ35:LJG35"/>
    <mergeCell ref="LJH35:LJX35"/>
    <mergeCell ref="LDK35:LEA35"/>
    <mergeCell ref="LEB35:LER35"/>
    <mergeCell ref="LES35:LFI35"/>
    <mergeCell ref="LFJ35:LFZ35"/>
    <mergeCell ref="LGA35:LGQ35"/>
    <mergeCell ref="LAD35:LAT35"/>
    <mergeCell ref="LAU35:LBK35"/>
    <mergeCell ref="LBL35:LCB35"/>
    <mergeCell ref="LCC35:LCS35"/>
    <mergeCell ref="LCT35:LDJ35"/>
    <mergeCell ref="KWW35:KXM35"/>
    <mergeCell ref="KXN35:KYD35"/>
    <mergeCell ref="KYE35:KYU35"/>
    <mergeCell ref="KYV35:KZL35"/>
    <mergeCell ref="KZM35:LAC35"/>
    <mergeCell ref="KTP35:KUF35"/>
    <mergeCell ref="KUG35:KUW35"/>
    <mergeCell ref="KUX35:KVN35"/>
    <mergeCell ref="KVO35:KWE35"/>
    <mergeCell ref="KWF35:KWV35"/>
    <mergeCell ref="KQI35:KQY35"/>
    <mergeCell ref="KQZ35:KRP35"/>
    <mergeCell ref="KRQ35:KSG35"/>
    <mergeCell ref="KSH35:KSX35"/>
    <mergeCell ref="KSY35:KTO35"/>
    <mergeCell ref="KNB35:KNR35"/>
    <mergeCell ref="KNS35:KOI35"/>
    <mergeCell ref="KOJ35:KOZ35"/>
    <mergeCell ref="KPA35:KPQ35"/>
    <mergeCell ref="KPR35:KQH35"/>
    <mergeCell ref="KJU35:KKK35"/>
    <mergeCell ref="KKL35:KLB35"/>
    <mergeCell ref="KLC35:KLS35"/>
    <mergeCell ref="KLT35:KMJ35"/>
    <mergeCell ref="KMK35:KNA35"/>
    <mergeCell ref="KGN35:KHD35"/>
    <mergeCell ref="KHE35:KHU35"/>
    <mergeCell ref="KHV35:KIL35"/>
    <mergeCell ref="KIM35:KJC35"/>
    <mergeCell ref="KJD35:KJT35"/>
    <mergeCell ref="KDG35:KDW35"/>
    <mergeCell ref="KDX35:KEN35"/>
    <mergeCell ref="KEO35:KFE35"/>
    <mergeCell ref="KFF35:KFV35"/>
    <mergeCell ref="KFW35:KGM35"/>
    <mergeCell ref="JZZ35:KAP35"/>
    <mergeCell ref="KAQ35:KBG35"/>
    <mergeCell ref="KBH35:KBX35"/>
    <mergeCell ref="KBY35:KCO35"/>
    <mergeCell ref="KCP35:KDF35"/>
    <mergeCell ref="JWS35:JXI35"/>
    <mergeCell ref="JXJ35:JXZ35"/>
    <mergeCell ref="JYA35:JYQ35"/>
    <mergeCell ref="JYR35:JZH35"/>
    <mergeCell ref="JZI35:JZY35"/>
    <mergeCell ref="JTL35:JUB35"/>
    <mergeCell ref="JUC35:JUS35"/>
    <mergeCell ref="JUT35:JVJ35"/>
    <mergeCell ref="JVK35:JWA35"/>
    <mergeCell ref="JWB35:JWR35"/>
    <mergeCell ref="JQE35:JQU35"/>
    <mergeCell ref="JQV35:JRL35"/>
    <mergeCell ref="JRM35:JSC35"/>
    <mergeCell ref="JSD35:JST35"/>
    <mergeCell ref="JSU35:JTK35"/>
    <mergeCell ref="JMX35:JNN35"/>
    <mergeCell ref="JNO35:JOE35"/>
    <mergeCell ref="JOF35:JOV35"/>
    <mergeCell ref="JOW35:JPM35"/>
    <mergeCell ref="JPN35:JQD35"/>
    <mergeCell ref="JJQ35:JKG35"/>
    <mergeCell ref="JKH35:JKX35"/>
    <mergeCell ref="JKY35:JLO35"/>
    <mergeCell ref="JLP35:JMF35"/>
    <mergeCell ref="JMG35:JMW35"/>
    <mergeCell ref="JGJ35:JGZ35"/>
    <mergeCell ref="JHA35:JHQ35"/>
    <mergeCell ref="JHR35:JIH35"/>
    <mergeCell ref="JII35:JIY35"/>
    <mergeCell ref="JIZ35:JJP35"/>
    <mergeCell ref="JDC35:JDS35"/>
    <mergeCell ref="JDT35:JEJ35"/>
    <mergeCell ref="JEK35:JFA35"/>
    <mergeCell ref="JFB35:JFR35"/>
    <mergeCell ref="JFS35:JGI35"/>
    <mergeCell ref="IZV35:JAL35"/>
    <mergeCell ref="JAM35:JBC35"/>
    <mergeCell ref="JBD35:JBT35"/>
    <mergeCell ref="JBU35:JCK35"/>
    <mergeCell ref="JCL35:JDB35"/>
    <mergeCell ref="IWO35:IXE35"/>
    <mergeCell ref="IXF35:IXV35"/>
    <mergeCell ref="IXW35:IYM35"/>
    <mergeCell ref="IYN35:IZD35"/>
    <mergeCell ref="IZE35:IZU35"/>
    <mergeCell ref="ITH35:ITX35"/>
    <mergeCell ref="ITY35:IUO35"/>
    <mergeCell ref="IUP35:IVF35"/>
    <mergeCell ref="IVG35:IVW35"/>
    <mergeCell ref="IVX35:IWN35"/>
    <mergeCell ref="IQA35:IQQ35"/>
    <mergeCell ref="IQR35:IRH35"/>
    <mergeCell ref="IRI35:IRY35"/>
    <mergeCell ref="IRZ35:ISP35"/>
    <mergeCell ref="ISQ35:ITG35"/>
    <mergeCell ref="IMT35:INJ35"/>
    <mergeCell ref="INK35:IOA35"/>
    <mergeCell ref="IOB35:IOR35"/>
    <mergeCell ref="IOS35:IPI35"/>
    <mergeCell ref="IPJ35:IPZ35"/>
    <mergeCell ref="IJM35:IKC35"/>
    <mergeCell ref="IKD35:IKT35"/>
    <mergeCell ref="IKU35:ILK35"/>
    <mergeCell ref="ILL35:IMB35"/>
    <mergeCell ref="IMC35:IMS35"/>
    <mergeCell ref="IGF35:IGV35"/>
    <mergeCell ref="IGW35:IHM35"/>
    <mergeCell ref="IHN35:IID35"/>
    <mergeCell ref="IIE35:IIU35"/>
    <mergeCell ref="IIV35:IJL35"/>
    <mergeCell ref="ICY35:IDO35"/>
    <mergeCell ref="IDP35:IEF35"/>
    <mergeCell ref="IEG35:IEW35"/>
    <mergeCell ref="IEX35:IFN35"/>
    <mergeCell ref="IFO35:IGE35"/>
    <mergeCell ref="HZR35:IAH35"/>
    <mergeCell ref="IAI35:IAY35"/>
    <mergeCell ref="IAZ35:IBP35"/>
    <mergeCell ref="IBQ35:ICG35"/>
    <mergeCell ref="ICH35:ICX35"/>
    <mergeCell ref="HWK35:HXA35"/>
    <mergeCell ref="HXB35:HXR35"/>
    <mergeCell ref="HXS35:HYI35"/>
    <mergeCell ref="HYJ35:HYZ35"/>
    <mergeCell ref="HZA35:HZQ35"/>
    <mergeCell ref="HTD35:HTT35"/>
    <mergeCell ref="HTU35:HUK35"/>
    <mergeCell ref="HUL35:HVB35"/>
    <mergeCell ref="HVC35:HVS35"/>
    <mergeCell ref="HVT35:HWJ35"/>
    <mergeCell ref="HPW35:HQM35"/>
    <mergeCell ref="HQN35:HRD35"/>
    <mergeCell ref="HRE35:HRU35"/>
    <mergeCell ref="HRV35:HSL35"/>
    <mergeCell ref="HSM35:HTC35"/>
    <mergeCell ref="HMP35:HNF35"/>
    <mergeCell ref="HNG35:HNW35"/>
    <mergeCell ref="HNX35:HON35"/>
    <mergeCell ref="HOO35:HPE35"/>
    <mergeCell ref="HPF35:HPV35"/>
    <mergeCell ref="HJI35:HJY35"/>
    <mergeCell ref="HJZ35:HKP35"/>
    <mergeCell ref="HKQ35:HLG35"/>
    <mergeCell ref="HLH35:HLX35"/>
    <mergeCell ref="HLY35:HMO35"/>
    <mergeCell ref="HGB35:HGR35"/>
    <mergeCell ref="HGS35:HHI35"/>
    <mergeCell ref="HHJ35:HHZ35"/>
    <mergeCell ref="HIA35:HIQ35"/>
    <mergeCell ref="HIR35:HJH35"/>
    <mergeCell ref="HCU35:HDK35"/>
    <mergeCell ref="HDL35:HEB35"/>
    <mergeCell ref="HEC35:HES35"/>
    <mergeCell ref="HET35:HFJ35"/>
    <mergeCell ref="HFK35:HGA35"/>
    <mergeCell ref="GZN35:HAD35"/>
    <mergeCell ref="HAE35:HAU35"/>
    <mergeCell ref="HAV35:HBL35"/>
    <mergeCell ref="HBM35:HCC35"/>
    <mergeCell ref="HCD35:HCT35"/>
    <mergeCell ref="GWG35:GWW35"/>
    <mergeCell ref="GWX35:GXN35"/>
    <mergeCell ref="GXO35:GYE35"/>
    <mergeCell ref="GYF35:GYV35"/>
    <mergeCell ref="GYW35:GZM35"/>
    <mergeCell ref="GSZ35:GTP35"/>
    <mergeCell ref="GTQ35:GUG35"/>
    <mergeCell ref="GUH35:GUX35"/>
    <mergeCell ref="GUY35:GVO35"/>
    <mergeCell ref="GVP35:GWF35"/>
    <mergeCell ref="GPS35:GQI35"/>
    <mergeCell ref="GQJ35:GQZ35"/>
    <mergeCell ref="GRA35:GRQ35"/>
    <mergeCell ref="GRR35:GSH35"/>
    <mergeCell ref="GSI35:GSY35"/>
    <mergeCell ref="GML35:GNB35"/>
    <mergeCell ref="GNC35:GNS35"/>
    <mergeCell ref="GNT35:GOJ35"/>
    <mergeCell ref="GOK35:GPA35"/>
    <mergeCell ref="GPB35:GPR35"/>
    <mergeCell ref="GJE35:GJU35"/>
    <mergeCell ref="GJV35:GKL35"/>
    <mergeCell ref="GKM35:GLC35"/>
    <mergeCell ref="GLD35:GLT35"/>
    <mergeCell ref="GLU35:GMK35"/>
    <mergeCell ref="GFX35:GGN35"/>
    <mergeCell ref="GGO35:GHE35"/>
    <mergeCell ref="GHF35:GHV35"/>
    <mergeCell ref="GHW35:GIM35"/>
    <mergeCell ref="GIN35:GJD35"/>
    <mergeCell ref="GCQ35:GDG35"/>
    <mergeCell ref="GDH35:GDX35"/>
    <mergeCell ref="GDY35:GEO35"/>
    <mergeCell ref="GEP35:GFF35"/>
    <mergeCell ref="GFG35:GFW35"/>
    <mergeCell ref="FZJ35:FZZ35"/>
    <mergeCell ref="GAA35:GAQ35"/>
    <mergeCell ref="GAR35:GBH35"/>
    <mergeCell ref="GBI35:GBY35"/>
    <mergeCell ref="GBZ35:GCP35"/>
    <mergeCell ref="FWC35:FWS35"/>
    <mergeCell ref="FWT35:FXJ35"/>
    <mergeCell ref="FXK35:FYA35"/>
    <mergeCell ref="FYB35:FYR35"/>
    <mergeCell ref="FYS35:FZI35"/>
    <mergeCell ref="FSV35:FTL35"/>
    <mergeCell ref="FTM35:FUC35"/>
    <mergeCell ref="FUD35:FUT35"/>
    <mergeCell ref="FUU35:FVK35"/>
    <mergeCell ref="FVL35:FWB35"/>
    <mergeCell ref="FPO35:FQE35"/>
    <mergeCell ref="FQF35:FQV35"/>
    <mergeCell ref="FQW35:FRM35"/>
    <mergeCell ref="FRN35:FSD35"/>
    <mergeCell ref="FSE35:FSU35"/>
    <mergeCell ref="FMH35:FMX35"/>
    <mergeCell ref="FMY35:FNO35"/>
    <mergeCell ref="FNP35:FOF35"/>
    <mergeCell ref="FOG35:FOW35"/>
    <mergeCell ref="FOX35:FPN35"/>
    <mergeCell ref="FJA35:FJQ35"/>
    <mergeCell ref="FJR35:FKH35"/>
    <mergeCell ref="FKI35:FKY35"/>
    <mergeCell ref="FKZ35:FLP35"/>
    <mergeCell ref="FLQ35:FMG35"/>
    <mergeCell ref="FFT35:FGJ35"/>
    <mergeCell ref="FGK35:FHA35"/>
    <mergeCell ref="FHB35:FHR35"/>
    <mergeCell ref="FHS35:FII35"/>
    <mergeCell ref="FIJ35:FIZ35"/>
    <mergeCell ref="FCM35:FDC35"/>
    <mergeCell ref="FDD35:FDT35"/>
    <mergeCell ref="FDU35:FEK35"/>
    <mergeCell ref="FEL35:FFB35"/>
    <mergeCell ref="FFC35:FFS35"/>
    <mergeCell ref="EZF35:EZV35"/>
    <mergeCell ref="EZW35:FAM35"/>
    <mergeCell ref="FAN35:FBD35"/>
    <mergeCell ref="FBE35:FBU35"/>
    <mergeCell ref="FBV35:FCL35"/>
    <mergeCell ref="EVY35:EWO35"/>
    <mergeCell ref="EWP35:EXF35"/>
    <mergeCell ref="EXG35:EXW35"/>
    <mergeCell ref="EXX35:EYN35"/>
    <mergeCell ref="EYO35:EZE35"/>
    <mergeCell ref="ESR35:ETH35"/>
    <mergeCell ref="ETI35:ETY35"/>
    <mergeCell ref="ETZ35:EUP35"/>
    <mergeCell ref="EUQ35:EVG35"/>
    <mergeCell ref="EVH35:EVX35"/>
    <mergeCell ref="EPK35:EQA35"/>
    <mergeCell ref="EQB35:EQR35"/>
    <mergeCell ref="EQS35:ERI35"/>
    <mergeCell ref="ERJ35:ERZ35"/>
    <mergeCell ref="ESA35:ESQ35"/>
    <mergeCell ref="EMD35:EMT35"/>
    <mergeCell ref="EMU35:ENK35"/>
    <mergeCell ref="ENL35:EOB35"/>
    <mergeCell ref="EOC35:EOS35"/>
    <mergeCell ref="EOT35:EPJ35"/>
    <mergeCell ref="EIW35:EJM35"/>
    <mergeCell ref="EJN35:EKD35"/>
    <mergeCell ref="EKE35:EKU35"/>
    <mergeCell ref="EKV35:ELL35"/>
    <mergeCell ref="ELM35:EMC35"/>
    <mergeCell ref="EFP35:EGF35"/>
    <mergeCell ref="EGG35:EGW35"/>
    <mergeCell ref="EGX35:EHN35"/>
    <mergeCell ref="EHO35:EIE35"/>
    <mergeCell ref="EIF35:EIV35"/>
    <mergeCell ref="ECI35:ECY35"/>
    <mergeCell ref="ECZ35:EDP35"/>
    <mergeCell ref="EDQ35:EEG35"/>
    <mergeCell ref="EEH35:EEX35"/>
    <mergeCell ref="EEY35:EFO35"/>
    <mergeCell ref="DZB35:DZR35"/>
    <mergeCell ref="DZS35:EAI35"/>
    <mergeCell ref="EAJ35:EAZ35"/>
    <mergeCell ref="EBA35:EBQ35"/>
    <mergeCell ref="EBR35:ECH35"/>
    <mergeCell ref="DVU35:DWK35"/>
    <mergeCell ref="DWL35:DXB35"/>
    <mergeCell ref="DXC35:DXS35"/>
    <mergeCell ref="DXT35:DYJ35"/>
    <mergeCell ref="DYK35:DZA35"/>
    <mergeCell ref="DSN35:DTD35"/>
    <mergeCell ref="DTE35:DTU35"/>
    <mergeCell ref="DTV35:DUL35"/>
    <mergeCell ref="DUM35:DVC35"/>
    <mergeCell ref="DVD35:DVT35"/>
    <mergeCell ref="DPG35:DPW35"/>
    <mergeCell ref="DPX35:DQN35"/>
    <mergeCell ref="DQO35:DRE35"/>
    <mergeCell ref="DRF35:DRV35"/>
    <mergeCell ref="DRW35:DSM35"/>
    <mergeCell ref="DLZ35:DMP35"/>
    <mergeCell ref="DMQ35:DNG35"/>
    <mergeCell ref="DNH35:DNX35"/>
    <mergeCell ref="DNY35:DOO35"/>
    <mergeCell ref="DOP35:DPF35"/>
    <mergeCell ref="DIS35:DJI35"/>
    <mergeCell ref="DJJ35:DJZ35"/>
    <mergeCell ref="DKA35:DKQ35"/>
    <mergeCell ref="DKR35:DLH35"/>
    <mergeCell ref="DLI35:DLY35"/>
    <mergeCell ref="DFL35:DGB35"/>
    <mergeCell ref="DGC35:DGS35"/>
    <mergeCell ref="DGT35:DHJ35"/>
    <mergeCell ref="DHK35:DIA35"/>
    <mergeCell ref="DIB35:DIR35"/>
    <mergeCell ref="DCE35:DCU35"/>
    <mergeCell ref="DCV35:DDL35"/>
    <mergeCell ref="DDM35:DEC35"/>
    <mergeCell ref="DED35:DET35"/>
    <mergeCell ref="DEU35:DFK35"/>
    <mergeCell ref="CYX35:CZN35"/>
    <mergeCell ref="CZO35:DAE35"/>
    <mergeCell ref="DAF35:DAV35"/>
    <mergeCell ref="DAW35:DBM35"/>
    <mergeCell ref="DBN35:DCD35"/>
    <mergeCell ref="CVQ35:CWG35"/>
    <mergeCell ref="CWH35:CWX35"/>
    <mergeCell ref="CWY35:CXO35"/>
    <mergeCell ref="CXP35:CYF35"/>
    <mergeCell ref="CYG35:CYW35"/>
    <mergeCell ref="CSJ35:CSZ35"/>
    <mergeCell ref="CTA35:CTQ35"/>
    <mergeCell ref="CTR35:CUH35"/>
    <mergeCell ref="CUI35:CUY35"/>
    <mergeCell ref="CUZ35:CVP35"/>
    <mergeCell ref="CPC35:CPS35"/>
    <mergeCell ref="CPT35:CQJ35"/>
    <mergeCell ref="CQK35:CRA35"/>
    <mergeCell ref="CRB35:CRR35"/>
    <mergeCell ref="CRS35:CSI35"/>
    <mergeCell ref="CLV35:CML35"/>
    <mergeCell ref="CMM35:CNC35"/>
    <mergeCell ref="CND35:CNT35"/>
    <mergeCell ref="CNU35:COK35"/>
    <mergeCell ref="COL35:CPB35"/>
    <mergeCell ref="CIO35:CJE35"/>
    <mergeCell ref="CJF35:CJV35"/>
    <mergeCell ref="CJW35:CKM35"/>
    <mergeCell ref="CKN35:CLD35"/>
    <mergeCell ref="CLE35:CLU35"/>
    <mergeCell ref="CFH35:CFX35"/>
    <mergeCell ref="CFY35:CGO35"/>
    <mergeCell ref="CGP35:CHF35"/>
    <mergeCell ref="CHG35:CHW35"/>
    <mergeCell ref="CHX35:CIN35"/>
    <mergeCell ref="CCA35:CCQ35"/>
    <mergeCell ref="CCR35:CDH35"/>
    <mergeCell ref="CDI35:CDY35"/>
    <mergeCell ref="CDZ35:CEP35"/>
    <mergeCell ref="CEQ35:CFG35"/>
    <mergeCell ref="BYT35:BZJ35"/>
    <mergeCell ref="BZK35:CAA35"/>
    <mergeCell ref="CAB35:CAR35"/>
    <mergeCell ref="CAS35:CBI35"/>
    <mergeCell ref="CBJ35:CBZ35"/>
    <mergeCell ref="BVM35:BWC35"/>
    <mergeCell ref="BWD35:BWT35"/>
    <mergeCell ref="BWU35:BXK35"/>
    <mergeCell ref="BXL35:BYB35"/>
    <mergeCell ref="BYC35:BYS35"/>
    <mergeCell ref="BSF35:BSV35"/>
    <mergeCell ref="BSW35:BTM35"/>
    <mergeCell ref="BTN35:BUD35"/>
    <mergeCell ref="BUE35:BUU35"/>
    <mergeCell ref="BUV35:BVL35"/>
    <mergeCell ref="BOY35:BPO35"/>
    <mergeCell ref="BPP35:BQF35"/>
    <mergeCell ref="BQG35:BQW35"/>
    <mergeCell ref="BQX35:BRN35"/>
    <mergeCell ref="BRO35:BSE35"/>
    <mergeCell ref="BLR35:BMH35"/>
    <mergeCell ref="BMI35:BMY35"/>
    <mergeCell ref="BMZ35:BNP35"/>
    <mergeCell ref="BNQ35:BOG35"/>
    <mergeCell ref="BOH35:BOX35"/>
    <mergeCell ref="BIK35:BJA35"/>
    <mergeCell ref="BJB35:BJR35"/>
    <mergeCell ref="BJS35:BKI35"/>
    <mergeCell ref="BKJ35:BKZ35"/>
    <mergeCell ref="BLA35:BLQ35"/>
    <mergeCell ref="BFD35:BFT35"/>
    <mergeCell ref="BFU35:BGK35"/>
    <mergeCell ref="BGL35:BHB35"/>
    <mergeCell ref="BHC35:BHS35"/>
    <mergeCell ref="BHT35:BIJ35"/>
    <mergeCell ref="BBW35:BCM35"/>
    <mergeCell ref="BCN35:BDD35"/>
    <mergeCell ref="BDE35:BDU35"/>
    <mergeCell ref="BDV35:BEL35"/>
    <mergeCell ref="BEM35:BFC35"/>
    <mergeCell ref="AYP35:AZF35"/>
    <mergeCell ref="AZG35:AZW35"/>
    <mergeCell ref="AZX35:BAN35"/>
    <mergeCell ref="BAO35:BBE35"/>
    <mergeCell ref="BBF35:BBV35"/>
    <mergeCell ref="AVI35:AVY35"/>
    <mergeCell ref="AVZ35:AWP35"/>
    <mergeCell ref="AWQ35:AXG35"/>
    <mergeCell ref="AXH35:AXX35"/>
    <mergeCell ref="AXY35:AYO35"/>
    <mergeCell ref="ASB35:ASR35"/>
    <mergeCell ref="ASS35:ATI35"/>
    <mergeCell ref="ATJ35:ATZ35"/>
    <mergeCell ref="AUA35:AUQ35"/>
    <mergeCell ref="AUR35:AVH35"/>
    <mergeCell ref="AOU35:APK35"/>
    <mergeCell ref="APL35:AQB35"/>
    <mergeCell ref="AQC35:AQS35"/>
    <mergeCell ref="AQT35:ARJ35"/>
    <mergeCell ref="ARK35:ASA35"/>
    <mergeCell ref="ALN35:AMD35"/>
    <mergeCell ref="AME35:AMU35"/>
    <mergeCell ref="AMV35:ANL35"/>
    <mergeCell ref="ANM35:AOC35"/>
    <mergeCell ref="AOD35:AOT35"/>
    <mergeCell ref="AIG35:AIW35"/>
    <mergeCell ref="AIX35:AJN35"/>
    <mergeCell ref="AJO35:AKE35"/>
    <mergeCell ref="AKF35:AKV35"/>
    <mergeCell ref="AKW35:ALM35"/>
    <mergeCell ref="AEZ35:AFP35"/>
    <mergeCell ref="AFQ35:AGG35"/>
    <mergeCell ref="AGH35:AGX35"/>
    <mergeCell ref="AGY35:AHO35"/>
    <mergeCell ref="AHP35:AIF35"/>
    <mergeCell ref="ABS35:ACI35"/>
    <mergeCell ref="ACJ35:ACZ35"/>
    <mergeCell ref="ADA35:ADQ35"/>
    <mergeCell ref="ADR35:AEH35"/>
    <mergeCell ref="AEI35:AEY35"/>
    <mergeCell ref="YL35:ZB35"/>
    <mergeCell ref="ZC35:ZS35"/>
    <mergeCell ref="ZT35:AAJ35"/>
    <mergeCell ref="AAK35:ABA35"/>
    <mergeCell ref="ABB35:ABR35"/>
    <mergeCell ref="VE35:VU35"/>
    <mergeCell ref="VV35:WL35"/>
    <mergeCell ref="WM35:XC35"/>
    <mergeCell ref="XD35:XT35"/>
    <mergeCell ref="XU35:YK35"/>
    <mergeCell ref="RX35:SN35"/>
    <mergeCell ref="SO35:TE35"/>
    <mergeCell ref="TF35:TV35"/>
    <mergeCell ref="TW35:UM35"/>
    <mergeCell ref="UN35:VD35"/>
    <mergeCell ref="OQ35:PG35"/>
    <mergeCell ref="PH35:PX35"/>
    <mergeCell ref="PY35:QO35"/>
    <mergeCell ref="QP35:RF35"/>
    <mergeCell ref="RG35:RW35"/>
    <mergeCell ref="LJ35:LZ35"/>
    <mergeCell ref="MA35:MQ35"/>
    <mergeCell ref="MR35:NH35"/>
    <mergeCell ref="NI35:NY35"/>
    <mergeCell ref="NZ35:OP35"/>
    <mergeCell ref="IC35:IS35"/>
    <mergeCell ref="IT35:JJ35"/>
    <mergeCell ref="JK35:KA35"/>
    <mergeCell ref="KB35:KR35"/>
    <mergeCell ref="KS35:LI35"/>
    <mergeCell ref="XDY34:XEO34"/>
    <mergeCell ref="XEP34:XFB34"/>
    <mergeCell ref="A35:Q35"/>
    <mergeCell ref="R35:AF35"/>
    <mergeCell ref="AX35:BN35"/>
    <mergeCell ref="BO35:CE35"/>
    <mergeCell ref="CF35:CV35"/>
    <mergeCell ref="CW35:DM35"/>
    <mergeCell ref="DN35:ED35"/>
    <mergeCell ref="EE35:EU35"/>
    <mergeCell ref="EV35:FL35"/>
    <mergeCell ref="FM35:GC35"/>
    <mergeCell ref="GD35:GT35"/>
    <mergeCell ref="GU35:HK35"/>
    <mergeCell ref="HL35:IB35"/>
    <mergeCell ref="XAR34:XBH34"/>
    <mergeCell ref="XBI34:XBY34"/>
    <mergeCell ref="XBZ34:XCP34"/>
    <mergeCell ref="XCQ34:XDG34"/>
    <mergeCell ref="XDH34:XDX34"/>
    <mergeCell ref="WXK34:WYA34"/>
    <mergeCell ref="WYB34:WYR34"/>
    <mergeCell ref="WYS34:WZI34"/>
    <mergeCell ref="WZJ34:WZZ34"/>
    <mergeCell ref="XAA34:XAQ34"/>
    <mergeCell ref="WUD34:WUT34"/>
    <mergeCell ref="WUU34:WVK34"/>
    <mergeCell ref="WVL34:WWB34"/>
    <mergeCell ref="WWC34:WWS34"/>
    <mergeCell ref="WWT34:WXJ34"/>
    <mergeCell ref="WQW34:WRM34"/>
    <mergeCell ref="WRN34:WSD34"/>
    <mergeCell ref="WSE34:WSU34"/>
    <mergeCell ref="WSV34:WTL34"/>
    <mergeCell ref="WTM34:WUC34"/>
    <mergeCell ref="WNP34:WOF34"/>
    <mergeCell ref="WOG34:WOW34"/>
    <mergeCell ref="WOX34:WPN34"/>
    <mergeCell ref="WPO34:WQE34"/>
    <mergeCell ref="WQF34:WQV34"/>
    <mergeCell ref="WKI34:WKY34"/>
    <mergeCell ref="WKZ34:WLP34"/>
    <mergeCell ref="WLQ34:WMG34"/>
    <mergeCell ref="WMH34:WMX34"/>
    <mergeCell ref="WMY34:WNO34"/>
    <mergeCell ref="WHB34:WHR34"/>
    <mergeCell ref="WHS34:WII34"/>
    <mergeCell ref="WIJ34:WIZ34"/>
    <mergeCell ref="WJA34:WJQ34"/>
    <mergeCell ref="WJR34:WKH34"/>
    <mergeCell ref="WDU34:WEK34"/>
    <mergeCell ref="WEL34:WFB34"/>
    <mergeCell ref="WFC34:WFS34"/>
    <mergeCell ref="WFT34:WGJ34"/>
    <mergeCell ref="WGK34:WHA34"/>
    <mergeCell ref="WAN34:WBD34"/>
    <mergeCell ref="WBE34:WBU34"/>
    <mergeCell ref="WBV34:WCL34"/>
    <mergeCell ref="WCM34:WDC34"/>
    <mergeCell ref="WDD34:WDT34"/>
    <mergeCell ref="VXG34:VXW34"/>
    <mergeCell ref="VXX34:VYN34"/>
    <mergeCell ref="VYO34:VZE34"/>
    <mergeCell ref="VZF34:VZV34"/>
    <mergeCell ref="VZW34:WAM34"/>
    <mergeCell ref="VTZ34:VUP34"/>
    <mergeCell ref="VUQ34:VVG34"/>
    <mergeCell ref="VVH34:VVX34"/>
    <mergeCell ref="VVY34:VWO34"/>
    <mergeCell ref="VWP34:VXF34"/>
    <mergeCell ref="VQS34:VRI34"/>
    <mergeCell ref="VRJ34:VRZ34"/>
    <mergeCell ref="VSA34:VSQ34"/>
    <mergeCell ref="VSR34:VTH34"/>
    <mergeCell ref="VTI34:VTY34"/>
    <mergeCell ref="VNL34:VOB34"/>
    <mergeCell ref="VOC34:VOS34"/>
    <mergeCell ref="VOT34:VPJ34"/>
    <mergeCell ref="VPK34:VQA34"/>
    <mergeCell ref="VQB34:VQR34"/>
    <mergeCell ref="VKE34:VKU34"/>
    <mergeCell ref="VKV34:VLL34"/>
    <mergeCell ref="VLM34:VMC34"/>
    <mergeCell ref="VMD34:VMT34"/>
    <mergeCell ref="VMU34:VNK34"/>
    <mergeCell ref="VGX34:VHN34"/>
    <mergeCell ref="VHO34:VIE34"/>
    <mergeCell ref="VIF34:VIV34"/>
    <mergeCell ref="VIW34:VJM34"/>
    <mergeCell ref="VJN34:VKD34"/>
    <mergeCell ref="VDQ34:VEG34"/>
    <mergeCell ref="VEH34:VEX34"/>
    <mergeCell ref="VEY34:VFO34"/>
    <mergeCell ref="VFP34:VGF34"/>
    <mergeCell ref="VGG34:VGW34"/>
    <mergeCell ref="VAJ34:VAZ34"/>
    <mergeCell ref="VBA34:VBQ34"/>
    <mergeCell ref="VBR34:VCH34"/>
    <mergeCell ref="VCI34:VCY34"/>
    <mergeCell ref="VCZ34:VDP34"/>
    <mergeCell ref="UXC34:UXS34"/>
    <mergeCell ref="UXT34:UYJ34"/>
    <mergeCell ref="UYK34:UZA34"/>
    <mergeCell ref="UZB34:UZR34"/>
    <mergeCell ref="UZS34:VAI34"/>
    <mergeCell ref="UTV34:UUL34"/>
    <mergeCell ref="UUM34:UVC34"/>
    <mergeCell ref="UVD34:UVT34"/>
    <mergeCell ref="UVU34:UWK34"/>
    <mergeCell ref="UWL34:UXB34"/>
    <mergeCell ref="UQO34:URE34"/>
    <mergeCell ref="URF34:URV34"/>
    <mergeCell ref="URW34:USM34"/>
    <mergeCell ref="USN34:UTD34"/>
    <mergeCell ref="UTE34:UTU34"/>
    <mergeCell ref="UNH34:UNX34"/>
    <mergeCell ref="UNY34:UOO34"/>
    <mergeCell ref="UOP34:UPF34"/>
    <mergeCell ref="UPG34:UPW34"/>
    <mergeCell ref="UPX34:UQN34"/>
    <mergeCell ref="UKA34:UKQ34"/>
    <mergeCell ref="UKR34:ULH34"/>
    <mergeCell ref="ULI34:ULY34"/>
    <mergeCell ref="ULZ34:UMP34"/>
    <mergeCell ref="UMQ34:UNG34"/>
    <mergeCell ref="UGT34:UHJ34"/>
    <mergeCell ref="UHK34:UIA34"/>
    <mergeCell ref="UIB34:UIR34"/>
    <mergeCell ref="UIS34:UJI34"/>
    <mergeCell ref="UJJ34:UJZ34"/>
    <mergeCell ref="UDM34:UEC34"/>
    <mergeCell ref="UED34:UET34"/>
    <mergeCell ref="UEU34:UFK34"/>
    <mergeCell ref="UFL34:UGB34"/>
    <mergeCell ref="UGC34:UGS34"/>
    <mergeCell ref="UAF34:UAV34"/>
    <mergeCell ref="UAW34:UBM34"/>
    <mergeCell ref="UBN34:UCD34"/>
    <mergeCell ref="UCE34:UCU34"/>
    <mergeCell ref="UCV34:UDL34"/>
    <mergeCell ref="TWY34:TXO34"/>
    <mergeCell ref="TXP34:TYF34"/>
    <mergeCell ref="TYG34:TYW34"/>
    <mergeCell ref="TYX34:TZN34"/>
    <mergeCell ref="TZO34:UAE34"/>
    <mergeCell ref="TTR34:TUH34"/>
    <mergeCell ref="TUI34:TUY34"/>
    <mergeCell ref="TUZ34:TVP34"/>
    <mergeCell ref="TVQ34:TWG34"/>
    <mergeCell ref="TWH34:TWX34"/>
    <mergeCell ref="TQK34:TRA34"/>
    <mergeCell ref="TRB34:TRR34"/>
    <mergeCell ref="TRS34:TSI34"/>
    <mergeCell ref="TSJ34:TSZ34"/>
    <mergeCell ref="TTA34:TTQ34"/>
    <mergeCell ref="TND34:TNT34"/>
    <mergeCell ref="TNU34:TOK34"/>
    <mergeCell ref="TOL34:TPB34"/>
    <mergeCell ref="TPC34:TPS34"/>
    <mergeCell ref="TPT34:TQJ34"/>
    <mergeCell ref="TJW34:TKM34"/>
    <mergeCell ref="TKN34:TLD34"/>
    <mergeCell ref="TLE34:TLU34"/>
    <mergeCell ref="TLV34:TML34"/>
    <mergeCell ref="TMM34:TNC34"/>
    <mergeCell ref="TGP34:THF34"/>
    <mergeCell ref="THG34:THW34"/>
    <mergeCell ref="THX34:TIN34"/>
    <mergeCell ref="TIO34:TJE34"/>
    <mergeCell ref="TJF34:TJV34"/>
    <mergeCell ref="TDI34:TDY34"/>
    <mergeCell ref="TDZ34:TEP34"/>
    <mergeCell ref="TEQ34:TFG34"/>
    <mergeCell ref="TFH34:TFX34"/>
    <mergeCell ref="TFY34:TGO34"/>
    <mergeCell ref="TAB34:TAR34"/>
    <mergeCell ref="TAS34:TBI34"/>
    <mergeCell ref="TBJ34:TBZ34"/>
    <mergeCell ref="TCA34:TCQ34"/>
    <mergeCell ref="TCR34:TDH34"/>
    <mergeCell ref="SWU34:SXK34"/>
    <mergeCell ref="SXL34:SYB34"/>
    <mergeCell ref="SYC34:SYS34"/>
    <mergeCell ref="SYT34:SZJ34"/>
    <mergeCell ref="SZK34:TAA34"/>
    <mergeCell ref="STN34:SUD34"/>
    <mergeCell ref="SUE34:SUU34"/>
    <mergeCell ref="SUV34:SVL34"/>
    <mergeCell ref="SVM34:SWC34"/>
    <mergeCell ref="SWD34:SWT34"/>
    <mergeCell ref="SQG34:SQW34"/>
    <mergeCell ref="SQX34:SRN34"/>
    <mergeCell ref="SRO34:SSE34"/>
    <mergeCell ref="SSF34:SSV34"/>
    <mergeCell ref="SSW34:STM34"/>
    <mergeCell ref="SMZ34:SNP34"/>
    <mergeCell ref="SNQ34:SOG34"/>
    <mergeCell ref="SOH34:SOX34"/>
    <mergeCell ref="SOY34:SPO34"/>
    <mergeCell ref="SPP34:SQF34"/>
    <mergeCell ref="SJS34:SKI34"/>
    <mergeCell ref="SKJ34:SKZ34"/>
    <mergeCell ref="SLA34:SLQ34"/>
    <mergeCell ref="SLR34:SMH34"/>
    <mergeCell ref="SMI34:SMY34"/>
    <mergeCell ref="SGL34:SHB34"/>
    <mergeCell ref="SHC34:SHS34"/>
    <mergeCell ref="SHT34:SIJ34"/>
    <mergeCell ref="SIK34:SJA34"/>
    <mergeCell ref="SJB34:SJR34"/>
    <mergeCell ref="SDE34:SDU34"/>
    <mergeCell ref="SDV34:SEL34"/>
    <mergeCell ref="SEM34:SFC34"/>
    <mergeCell ref="SFD34:SFT34"/>
    <mergeCell ref="SFU34:SGK34"/>
    <mergeCell ref="RZX34:SAN34"/>
    <mergeCell ref="SAO34:SBE34"/>
    <mergeCell ref="SBF34:SBV34"/>
    <mergeCell ref="SBW34:SCM34"/>
    <mergeCell ref="SCN34:SDD34"/>
    <mergeCell ref="RWQ34:RXG34"/>
    <mergeCell ref="RXH34:RXX34"/>
    <mergeCell ref="RXY34:RYO34"/>
    <mergeCell ref="RYP34:RZF34"/>
    <mergeCell ref="RZG34:RZW34"/>
    <mergeCell ref="RTJ34:RTZ34"/>
    <mergeCell ref="RUA34:RUQ34"/>
    <mergeCell ref="RUR34:RVH34"/>
    <mergeCell ref="RVI34:RVY34"/>
    <mergeCell ref="RVZ34:RWP34"/>
    <mergeCell ref="RQC34:RQS34"/>
    <mergeCell ref="RQT34:RRJ34"/>
    <mergeCell ref="RRK34:RSA34"/>
    <mergeCell ref="RSB34:RSR34"/>
    <mergeCell ref="RSS34:RTI34"/>
    <mergeCell ref="RMV34:RNL34"/>
    <mergeCell ref="RNM34:ROC34"/>
    <mergeCell ref="ROD34:ROT34"/>
    <mergeCell ref="ROU34:RPK34"/>
    <mergeCell ref="RPL34:RQB34"/>
    <mergeCell ref="RJO34:RKE34"/>
    <mergeCell ref="RKF34:RKV34"/>
    <mergeCell ref="RKW34:RLM34"/>
    <mergeCell ref="RLN34:RMD34"/>
    <mergeCell ref="RME34:RMU34"/>
    <mergeCell ref="RGH34:RGX34"/>
    <mergeCell ref="RGY34:RHO34"/>
    <mergeCell ref="RHP34:RIF34"/>
    <mergeCell ref="RIG34:RIW34"/>
    <mergeCell ref="RIX34:RJN34"/>
    <mergeCell ref="RDA34:RDQ34"/>
    <mergeCell ref="RDR34:REH34"/>
    <mergeCell ref="REI34:REY34"/>
    <mergeCell ref="REZ34:RFP34"/>
    <mergeCell ref="RFQ34:RGG34"/>
    <mergeCell ref="QZT34:RAJ34"/>
    <mergeCell ref="RAK34:RBA34"/>
    <mergeCell ref="RBB34:RBR34"/>
    <mergeCell ref="RBS34:RCI34"/>
    <mergeCell ref="RCJ34:RCZ34"/>
    <mergeCell ref="QWM34:QXC34"/>
    <mergeCell ref="QXD34:QXT34"/>
    <mergeCell ref="QXU34:QYK34"/>
    <mergeCell ref="QYL34:QZB34"/>
    <mergeCell ref="QZC34:QZS34"/>
    <mergeCell ref="QTF34:QTV34"/>
    <mergeCell ref="QTW34:QUM34"/>
    <mergeCell ref="QUN34:QVD34"/>
    <mergeCell ref="QVE34:QVU34"/>
    <mergeCell ref="QVV34:QWL34"/>
    <mergeCell ref="QPY34:QQO34"/>
    <mergeCell ref="QQP34:QRF34"/>
    <mergeCell ref="QRG34:QRW34"/>
    <mergeCell ref="QRX34:QSN34"/>
    <mergeCell ref="QSO34:QTE34"/>
    <mergeCell ref="QMR34:QNH34"/>
    <mergeCell ref="QNI34:QNY34"/>
    <mergeCell ref="QNZ34:QOP34"/>
    <mergeCell ref="QOQ34:QPG34"/>
    <mergeCell ref="QPH34:QPX34"/>
    <mergeCell ref="QJK34:QKA34"/>
    <mergeCell ref="QKB34:QKR34"/>
    <mergeCell ref="QKS34:QLI34"/>
    <mergeCell ref="QLJ34:QLZ34"/>
    <mergeCell ref="QMA34:QMQ34"/>
    <mergeCell ref="QGD34:QGT34"/>
    <mergeCell ref="QGU34:QHK34"/>
    <mergeCell ref="QHL34:QIB34"/>
    <mergeCell ref="QIC34:QIS34"/>
    <mergeCell ref="QIT34:QJJ34"/>
    <mergeCell ref="QCW34:QDM34"/>
    <mergeCell ref="QDN34:QED34"/>
    <mergeCell ref="QEE34:QEU34"/>
    <mergeCell ref="QEV34:QFL34"/>
    <mergeCell ref="QFM34:QGC34"/>
    <mergeCell ref="PZP34:QAF34"/>
    <mergeCell ref="QAG34:QAW34"/>
    <mergeCell ref="QAX34:QBN34"/>
    <mergeCell ref="QBO34:QCE34"/>
    <mergeCell ref="QCF34:QCV34"/>
    <mergeCell ref="PWI34:PWY34"/>
    <mergeCell ref="PWZ34:PXP34"/>
    <mergeCell ref="PXQ34:PYG34"/>
    <mergeCell ref="PYH34:PYX34"/>
    <mergeCell ref="PYY34:PZO34"/>
    <mergeCell ref="PTB34:PTR34"/>
    <mergeCell ref="PTS34:PUI34"/>
    <mergeCell ref="PUJ34:PUZ34"/>
    <mergeCell ref="PVA34:PVQ34"/>
    <mergeCell ref="PVR34:PWH34"/>
    <mergeCell ref="PPU34:PQK34"/>
    <mergeCell ref="PQL34:PRB34"/>
    <mergeCell ref="PRC34:PRS34"/>
    <mergeCell ref="PRT34:PSJ34"/>
    <mergeCell ref="PSK34:PTA34"/>
    <mergeCell ref="PMN34:PND34"/>
    <mergeCell ref="PNE34:PNU34"/>
    <mergeCell ref="PNV34:POL34"/>
    <mergeCell ref="POM34:PPC34"/>
    <mergeCell ref="PPD34:PPT34"/>
    <mergeCell ref="PJG34:PJW34"/>
    <mergeCell ref="PJX34:PKN34"/>
    <mergeCell ref="PKO34:PLE34"/>
    <mergeCell ref="PLF34:PLV34"/>
    <mergeCell ref="PLW34:PMM34"/>
    <mergeCell ref="PFZ34:PGP34"/>
    <mergeCell ref="PGQ34:PHG34"/>
    <mergeCell ref="PHH34:PHX34"/>
    <mergeCell ref="PHY34:PIO34"/>
    <mergeCell ref="PIP34:PJF34"/>
    <mergeCell ref="PCS34:PDI34"/>
    <mergeCell ref="PDJ34:PDZ34"/>
    <mergeCell ref="PEA34:PEQ34"/>
    <mergeCell ref="PER34:PFH34"/>
    <mergeCell ref="PFI34:PFY34"/>
    <mergeCell ref="OZL34:PAB34"/>
    <mergeCell ref="PAC34:PAS34"/>
    <mergeCell ref="PAT34:PBJ34"/>
    <mergeCell ref="PBK34:PCA34"/>
    <mergeCell ref="PCB34:PCR34"/>
    <mergeCell ref="OWE34:OWU34"/>
    <mergeCell ref="OWV34:OXL34"/>
    <mergeCell ref="OXM34:OYC34"/>
    <mergeCell ref="OYD34:OYT34"/>
    <mergeCell ref="OYU34:OZK34"/>
    <mergeCell ref="OSX34:OTN34"/>
    <mergeCell ref="OTO34:OUE34"/>
    <mergeCell ref="OUF34:OUV34"/>
    <mergeCell ref="OUW34:OVM34"/>
    <mergeCell ref="OVN34:OWD34"/>
    <mergeCell ref="OPQ34:OQG34"/>
    <mergeCell ref="OQH34:OQX34"/>
    <mergeCell ref="OQY34:ORO34"/>
    <mergeCell ref="ORP34:OSF34"/>
    <mergeCell ref="OSG34:OSW34"/>
    <mergeCell ref="OMJ34:OMZ34"/>
    <mergeCell ref="ONA34:ONQ34"/>
    <mergeCell ref="ONR34:OOH34"/>
    <mergeCell ref="OOI34:OOY34"/>
    <mergeCell ref="OOZ34:OPP34"/>
    <mergeCell ref="OJC34:OJS34"/>
    <mergeCell ref="OJT34:OKJ34"/>
    <mergeCell ref="OKK34:OLA34"/>
    <mergeCell ref="OLB34:OLR34"/>
    <mergeCell ref="OLS34:OMI34"/>
    <mergeCell ref="OFV34:OGL34"/>
    <mergeCell ref="OGM34:OHC34"/>
    <mergeCell ref="OHD34:OHT34"/>
    <mergeCell ref="OHU34:OIK34"/>
    <mergeCell ref="OIL34:OJB34"/>
    <mergeCell ref="OCO34:ODE34"/>
    <mergeCell ref="ODF34:ODV34"/>
    <mergeCell ref="ODW34:OEM34"/>
    <mergeCell ref="OEN34:OFD34"/>
    <mergeCell ref="OFE34:OFU34"/>
    <mergeCell ref="NZH34:NZX34"/>
    <mergeCell ref="NZY34:OAO34"/>
    <mergeCell ref="OAP34:OBF34"/>
    <mergeCell ref="OBG34:OBW34"/>
    <mergeCell ref="OBX34:OCN34"/>
    <mergeCell ref="NWA34:NWQ34"/>
    <mergeCell ref="NWR34:NXH34"/>
    <mergeCell ref="NXI34:NXY34"/>
    <mergeCell ref="NXZ34:NYP34"/>
    <mergeCell ref="NYQ34:NZG34"/>
    <mergeCell ref="NST34:NTJ34"/>
    <mergeCell ref="NTK34:NUA34"/>
    <mergeCell ref="NUB34:NUR34"/>
    <mergeCell ref="NUS34:NVI34"/>
    <mergeCell ref="NVJ34:NVZ34"/>
    <mergeCell ref="NPM34:NQC34"/>
    <mergeCell ref="NQD34:NQT34"/>
    <mergeCell ref="NQU34:NRK34"/>
    <mergeCell ref="NRL34:NSB34"/>
    <mergeCell ref="NSC34:NSS34"/>
    <mergeCell ref="NMF34:NMV34"/>
    <mergeCell ref="NMW34:NNM34"/>
    <mergeCell ref="NNN34:NOD34"/>
    <mergeCell ref="NOE34:NOU34"/>
    <mergeCell ref="NOV34:NPL34"/>
    <mergeCell ref="NIY34:NJO34"/>
    <mergeCell ref="NJP34:NKF34"/>
    <mergeCell ref="NKG34:NKW34"/>
    <mergeCell ref="NKX34:NLN34"/>
    <mergeCell ref="NLO34:NME34"/>
    <mergeCell ref="NFR34:NGH34"/>
    <mergeCell ref="NGI34:NGY34"/>
    <mergeCell ref="NGZ34:NHP34"/>
    <mergeCell ref="NHQ34:NIG34"/>
    <mergeCell ref="NIH34:NIX34"/>
    <mergeCell ref="NCK34:NDA34"/>
    <mergeCell ref="NDB34:NDR34"/>
    <mergeCell ref="NDS34:NEI34"/>
    <mergeCell ref="NEJ34:NEZ34"/>
    <mergeCell ref="NFA34:NFQ34"/>
    <mergeCell ref="MZD34:MZT34"/>
    <mergeCell ref="MZU34:NAK34"/>
    <mergeCell ref="NAL34:NBB34"/>
    <mergeCell ref="NBC34:NBS34"/>
    <mergeCell ref="NBT34:NCJ34"/>
    <mergeCell ref="MVW34:MWM34"/>
    <mergeCell ref="MWN34:MXD34"/>
    <mergeCell ref="MXE34:MXU34"/>
    <mergeCell ref="MXV34:MYL34"/>
    <mergeCell ref="MYM34:MZC34"/>
    <mergeCell ref="MSP34:MTF34"/>
    <mergeCell ref="MTG34:MTW34"/>
    <mergeCell ref="MTX34:MUN34"/>
    <mergeCell ref="MUO34:MVE34"/>
    <mergeCell ref="MVF34:MVV34"/>
    <mergeCell ref="MPI34:MPY34"/>
    <mergeCell ref="MPZ34:MQP34"/>
    <mergeCell ref="MQQ34:MRG34"/>
    <mergeCell ref="MRH34:MRX34"/>
    <mergeCell ref="MRY34:MSO34"/>
    <mergeCell ref="MMB34:MMR34"/>
    <mergeCell ref="MMS34:MNI34"/>
    <mergeCell ref="MNJ34:MNZ34"/>
    <mergeCell ref="MOA34:MOQ34"/>
    <mergeCell ref="MOR34:MPH34"/>
    <mergeCell ref="MIU34:MJK34"/>
    <mergeCell ref="MJL34:MKB34"/>
    <mergeCell ref="MKC34:MKS34"/>
    <mergeCell ref="MKT34:MLJ34"/>
    <mergeCell ref="MLK34:MMA34"/>
    <mergeCell ref="MFN34:MGD34"/>
    <mergeCell ref="MGE34:MGU34"/>
    <mergeCell ref="MGV34:MHL34"/>
    <mergeCell ref="MHM34:MIC34"/>
    <mergeCell ref="MID34:MIT34"/>
    <mergeCell ref="MCG34:MCW34"/>
    <mergeCell ref="MCX34:MDN34"/>
    <mergeCell ref="MDO34:MEE34"/>
    <mergeCell ref="MEF34:MEV34"/>
    <mergeCell ref="MEW34:MFM34"/>
    <mergeCell ref="LYZ34:LZP34"/>
    <mergeCell ref="LZQ34:MAG34"/>
    <mergeCell ref="MAH34:MAX34"/>
    <mergeCell ref="MAY34:MBO34"/>
    <mergeCell ref="MBP34:MCF34"/>
    <mergeCell ref="LVS34:LWI34"/>
    <mergeCell ref="LWJ34:LWZ34"/>
    <mergeCell ref="LXA34:LXQ34"/>
    <mergeCell ref="LXR34:LYH34"/>
    <mergeCell ref="LYI34:LYY34"/>
    <mergeCell ref="LSL34:LTB34"/>
    <mergeCell ref="LTC34:LTS34"/>
    <mergeCell ref="LTT34:LUJ34"/>
    <mergeCell ref="LUK34:LVA34"/>
    <mergeCell ref="LVB34:LVR34"/>
    <mergeCell ref="LPE34:LPU34"/>
    <mergeCell ref="LPV34:LQL34"/>
    <mergeCell ref="LQM34:LRC34"/>
    <mergeCell ref="LRD34:LRT34"/>
    <mergeCell ref="LRU34:LSK34"/>
    <mergeCell ref="LLX34:LMN34"/>
    <mergeCell ref="LMO34:LNE34"/>
    <mergeCell ref="LNF34:LNV34"/>
    <mergeCell ref="LNW34:LOM34"/>
    <mergeCell ref="LON34:LPD34"/>
    <mergeCell ref="LIQ34:LJG34"/>
    <mergeCell ref="LJH34:LJX34"/>
    <mergeCell ref="LJY34:LKO34"/>
    <mergeCell ref="LKP34:LLF34"/>
    <mergeCell ref="LLG34:LLW34"/>
    <mergeCell ref="LFJ34:LFZ34"/>
    <mergeCell ref="LGA34:LGQ34"/>
    <mergeCell ref="LGR34:LHH34"/>
    <mergeCell ref="LHI34:LHY34"/>
    <mergeCell ref="LHZ34:LIP34"/>
    <mergeCell ref="LCC34:LCS34"/>
    <mergeCell ref="LCT34:LDJ34"/>
    <mergeCell ref="LDK34:LEA34"/>
    <mergeCell ref="LEB34:LER34"/>
    <mergeCell ref="LES34:LFI34"/>
    <mergeCell ref="KYV34:KZL34"/>
    <mergeCell ref="KZM34:LAC34"/>
    <mergeCell ref="LAD34:LAT34"/>
    <mergeCell ref="LAU34:LBK34"/>
    <mergeCell ref="LBL34:LCB34"/>
    <mergeCell ref="KVO34:KWE34"/>
    <mergeCell ref="KWF34:KWV34"/>
    <mergeCell ref="KWW34:KXM34"/>
    <mergeCell ref="KXN34:KYD34"/>
    <mergeCell ref="KYE34:KYU34"/>
    <mergeCell ref="KSH34:KSX34"/>
    <mergeCell ref="KSY34:KTO34"/>
    <mergeCell ref="KTP34:KUF34"/>
    <mergeCell ref="KUG34:KUW34"/>
    <mergeCell ref="KUX34:KVN34"/>
    <mergeCell ref="KPA34:KPQ34"/>
    <mergeCell ref="KPR34:KQH34"/>
    <mergeCell ref="KQI34:KQY34"/>
    <mergeCell ref="KQZ34:KRP34"/>
    <mergeCell ref="KRQ34:KSG34"/>
    <mergeCell ref="KLT34:KMJ34"/>
    <mergeCell ref="KMK34:KNA34"/>
    <mergeCell ref="KNB34:KNR34"/>
    <mergeCell ref="KNS34:KOI34"/>
    <mergeCell ref="KOJ34:KOZ34"/>
    <mergeCell ref="KIM34:KJC34"/>
    <mergeCell ref="KJD34:KJT34"/>
    <mergeCell ref="KJU34:KKK34"/>
    <mergeCell ref="KKL34:KLB34"/>
    <mergeCell ref="KLC34:KLS34"/>
    <mergeCell ref="KFF34:KFV34"/>
    <mergeCell ref="KFW34:KGM34"/>
    <mergeCell ref="KGN34:KHD34"/>
    <mergeCell ref="KHE34:KHU34"/>
    <mergeCell ref="KHV34:KIL34"/>
    <mergeCell ref="KBY34:KCO34"/>
    <mergeCell ref="KCP34:KDF34"/>
    <mergeCell ref="KDG34:KDW34"/>
    <mergeCell ref="KDX34:KEN34"/>
    <mergeCell ref="KEO34:KFE34"/>
    <mergeCell ref="JYR34:JZH34"/>
    <mergeCell ref="JZI34:JZY34"/>
    <mergeCell ref="JZZ34:KAP34"/>
    <mergeCell ref="KAQ34:KBG34"/>
    <mergeCell ref="KBH34:KBX34"/>
    <mergeCell ref="JVK34:JWA34"/>
    <mergeCell ref="JWB34:JWR34"/>
    <mergeCell ref="JWS34:JXI34"/>
    <mergeCell ref="JXJ34:JXZ34"/>
    <mergeCell ref="JYA34:JYQ34"/>
    <mergeCell ref="JSD34:JST34"/>
    <mergeCell ref="JSU34:JTK34"/>
    <mergeCell ref="JTL34:JUB34"/>
    <mergeCell ref="JUC34:JUS34"/>
    <mergeCell ref="JUT34:JVJ34"/>
    <mergeCell ref="JOW34:JPM34"/>
    <mergeCell ref="JPN34:JQD34"/>
    <mergeCell ref="JQE34:JQU34"/>
    <mergeCell ref="JQV34:JRL34"/>
    <mergeCell ref="JRM34:JSC34"/>
    <mergeCell ref="JLP34:JMF34"/>
    <mergeCell ref="JMG34:JMW34"/>
    <mergeCell ref="JMX34:JNN34"/>
    <mergeCell ref="JNO34:JOE34"/>
    <mergeCell ref="JOF34:JOV34"/>
    <mergeCell ref="JII34:JIY34"/>
    <mergeCell ref="JIZ34:JJP34"/>
    <mergeCell ref="JJQ34:JKG34"/>
    <mergeCell ref="JKH34:JKX34"/>
    <mergeCell ref="JKY34:JLO34"/>
    <mergeCell ref="JFB34:JFR34"/>
    <mergeCell ref="JFS34:JGI34"/>
    <mergeCell ref="JGJ34:JGZ34"/>
    <mergeCell ref="JHA34:JHQ34"/>
    <mergeCell ref="JHR34:JIH34"/>
    <mergeCell ref="JBU34:JCK34"/>
    <mergeCell ref="JCL34:JDB34"/>
    <mergeCell ref="JDC34:JDS34"/>
    <mergeCell ref="JDT34:JEJ34"/>
    <mergeCell ref="JEK34:JFA34"/>
    <mergeCell ref="IYN34:IZD34"/>
    <mergeCell ref="IZE34:IZU34"/>
    <mergeCell ref="IZV34:JAL34"/>
    <mergeCell ref="JAM34:JBC34"/>
    <mergeCell ref="JBD34:JBT34"/>
    <mergeCell ref="IVG34:IVW34"/>
    <mergeCell ref="IVX34:IWN34"/>
    <mergeCell ref="IWO34:IXE34"/>
    <mergeCell ref="IXF34:IXV34"/>
    <mergeCell ref="IXW34:IYM34"/>
    <mergeCell ref="IRZ34:ISP34"/>
    <mergeCell ref="ISQ34:ITG34"/>
    <mergeCell ref="ITH34:ITX34"/>
    <mergeCell ref="ITY34:IUO34"/>
    <mergeCell ref="IUP34:IVF34"/>
    <mergeCell ref="IOS34:IPI34"/>
    <mergeCell ref="IPJ34:IPZ34"/>
    <mergeCell ref="IQA34:IQQ34"/>
    <mergeCell ref="IQR34:IRH34"/>
    <mergeCell ref="IRI34:IRY34"/>
    <mergeCell ref="ILL34:IMB34"/>
    <mergeCell ref="IMC34:IMS34"/>
    <mergeCell ref="IMT34:INJ34"/>
    <mergeCell ref="INK34:IOA34"/>
    <mergeCell ref="IOB34:IOR34"/>
    <mergeCell ref="IIE34:IIU34"/>
    <mergeCell ref="IIV34:IJL34"/>
    <mergeCell ref="IJM34:IKC34"/>
    <mergeCell ref="IKD34:IKT34"/>
    <mergeCell ref="IKU34:ILK34"/>
    <mergeCell ref="IEX34:IFN34"/>
    <mergeCell ref="IFO34:IGE34"/>
    <mergeCell ref="IGF34:IGV34"/>
    <mergeCell ref="IGW34:IHM34"/>
    <mergeCell ref="IHN34:IID34"/>
    <mergeCell ref="IBQ34:ICG34"/>
    <mergeCell ref="ICH34:ICX34"/>
    <mergeCell ref="ICY34:IDO34"/>
    <mergeCell ref="IDP34:IEF34"/>
    <mergeCell ref="IEG34:IEW34"/>
    <mergeCell ref="HYJ34:HYZ34"/>
    <mergeCell ref="HZA34:HZQ34"/>
    <mergeCell ref="HZR34:IAH34"/>
    <mergeCell ref="IAI34:IAY34"/>
    <mergeCell ref="IAZ34:IBP34"/>
    <mergeCell ref="HVC34:HVS34"/>
    <mergeCell ref="HVT34:HWJ34"/>
    <mergeCell ref="HWK34:HXA34"/>
    <mergeCell ref="HXB34:HXR34"/>
    <mergeCell ref="HXS34:HYI34"/>
    <mergeCell ref="HRV34:HSL34"/>
    <mergeCell ref="HSM34:HTC34"/>
    <mergeCell ref="HTD34:HTT34"/>
    <mergeCell ref="HTU34:HUK34"/>
    <mergeCell ref="HUL34:HVB34"/>
    <mergeCell ref="HOO34:HPE34"/>
    <mergeCell ref="HPF34:HPV34"/>
    <mergeCell ref="HPW34:HQM34"/>
    <mergeCell ref="HQN34:HRD34"/>
    <mergeCell ref="HRE34:HRU34"/>
    <mergeCell ref="HLH34:HLX34"/>
    <mergeCell ref="HLY34:HMO34"/>
    <mergeCell ref="HMP34:HNF34"/>
    <mergeCell ref="HNG34:HNW34"/>
    <mergeCell ref="HNX34:HON34"/>
    <mergeCell ref="HIA34:HIQ34"/>
    <mergeCell ref="HIR34:HJH34"/>
    <mergeCell ref="HJI34:HJY34"/>
    <mergeCell ref="HJZ34:HKP34"/>
    <mergeCell ref="HKQ34:HLG34"/>
    <mergeCell ref="HET34:HFJ34"/>
    <mergeCell ref="HFK34:HGA34"/>
    <mergeCell ref="HGB34:HGR34"/>
    <mergeCell ref="HGS34:HHI34"/>
    <mergeCell ref="HHJ34:HHZ34"/>
    <mergeCell ref="HBM34:HCC34"/>
    <mergeCell ref="HCD34:HCT34"/>
    <mergeCell ref="HCU34:HDK34"/>
    <mergeCell ref="HDL34:HEB34"/>
    <mergeCell ref="HEC34:HES34"/>
    <mergeCell ref="GYF34:GYV34"/>
    <mergeCell ref="GYW34:GZM34"/>
    <mergeCell ref="GZN34:HAD34"/>
    <mergeCell ref="HAE34:HAU34"/>
    <mergeCell ref="HAV34:HBL34"/>
    <mergeCell ref="GUY34:GVO34"/>
    <mergeCell ref="GVP34:GWF34"/>
    <mergeCell ref="GWG34:GWW34"/>
    <mergeCell ref="GWX34:GXN34"/>
    <mergeCell ref="GXO34:GYE34"/>
    <mergeCell ref="GRR34:GSH34"/>
    <mergeCell ref="GSI34:GSY34"/>
    <mergeCell ref="GSZ34:GTP34"/>
    <mergeCell ref="GTQ34:GUG34"/>
    <mergeCell ref="GUH34:GUX34"/>
    <mergeCell ref="GOK34:GPA34"/>
    <mergeCell ref="GPB34:GPR34"/>
    <mergeCell ref="GPS34:GQI34"/>
    <mergeCell ref="GQJ34:GQZ34"/>
    <mergeCell ref="GRA34:GRQ34"/>
    <mergeCell ref="GLD34:GLT34"/>
    <mergeCell ref="GLU34:GMK34"/>
    <mergeCell ref="GML34:GNB34"/>
    <mergeCell ref="GNC34:GNS34"/>
    <mergeCell ref="GNT34:GOJ34"/>
    <mergeCell ref="GHW34:GIM34"/>
    <mergeCell ref="GIN34:GJD34"/>
    <mergeCell ref="GJE34:GJU34"/>
    <mergeCell ref="GJV34:GKL34"/>
    <mergeCell ref="GKM34:GLC34"/>
    <mergeCell ref="GEP34:GFF34"/>
    <mergeCell ref="GFG34:GFW34"/>
    <mergeCell ref="GFX34:GGN34"/>
    <mergeCell ref="GGO34:GHE34"/>
    <mergeCell ref="GHF34:GHV34"/>
    <mergeCell ref="GBI34:GBY34"/>
    <mergeCell ref="GBZ34:GCP34"/>
    <mergeCell ref="GCQ34:GDG34"/>
    <mergeCell ref="GDH34:GDX34"/>
    <mergeCell ref="GDY34:GEO34"/>
    <mergeCell ref="FYB34:FYR34"/>
    <mergeCell ref="FYS34:FZI34"/>
    <mergeCell ref="FZJ34:FZZ34"/>
    <mergeCell ref="GAA34:GAQ34"/>
    <mergeCell ref="GAR34:GBH34"/>
    <mergeCell ref="FUU34:FVK34"/>
    <mergeCell ref="FVL34:FWB34"/>
    <mergeCell ref="FWC34:FWS34"/>
    <mergeCell ref="FWT34:FXJ34"/>
    <mergeCell ref="FXK34:FYA34"/>
    <mergeCell ref="FRN34:FSD34"/>
    <mergeCell ref="FSE34:FSU34"/>
    <mergeCell ref="FSV34:FTL34"/>
    <mergeCell ref="FTM34:FUC34"/>
    <mergeCell ref="FUD34:FUT34"/>
    <mergeCell ref="FOG34:FOW34"/>
    <mergeCell ref="FOX34:FPN34"/>
    <mergeCell ref="FPO34:FQE34"/>
    <mergeCell ref="FQF34:FQV34"/>
    <mergeCell ref="FQW34:FRM34"/>
    <mergeCell ref="FKZ34:FLP34"/>
    <mergeCell ref="FLQ34:FMG34"/>
    <mergeCell ref="FMH34:FMX34"/>
    <mergeCell ref="FMY34:FNO34"/>
    <mergeCell ref="FNP34:FOF34"/>
    <mergeCell ref="FHS34:FII34"/>
    <mergeCell ref="FIJ34:FIZ34"/>
    <mergeCell ref="FJA34:FJQ34"/>
    <mergeCell ref="FJR34:FKH34"/>
    <mergeCell ref="FKI34:FKY34"/>
    <mergeCell ref="FEL34:FFB34"/>
    <mergeCell ref="FFC34:FFS34"/>
    <mergeCell ref="FFT34:FGJ34"/>
    <mergeCell ref="FGK34:FHA34"/>
    <mergeCell ref="FHB34:FHR34"/>
    <mergeCell ref="FBE34:FBU34"/>
    <mergeCell ref="FBV34:FCL34"/>
    <mergeCell ref="FCM34:FDC34"/>
    <mergeCell ref="FDD34:FDT34"/>
    <mergeCell ref="FDU34:FEK34"/>
    <mergeCell ref="EXX34:EYN34"/>
    <mergeCell ref="EYO34:EZE34"/>
    <mergeCell ref="EZF34:EZV34"/>
    <mergeCell ref="EZW34:FAM34"/>
    <mergeCell ref="FAN34:FBD34"/>
    <mergeCell ref="EUQ34:EVG34"/>
    <mergeCell ref="EVH34:EVX34"/>
    <mergeCell ref="EVY34:EWO34"/>
    <mergeCell ref="EWP34:EXF34"/>
    <mergeCell ref="EXG34:EXW34"/>
    <mergeCell ref="ERJ34:ERZ34"/>
    <mergeCell ref="ESA34:ESQ34"/>
    <mergeCell ref="ESR34:ETH34"/>
    <mergeCell ref="ETI34:ETY34"/>
    <mergeCell ref="ETZ34:EUP34"/>
    <mergeCell ref="EOC34:EOS34"/>
    <mergeCell ref="EOT34:EPJ34"/>
    <mergeCell ref="EPK34:EQA34"/>
    <mergeCell ref="EQB34:EQR34"/>
    <mergeCell ref="EQS34:ERI34"/>
    <mergeCell ref="EKV34:ELL34"/>
    <mergeCell ref="ELM34:EMC34"/>
    <mergeCell ref="EMD34:EMT34"/>
    <mergeCell ref="EMU34:ENK34"/>
    <mergeCell ref="ENL34:EOB34"/>
    <mergeCell ref="EHO34:EIE34"/>
    <mergeCell ref="EIF34:EIV34"/>
    <mergeCell ref="EIW34:EJM34"/>
    <mergeCell ref="EJN34:EKD34"/>
    <mergeCell ref="EKE34:EKU34"/>
    <mergeCell ref="EEH34:EEX34"/>
    <mergeCell ref="EEY34:EFO34"/>
    <mergeCell ref="EFP34:EGF34"/>
    <mergeCell ref="EGG34:EGW34"/>
    <mergeCell ref="EGX34:EHN34"/>
    <mergeCell ref="EBA34:EBQ34"/>
    <mergeCell ref="EBR34:ECH34"/>
    <mergeCell ref="ECI34:ECY34"/>
    <mergeCell ref="ECZ34:EDP34"/>
    <mergeCell ref="EDQ34:EEG34"/>
    <mergeCell ref="DXT34:DYJ34"/>
    <mergeCell ref="DYK34:DZA34"/>
    <mergeCell ref="DZB34:DZR34"/>
    <mergeCell ref="DZS34:EAI34"/>
    <mergeCell ref="EAJ34:EAZ34"/>
    <mergeCell ref="DUM34:DVC34"/>
    <mergeCell ref="DVD34:DVT34"/>
    <mergeCell ref="DVU34:DWK34"/>
    <mergeCell ref="DWL34:DXB34"/>
    <mergeCell ref="DXC34:DXS34"/>
    <mergeCell ref="DRF34:DRV34"/>
    <mergeCell ref="DRW34:DSM34"/>
    <mergeCell ref="DSN34:DTD34"/>
    <mergeCell ref="DTE34:DTU34"/>
    <mergeCell ref="DTV34:DUL34"/>
    <mergeCell ref="DNY34:DOO34"/>
    <mergeCell ref="DOP34:DPF34"/>
    <mergeCell ref="DPG34:DPW34"/>
    <mergeCell ref="DPX34:DQN34"/>
    <mergeCell ref="DQO34:DRE34"/>
    <mergeCell ref="DKR34:DLH34"/>
    <mergeCell ref="DLI34:DLY34"/>
    <mergeCell ref="DLZ34:DMP34"/>
    <mergeCell ref="DMQ34:DNG34"/>
    <mergeCell ref="DNH34:DNX34"/>
    <mergeCell ref="DHK34:DIA34"/>
    <mergeCell ref="DIB34:DIR34"/>
    <mergeCell ref="DIS34:DJI34"/>
    <mergeCell ref="DJJ34:DJZ34"/>
    <mergeCell ref="DKA34:DKQ34"/>
    <mergeCell ref="DED34:DET34"/>
    <mergeCell ref="DEU34:DFK34"/>
    <mergeCell ref="DFL34:DGB34"/>
    <mergeCell ref="DGC34:DGS34"/>
    <mergeCell ref="DGT34:DHJ34"/>
    <mergeCell ref="DAW34:DBM34"/>
    <mergeCell ref="DBN34:DCD34"/>
    <mergeCell ref="DCE34:DCU34"/>
    <mergeCell ref="DCV34:DDL34"/>
    <mergeCell ref="DDM34:DEC34"/>
    <mergeCell ref="CXP34:CYF34"/>
    <mergeCell ref="CYG34:CYW34"/>
    <mergeCell ref="CYX34:CZN34"/>
    <mergeCell ref="CZO34:DAE34"/>
    <mergeCell ref="DAF34:DAV34"/>
    <mergeCell ref="CUI34:CUY34"/>
    <mergeCell ref="CUZ34:CVP34"/>
    <mergeCell ref="CVQ34:CWG34"/>
    <mergeCell ref="CWH34:CWX34"/>
    <mergeCell ref="CWY34:CXO34"/>
    <mergeCell ref="CRB34:CRR34"/>
    <mergeCell ref="CRS34:CSI34"/>
    <mergeCell ref="CSJ34:CSZ34"/>
    <mergeCell ref="CTA34:CTQ34"/>
    <mergeCell ref="CTR34:CUH34"/>
    <mergeCell ref="CNU34:COK34"/>
    <mergeCell ref="COL34:CPB34"/>
    <mergeCell ref="CPC34:CPS34"/>
    <mergeCell ref="CPT34:CQJ34"/>
    <mergeCell ref="CQK34:CRA34"/>
    <mergeCell ref="CKN34:CLD34"/>
    <mergeCell ref="CLE34:CLU34"/>
    <mergeCell ref="CLV34:CML34"/>
    <mergeCell ref="CMM34:CNC34"/>
    <mergeCell ref="CND34:CNT34"/>
    <mergeCell ref="CHG34:CHW34"/>
    <mergeCell ref="CHX34:CIN34"/>
    <mergeCell ref="CIO34:CJE34"/>
    <mergeCell ref="CJF34:CJV34"/>
    <mergeCell ref="CJW34:CKM34"/>
    <mergeCell ref="CDZ34:CEP34"/>
    <mergeCell ref="CEQ34:CFG34"/>
    <mergeCell ref="CFH34:CFX34"/>
    <mergeCell ref="CFY34:CGO34"/>
    <mergeCell ref="CGP34:CHF34"/>
    <mergeCell ref="CAS34:CBI34"/>
    <mergeCell ref="CBJ34:CBZ34"/>
    <mergeCell ref="CCA34:CCQ34"/>
    <mergeCell ref="CCR34:CDH34"/>
    <mergeCell ref="CDI34:CDY34"/>
    <mergeCell ref="BXL34:BYB34"/>
    <mergeCell ref="BYC34:BYS34"/>
    <mergeCell ref="BYT34:BZJ34"/>
    <mergeCell ref="BZK34:CAA34"/>
    <mergeCell ref="CAB34:CAR34"/>
    <mergeCell ref="BUE34:BUU34"/>
    <mergeCell ref="BUV34:BVL34"/>
    <mergeCell ref="BVM34:BWC34"/>
    <mergeCell ref="BWD34:BWT34"/>
    <mergeCell ref="BWU34:BXK34"/>
    <mergeCell ref="BQX34:BRN34"/>
    <mergeCell ref="BRO34:BSE34"/>
    <mergeCell ref="BSF34:BSV34"/>
    <mergeCell ref="BSW34:BTM34"/>
    <mergeCell ref="BTN34:BUD34"/>
    <mergeCell ref="BNQ34:BOG34"/>
    <mergeCell ref="BOH34:BOX34"/>
    <mergeCell ref="BOY34:BPO34"/>
    <mergeCell ref="BPP34:BQF34"/>
    <mergeCell ref="BQG34:BQW34"/>
    <mergeCell ref="BKJ34:BKZ34"/>
    <mergeCell ref="BLA34:BLQ34"/>
    <mergeCell ref="BLR34:BMH34"/>
    <mergeCell ref="BMI34:BMY34"/>
    <mergeCell ref="BMZ34:BNP34"/>
    <mergeCell ref="BHC34:BHS34"/>
    <mergeCell ref="BHT34:BIJ34"/>
    <mergeCell ref="BIK34:BJA34"/>
    <mergeCell ref="BJB34:BJR34"/>
    <mergeCell ref="BJS34:BKI34"/>
    <mergeCell ref="BDV34:BEL34"/>
    <mergeCell ref="BEM34:BFC34"/>
    <mergeCell ref="BFD34:BFT34"/>
    <mergeCell ref="BFU34:BGK34"/>
    <mergeCell ref="BGL34:BHB34"/>
    <mergeCell ref="BAO34:BBE34"/>
    <mergeCell ref="BBF34:BBV34"/>
    <mergeCell ref="BBW34:BCM34"/>
    <mergeCell ref="BCN34:BDD34"/>
    <mergeCell ref="BDE34:BDU34"/>
    <mergeCell ref="AXH34:AXX34"/>
    <mergeCell ref="AXY34:AYO34"/>
    <mergeCell ref="AYP34:AZF34"/>
    <mergeCell ref="AZG34:AZW34"/>
    <mergeCell ref="AZX34:BAN34"/>
    <mergeCell ref="AUA34:AUQ34"/>
    <mergeCell ref="AUR34:AVH34"/>
    <mergeCell ref="AVI34:AVY34"/>
    <mergeCell ref="AVZ34:AWP34"/>
    <mergeCell ref="AWQ34:AXG34"/>
    <mergeCell ref="AQT34:ARJ34"/>
    <mergeCell ref="ARK34:ASA34"/>
    <mergeCell ref="ASB34:ASR34"/>
    <mergeCell ref="ASS34:ATI34"/>
    <mergeCell ref="ATJ34:ATZ34"/>
    <mergeCell ref="ANM34:AOC34"/>
    <mergeCell ref="AOD34:AOT34"/>
    <mergeCell ref="AOU34:APK34"/>
    <mergeCell ref="APL34:AQB34"/>
    <mergeCell ref="AQC34:AQS34"/>
    <mergeCell ref="AKF34:AKV34"/>
    <mergeCell ref="AKW34:ALM34"/>
    <mergeCell ref="ALN34:AMD34"/>
    <mergeCell ref="AME34:AMU34"/>
    <mergeCell ref="AMV34:ANL34"/>
    <mergeCell ref="AGY34:AHO34"/>
    <mergeCell ref="AHP34:AIF34"/>
    <mergeCell ref="AIG34:AIW34"/>
    <mergeCell ref="AIX34:AJN34"/>
    <mergeCell ref="AJO34:AKE34"/>
    <mergeCell ref="ADR34:AEH34"/>
    <mergeCell ref="AEI34:AEY34"/>
    <mergeCell ref="AEZ34:AFP34"/>
    <mergeCell ref="AFQ34:AGG34"/>
    <mergeCell ref="AGH34:AGX34"/>
    <mergeCell ref="AAK34:ABA34"/>
    <mergeCell ref="ABB34:ABR34"/>
    <mergeCell ref="ABS34:ACI34"/>
    <mergeCell ref="ACJ34:ACZ34"/>
    <mergeCell ref="ADA34:ADQ34"/>
    <mergeCell ref="XD34:XT34"/>
    <mergeCell ref="XU34:YK34"/>
    <mergeCell ref="YL34:ZB34"/>
    <mergeCell ref="ZC34:ZS34"/>
    <mergeCell ref="ZT34:AAJ34"/>
    <mergeCell ref="TW34:UM34"/>
    <mergeCell ref="UN34:VD34"/>
    <mergeCell ref="VE34:VU34"/>
    <mergeCell ref="VV34:WL34"/>
    <mergeCell ref="WM34:XC34"/>
    <mergeCell ref="QP34:RF34"/>
    <mergeCell ref="RG34:RW34"/>
    <mergeCell ref="RX34:SN34"/>
    <mergeCell ref="SO34:TE34"/>
    <mergeCell ref="TF34:TV34"/>
    <mergeCell ref="NI34:NY34"/>
    <mergeCell ref="NZ34:OP34"/>
    <mergeCell ref="OQ34:PG34"/>
    <mergeCell ref="PH34:PX34"/>
    <mergeCell ref="PY34:QO34"/>
    <mergeCell ref="KB34:KR34"/>
    <mergeCell ref="KS34:LI34"/>
    <mergeCell ref="LJ34:LZ34"/>
    <mergeCell ref="MA34:MQ34"/>
    <mergeCell ref="MR34:NH34"/>
    <mergeCell ref="GU34:HK34"/>
    <mergeCell ref="HL34:IB34"/>
    <mergeCell ref="IC34:IS34"/>
    <mergeCell ref="IT34:JJ34"/>
    <mergeCell ref="JK34:KA34"/>
    <mergeCell ref="DN34:ED34"/>
    <mergeCell ref="EE34:EU34"/>
    <mergeCell ref="EV34:FL34"/>
    <mergeCell ref="FM34:GC34"/>
    <mergeCell ref="GD34:GT34"/>
    <mergeCell ref="AX34:BN34"/>
    <mergeCell ref="BO34:CE34"/>
    <mergeCell ref="CF34:CV34"/>
    <mergeCell ref="CW34:DM34"/>
    <mergeCell ref="XBZ33:XCP33"/>
    <mergeCell ref="XCQ33:XDG33"/>
    <mergeCell ref="XDH33:XDX33"/>
    <mergeCell ref="WOX33:WPN33"/>
    <mergeCell ref="WPO33:WQE33"/>
    <mergeCell ref="WQF33:WQV33"/>
    <mergeCell ref="WQW33:WRM33"/>
    <mergeCell ref="WRN33:WSD33"/>
    <mergeCell ref="WLQ33:WMG33"/>
    <mergeCell ref="WMH33:WMX33"/>
    <mergeCell ref="WMY33:WNO33"/>
    <mergeCell ref="WNP33:WOF33"/>
    <mergeCell ref="WOG33:WOW33"/>
    <mergeCell ref="WIJ33:WIZ33"/>
    <mergeCell ref="WJA33:WJQ33"/>
    <mergeCell ref="WJR33:WKH33"/>
    <mergeCell ref="WKI33:WKY33"/>
    <mergeCell ref="WKZ33:WLP33"/>
    <mergeCell ref="XDY33:XEO33"/>
    <mergeCell ref="XEP33:XFB33"/>
    <mergeCell ref="WYS33:WZI33"/>
    <mergeCell ref="WZJ33:WZZ33"/>
    <mergeCell ref="XAA33:XAQ33"/>
    <mergeCell ref="XAR33:XBH33"/>
    <mergeCell ref="XBI33:XBY33"/>
    <mergeCell ref="WVL33:WWB33"/>
    <mergeCell ref="WWC33:WWS33"/>
    <mergeCell ref="WWT33:WXJ33"/>
    <mergeCell ref="WXK33:WYA33"/>
    <mergeCell ref="WYB33:WYR33"/>
    <mergeCell ref="WSE33:WSU33"/>
    <mergeCell ref="WSV33:WTL33"/>
    <mergeCell ref="WTM33:WUC33"/>
    <mergeCell ref="WUD33:WUT33"/>
    <mergeCell ref="WUU33:WVK33"/>
    <mergeCell ref="WFC33:WFS33"/>
    <mergeCell ref="WFT33:WGJ33"/>
    <mergeCell ref="WGK33:WHA33"/>
    <mergeCell ref="WHB33:WHR33"/>
    <mergeCell ref="WHS33:WII33"/>
    <mergeCell ref="WBV33:WCL33"/>
    <mergeCell ref="WCM33:WDC33"/>
    <mergeCell ref="WDD33:WDT33"/>
    <mergeCell ref="WDU33:WEK33"/>
    <mergeCell ref="WEL33:WFB33"/>
    <mergeCell ref="VYO33:VZE33"/>
    <mergeCell ref="VZF33:VZV33"/>
    <mergeCell ref="VZW33:WAM33"/>
    <mergeCell ref="WAN33:WBD33"/>
    <mergeCell ref="WBE33:WBU33"/>
    <mergeCell ref="VVH33:VVX33"/>
    <mergeCell ref="VVY33:VWO33"/>
    <mergeCell ref="VWP33:VXF33"/>
    <mergeCell ref="VXG33:VXW33"/>
    <mergeCell ref="VXX33:VYN33"/>
    <mergeCell ref="VSA33:VSQ33"/>
    <mergeCell ref="VSR33:VTH33"/>
    <mergeCell ref="VTI33:VTY33"/>
    <mergeCell ref="VTZ33:VUP33"/>
    <mergeCell ref="VUQ33:VVG33"/>
    <mergeCell ref="VOT33:VPJ33"/>
    <mergeCell ref="VPK33:VQA33"/>
    <mergeCell ref="VQB33:VQR33"/>
    <mergeCell ref="VQS33:VRI33"/>
    <mergeCell ref="VRJ33:VRZ33"/>
    <mergeCell ref="VLM33:VMC33"/>
    <mergeCell ref="VMD33:VMT33"/>
    <mergeCell ref="VMU33:VNK33"/>
    <mergeCell ref="VNL33:VOB33"/>
    <mergeCell ref="VOC33:VOS33"/>
    <mergeCell ref="VIF33:VIV33"/>
    <mergeCell ref="VIW33:VJM33"/>
    <mergeCell ref="VJN33:VKD33"/>
    <mergeCell ref="VKE33:VKU33"/>
    <mergeCell ref="VKV33:VLL33"/>
    <mergeCell ref="VEY33:VFO33"/>
    <mergeCell ref="VFP33:VGF33"/>
    <mergeCell ref="VGG33:VGW33"/>
    <mergeCell ref="VGX33:VHN33"/>
    <mergeCell ref="VHO33:VIE33"/>
    <mergeCell ref="VBR33:VCH33"/>
    <mergeCell ref="VCI33:VCY33"/>
    <mergeCell ref="VCZ33:VDP33"/>
    <mergeCell ref="VDQ33:VEG33"/>
    <mergeCell ref="VEH33:VEX33"/>
    <mergeCell ref="UYK33:UZA33"/>
    <mergeCell ref="UZB33:UZR33"/>
    <mergeCell ref="UZS33:VAI33"/>
    <mergeCell ref="VAJ33:VAZ33"/>
    <mergeCell ref="VBA33:VBQ33"/>
    <mergeCell ref="UVD33:UVT33"/>
    <mergeCell ref="UVU33:UWK33"/>
    <mergeCell ref="UWL33:UXB33"/>
    <mergeCell ref="UXC33:UXS33"/>
    <mergeCell ref="UXT33:UYJ33"/>
    <mergeCell ref="URW33:USM33"/>
    <mergeCell ref="USN33:UTD33"/>
    <mergeCell ref="UTE33:UTU33"/>
    <mergeCell ref="UTV33:UUL33"/>
    <mergeCell ref="UUM33:UVC33"/>
    <mergeCell ref="UOP33:UPF33"/>
    <mergeCell ref="UPG33:UPW33"/>
    <mergeCell ref="UPX33:UQN33"/>
    <mergeCell ref="UQO33:URE33"/>
    <mergeCell ref="URF33:URV33"/>
    <mergeCell ref="ULI33:ULY33"/>
    <mergeCell ref="ULZ33:UMP33"/>
    <mergeCell ref="UMQ33:UNG33"/>
    <mergeCell ref="UNH33:UNX33"/>
    <mergeCell ref="UNY33:UOO33"/>
    <mergeCell ref="UIB33:UIR33"/>
    <mergeCell ref="UIS33:UJI33"/>
    <mergeCell ref="UJJ33:UJZ33"/>
    <mergeCell ref="UKA33:UKQ33"/>
    <mergeCell ref="UKR33:ULH33"/>
    <mergeCell ref="UEU33:UFK33"/>
    <mergeCell ref="UFL33:UGB33"/>
    <mergeCell ref="UGC33:UGS33"/>
    <mergeCell ref="UGT33:UHJ33"/>
    <mergeCell ref="UHK33:UIA33"/>
    <mergeCell ref="UBN33:UCD33"/>
    <mergeCell ref="UCE33:UCU33"/>
    <mergeCell ref="UCV33:UDL33"/>
    <mergeCell ref="UDM33:UEC33"/>
    <mergeCell ref="UED33:UET33"/>
    <mergeCell ref="TYG33:TYW33"/>
    <mergeCell ref="TYX33:TZN33"/>
    <mergeCell ref="TZO33:UAE33"/>
    <mergeCell ref="UAF33:UAV33"/>
    <mergeCell ref="UAW33:UBM33"/>
    <mergeCell ref="TUZ33:TVP33"/>
    <mergeCell ref="TVQ33:TWG33"/>
    <mergeCell ref="TWH33:TWX33"/>
    <mergeCell ref="TWY33:TXO33"/>
    <mergeCell ref="TXP33:TYF33"/>
    <mergeCell ref="TRS33:TSI33"/>
    <mergeCell ref="TSJ33:TSZ33"/>
    <mergeCell ref="TTA33:TTQ33"/>
    <mergeCell ref="TTR33:TUH33"/>
    <mergeCell ref="TUI33:TUY33"/>
    <mergeCell ref="TOL33:TPB33"/>
    <mergeCell ref="TPC33:TPS33"/>
    <mergeCell ref="TPT33:TQJ33"/>
    <mergeCell ref="TQK33:TRA33"/>
    <mergeCell ref="TRB33:TRR33"/>
    <mergeCell ref="TLE33:TLU33"/>
    <mergeCell ref="TLV33:TML33"/>
    <mergeCell ref="TMM33:TNC33"/>
    <mergeCell ref="TND33:TNT33"/>
    <mergeCell ref="TNU33:TOK33"/>
    <mergeCell ref="THX33:TIN33"/>
    <mergeCell ref="TIO33:TJE33"/>
    <mergeCell ref="TJF33:TJV33"/>
    <mergeCell ref="TJW33:TKM33"/>
    <mergeCell ref="TKN33:TLD33"/>
    <mergeCell ref="TEQ33:TFG33"/>
    <mergeCell ref="TFH33:TFX33"/>
    <mergeCell ref="TFY33:TGO33"/>
    <mergeCell ref="TGP33:THF33"/>
    <mergeCell ref="THG33:THW33"/>
    <mergeCell ref="TBJ33:TBZ33"/>
    <mergeCell ref="TCA33:TCQ33"/>
    <mergeCell ref="TCR33:TDH33"/>
    <mergeCell ref="TDI33:TDY33"/>
    <mergeCell ref="TDZ33:TEP33"/>
    <mergeCell ref="SYC33:SYS33"/>
    <mergeCell ref="SYT33:SZJ33"/>
    <mergeCell ref="SZK33:TAA33"/>
    <mergeCell ref="TAB33:TAR33"/>
    <mergeCell ref="TAS33:TBI33"/>
    <mergeCell ref="SUV33:SVL33"/>
    <mergeCell ref="SVM33:SWC33"/>
    <mergeCell ref="SWD33:SWT33"/>
    <mergeCell ref="SWU33:SXK33"/>
    <mergeCell ref="SXL33:SYB33"/>
    <mergeCell ref="SRO33:SSE33"/>
    <mergeCell ref="SSF33:SSV33"/>
    <mergeCell ref="SSW33:STM33"/>
    <mergeCell ref="STN33:SUD33"/>
    <mergeCell ref="SUE33:SUU33"/>
    <mergeCell ref="SOH33:SOX33"/>
    <mergeCell ref="SOY33:SPO33"/>
    <mergeCell ref="SPP33:SQF33"/>
    <mergeCell ref="SQG33:SQW33"/>
    <mergeCell ref="SQX33:SRN33"/>
    <mergeCell ref="SLA33:SLQ33"/>
    <mergeCell ref="SLR33:SMH33"/>
    <mergeCell ref="SMI33:SMY33"/>
    <mergeCell ref="SMZ33:SNP33"/>
    <mergeCell ref="SNQ33:SOG33"/>
    <mergeCell ref="SHT33:SIJ33"/>
    <mergeCell ref="SIK33:SJA33"/>
    <mergeCell ref="SJB33:SJR33"/>
    <mergeCell ref="SJS33:SKI33"/>
    <mergeCell ref="SKJ33:SKZ33"/>
    <mergeCell ref="SEM33:SFC33"/>
    <mergeCell ref="SFD33:SFT33"/>
    <mergeCell ref="SFU33:SGK33"/>
    <mergeCell ref="SGL33:SHB33"/>
    <mergeCell ref="SHC33:SHS33"/>
    <mergeCell ref="SBF33:SBV33"/>
    <mergeCell ref="SBW33:SCM33"/>
    <mergeCell ref="SCN33:SDD33"/>
    <mergeCell ref="SDE33:SDU33"/>
    <mergeCell ref="SDV33:SEL33"/>
    <mergeCell ref="RXY33:RYO33"/>
    <mergeCell ref="RYP33:RZF33"/>
    <mergeCell ref="RZG33:RZW33"/>
    <mergeCell ref="RZX33:SAN33"/>
    <mergeCell ref="SAO33:SBE33"/>
    <mergeCell ref="RUR33:RVH33"/>
    <mergeCell ref="RVI33:RVY33"/>
    <mergeCell ref="RVZ33:RWP33"/>
    <mergeCell ref="RWQ33:RXG33"/>
    <mergeCell ref="RXH33:RXX33"/>
    <mergeCell ref="RRK33:RSA33"/>
    <mergeCell ref="RSB33:RSR33"/>
    <mergeCell ref="RSS33:RTI33"/>
    <mergeCell ref="RTJ33:RTZ33"/>
    <mergeCell ref="RUA33:RUQ33"/>
    <mergeCell ref="ROD33:ROT33"/>
    <mergeCell ref="ROU33:RPK33"/>
    <mergeCell ref="RPL33:RQB33"/>
    <mergeCell ref="RQC33:RQS33"/>
    <mergeCell ref="RQT33:RRJ33"/>
    <mergeCell ref="RKW33:RLM33"/>
    <mergeCell ref="RLN33:RMD33"/>
    <mergeCell ref="RME33:RMU33"/>
    <mergeCell ref="RMV33:RNL33"/>
    <mergeCell ref="RNM33:ROC33"/>
    <mergeCell ref="RHP33:RIF33"/>
    <mergeCell ref="RIG33:RIW33"/>
    <mergeCell ref="RIX33:RJN33"/>
    <mergeCell ref="RJO33:RKE33"/>
    <mergeCell ref="RKF33:RKV33"/>
    <mergeCell ref="REI33:REY33"/>
    <mergeCell ref="REZ33:RFP33"/>
    <mergeCell ref="RFQ33:RGG33"/>
    <mergeCell ref="RGH33:RGX33"/>
    <mergeCell ref="RGY33:RHO33"/>
    <mergeCell ref="RBB33:RBR33"/>
    <mergeCell ref="RBS33:RCI33"/>
    <mergeCell ref="RCJ33:RCZ33"/>
    <mergeCell ref="RDA33:RDQ33"/>
    <mergeCell ref="RDR33:REH33"/>
    <mergeCell ref="QXU33:QYK33"/>
    <mergeCell ref="QYL33:QZB33"/>
    <mergeCell ref="QZC33:QZS33"/>
    <mergeCell ref="QZT33:RAJ33"/>
    <mergeCell ref="RAK33:RBA33"/>
    <mergeCell ref="QUN33:QVD33"/>
    <mergeCell ref="QVE33:QVU33"/>
    <mergeCell ref="QVV33:QWL33"/>
    <mergeCell ref="QWM33:QXC33"/>
    <mergeCell ref="QXD33:QXT33"/>
    <mergeCell ref="QRG33:QRW33"/>
    <mergeCell ref="QRX33:QSN33"/>
    <mergeCell ref="QSO33:QTE33"/>
    <mergeCell ref="QTF33:QTV33"/>
    <mergeCell ref="QTW33:QUM33"/>
    <mergeCell ref="QNZ33:QOP33"/>
    <mergeCell ref="QOQ33:QPG33"/>
    <mergeCell ref="QPH33:QPX33"/>
    <mergeCell ref="QPY33:QQO33"/>
    <mergeCell ref="QQP33:QRF33"/>
    <mergeCell ref="QKS33:QLI33"/>
    <mergeCell ref="QLJ33:QLZ33"/>
    <mergeCell ref="QMA33:QMQ33"/>
    <mergeCell ref="QMR33:QNH33"/>
    <mergeCell ref="QNI33:QNY33"/>
    <mergeCell ref="QHL33:QIB33"/>
    <mergeCell ref="QIC33:QIS33"/>
    <mergeCell ref="QIT33:QJJ33"/>
    <mergeCell ref="QJK33:QKA33"/>
    <mergeCell ref="QKB33:QKR33"/>
    <mergeCell ref="QEE33:QEU33"/>
    <mergeCell ref="QEV33:QFL33"/>
    <mergeCell ref="QFM33:QGC33"/>
    <mergeCell ref="QGD33:QGT33"/>
    <mergeCell ref="QGU33:QHK33"/>
    <mergeCell ref="QAX33:QBN33"/>
    <mergeCell ref="QBO33:QCE33"/>
    <mergeCell ref="QCF33:QCV33"/>
    <mergeCell ref="QCW33:QDM33"/>
    <mergeCell ref="QDN33:QED33"/>
    <mergeCell ref="PXQ33:PYG33"/>
    <mergeCell ref="PYH33:PYX33"/>
    <mergeCell ref="PYY33:PZO33"/>
    <mergeCell ref="PZP33:QAF33"/>
    <mergeCell ref="QAG33:QAW33"/>
    <mergeCell ref="PUJ33:PUZ33"/>
    <mergeCell ref="PVA33:PVQ33"/>
    <mergeCell ref="PVR33:PWH33"/>
    <mergeCell ref="PWI33:PWY33"/>
    <mergeCell ref="PWZ33:PXP33"/>
    <mergeCell ref="PRC33:PRS33"/>
    <mergeCell ref="PRT33:PSJ33"/>
    <mergeCell ref="PSK33:PTA33"/>
    <mergeCell ref="PTB33:PTR33"/>
    <mergeCell ref="PTS33:PUI33"/>
    <mergeCell ref="PNV33:POL33"/>
    <mergeCell ref="POM33:PPC33"/>
    <mergeCell ref="PPD33:PPT33"/>
    <mergeCell ref="PPU33:PQK33"/>
    <mergeCell ref="PQL33:PRB33"/>
    <mergeCell ref="PKO33:PLE33"/>
    <mergeCell ref="PLF33:PLV33"/>
    <mergeCell ref="PLW33:PMM33"/>
    <mergeCell ref="PMN33:PND33"/>
    <mergeCell ref="PNE33:PNU33"/>
    <mergeCell ref="PHH33:PHX33"/>
    <mergeCell ref="PHY33:PIO33"/>
    <mergeCell ref="PIP33:PJF33"/>
    <mergeCell ref="PJG33:PJW33"/>
    <mergeCell ref="PJX33:PKN33"/>
    <mergeCell ref="PEA33:PEQ33"/>
    <mergeCell ref="PER33:PFH33"/>
    <mergeCell ref="PFI33:PFY33"/>
    <mergeCell ref="PFZ33:PGP33"/>
    <mergeCell ref="PGQ33:PHG33"/>
    <mergeCell ref="PAT33:PBJ33"/>
    <mergeCell ref="PBK33:PCA33"/>
    <mergeCell ref="PCB33:PCR33"/>
    <mergeCell ref="PCS33:PDI33"/>
    <mergeCell ref="PDJ33:PDZ33"/>
    <mergeCell ref="OXM33:OYC33"/>
    <mergeCell ref="OYD33:OYT33"/>
    <mergeCell ref="OYU33:OZK33"/>
    <mergeCell ref="OZL33:PAB33"/>
    <mergeCell ref="PAC33:PAS33"/>
    <mergeCell ref="OUF33:OUV33"/>
    <mergeCell ref="OUW33:OVM33"/>
    <mergeCell ref="OVN33:OWD33"/>
    <mergeCell ref="OWE33:OWU33"/>
    <mergeCell ref="OWV33:OXL33"/>
    <mergeCell ref="OQY33:ORO33"/>
    <mergeCell ref="ORP33:OSF33"/>
    <mergeCell ref="OSG33:OSW33"/>
    <mergeCell ref="OSX33:OTN33"/>
    <mergeCell ref="OTO33:OUE33"/>
    <mergeCell ref="ONR33:OOH33"/>
    <mergeCell ref="OOI33:OOY33"/>
    <mergeCell ref="OOZ33:OPP33"/>
    <mergeCell ref="OPQ33:OQG33"/>
    <mergeCell ref="OQH33:OQX33"/>
    <mergeCell ref="OKK33:OLA33"/>
    <mergeCell ref="OLB33:OLR33"/>
    <mergeCell ref="OLS33:OMI33"/>
    <mergeCell ref="OMJ33:OMZ33"/>
    <mergeCell ref="ONA33:ONQ33"/>
    <mergeCell ref="OHD33:OHT33"/>
    <mergeCell ref="OHU33:OIK33"/>
    <mergeCell ref="OIL33:OJB33"/>
    <mergeCell ref="OJC33:OJS33"/>
    <mergeCell ref="OJT33:OKJ33"/>
    <mergeCell ref="ODW33:OEM33"/>
    <mergeCell ref="OEN33:OFD33"/>
    <mergeCell ref="OFE33:OFU33"/>
    <mergeCell ref="OFV33:OGL33"/>
    <mergeCell ref="OGM33:OHC33"/>
    <mergeCell ref="OAP33:OBF33"/>
    <mergeCell ref="OBG33:OBW33"/>
    <mergeCell ref="OBX33:OCN33"/>
    <mergeCell ref="OCO33:ODE33"/>
    <mergeCell ref="ODF33:ODV33"/>
    <mergeCell ref="NXI33:NXY33"/>
    <mergeCell ref="NXZ33:NYP33"/>
    <mergeCell ref="NYQ33:NZG33"/>
    <mergeCell ref="NZH33:NZX33"/>
    <mergeCell ref="NZY33:OAO33"/>
    <mergeCell ref="NUB33:NUR33"/>
    <mergeCell ref="NUS33:NVI33"/>
    <mergeCell ref="NVJ33:NVZ33"/>
    <mergeCell ref="NWA33:NWQ33"/>
    <mergeCell ref="NWR33:NXH33"/>
    <mergeCell ref="NQU33:NRK33"/>
    <mergeCell ref="NRL33:NSB33"/>
    <mergeCell ref="NSC33:NSS33"/>
    <mergeCell ref="NST33:NTJ33"/>
    <mergeCell ref="NTK33:NUA33"/>
    <mergeCell ref="NNN33:NOD33"/>
    <mergeCell ref="NOE33:NOU33"/>
    <mergeCell ref="NOV33:NPL33"/>
    <mergeCell ref="NPM33:NQC33"/>
    <mergeCell ref="NQD33:NQT33"/>
    <mergeCell ref="NKG33:NKW33"/>
    <mergeCell ref="NKX33:NLN33"/>
    <mergeCell ref="NLO33:NME33"/>
    <mergeCell ref="NMF33:NMV33"/>
    <mergeCell ref="NMW33:NNM33"/>
    <mergeCell ref="NGZ33:NHP33"/>
    <mergeCell ref="NHQ33:NIG33"/>
    <mergeCell ref="NIH33:NIX33"/>
    <mergeCell ref="NIY33:NJO33"/>
    <mergeCell ref="NJP33:NKF33"/>
    <mergeCell ref="NDS33:NEI33"/>
    <mergeCell ref="NEJ33:NEZ33"/>
    <mergeCell ref="NFA33:NFQ33"/>
    <mergeCell ref="NFR33:NGH33"/>
    <mergeCell ref="NGI33:NGY33"/>
    <mergeCell ref="NAL33:NBB33"/>
    <mergeCell ref="NBC33:NBS33"/>
    <mergeCell ref="NBT33:NCJ33"/>
    <mergeCell ref="NCK33:NDA33"/>
    <mergeCell ref="NDB33:NDR33"/>
    <mergeCell ref="MXE33:MXU33"/>
    <mergeCell ref="MXV33:MYL33"/>
    <mergeCell ref="MYM33:MZC33"/>
    <mergeCell ref="MZD33:MZT33"/>
    <mergeCell ref="MZU33:NAK33"/>
    <mergeCell ref="MTX33:MUN33"/>
    <mergeCell ref="MUO33:MVE33"/>
    <mergeCell ref="MVF33:MVV33"/>
    <mergeCell ref="MVW33:MWM33"/>
    <mergeCell ref="MWN33:MXD33"/>
    <mergeCell ref="MQQ33:MRG33"/>
    <mergeCell ref="MRH33:MRX33"/>
    <mergeCell ref="MRY33:MSO33"/>
    <mergeCell ref="MSP33:MTF33"/>
    <mergeCell ref="MTG33:MTW33"/>
    <mergeCell ref="MNJ33:MNZ33"/>
    <mergeCell ref="MOA33:MOQ33"/>
    <mergeCell ref="MOR33:MPH33"/>
    <mergeCell ref="MPI33:MPY33"/>
    <mergeCell ref="MPZ33:MQP33"/>
    <mergeCell ref="MKC33:MKS33"/>
    <mergeCell ref="MKT33:MLJ33"/>
    <mergeCell ref="MLK33:MMA33"/>
    <mergeCell ref="MMB33:MMR33"/>
    <mergeCell ref="MMS33:MNI33"/>
    <mergeCell ref="MGV33:MHL33"/>
    <mergeCell ref="MHM33:MIC33"/>
    <mergeCell ref="MID33:MIT33"/>
    <mergeCell ref="MIU33:MJK33"/>
    <mergeCell ref="MJL33:MKB33"/>
    <mergeCell ref="MDO33:MEE33"/>
    <mergeCell ref="MEF33:MEV33"/>
    <mergeCell ref="MEW33:MFM33"/>
    <mergeCell ref="MFN33:MGD33"/>
    <mergeCell ref="MGE33:MGU33"/>
    <mergeCell ref="MAH33:MAX33"/>
    <mergeCell ref="MAY33:MBO33"/>
    <mergeCell ref="MBP33:MCF33"/>
    <mergeCell ref="MCG33:MCW33"/>
    <mergeCell ref="MCX33:MDN33"/>
    <mergeCell ref="LXA33:LXQ33"/>
    <mergeCell ref="LXR33:LYH33"/>
    <mergeCell ref="LYI33:LYY33"/>
    <mergeCell ref="LYZ33:LZP33"/>
    <mergeCell ref="LZQ33:MAG33"/>
    <mergeCell ref="LTT33:LUJ33"/>
    <mergeCell ref="LUK33:LVA33"/>
    <mergeCell ref="LVB33:LVR33"/>
    <mergeCell ref="LVS33:LWI33"/>
    <mergeCell ref="LWJ33:LWZ33"/>
    <mergeCell ref="LQM33:LRC33"/>
    <mergeCell ref="LRD33:LRT33"/>
    <mergeCell ref="LRU33:LSK33"/>
    <mergeCell ref="LSL33:LTB33"/>
    <mergeCell ref="LTC33:LTS33"/>
    <mergeCell ref="LNF33:LNV33"/>
    <mergeCell ref="LNW33:LOM33"/>
    <mergeCell ref="LON33:LPD33"/>
    <mergeCell ref="LPE33:LPU33"/>
    <mergeCell ref="LPV33:LQL33"/>
    <mergeCell ref="LJY33:LKO33"/>
    <mergeCell ref="LKP33:LLF33"/>
    <mergeCell ref="LLG33:LLW33"/>
    <mergeCell ref="LLX33:LMN33"/>
    <mergeCell ref="LMO33:LNE33"/>
    <mergeCell ref="LGR33:LHH33"/>
    <mergeCell ref="LHI33:LHY33"/>
    <mergeCell ref="LHZ33:LIP33"/>
    <mergeCell ref="LIQ33:LJG33"/>
    <mergeCell ref="LJH33:LJX33"/>
    <mergeCell ref="LDK33:LEA33"/>
    <mergeCell ref="LEB33:LER33"/>
    <mergeCell ref="LES33:LFI33"/>
    <mergeCell ref="LFJ33:LFZ33"/>
    <mergeCell ref="LGA33:LGQ33"/>
    <mergeCell ref="LAD33:LAT33"/>
    <mergeCell ref="LAU33:LBK33"/>
    <mergeCell ref="LBL33:LCB33"/>
    <mergeCell ref="LCC33:LCS33"/>
    <mergeCell ref="LCT33:LDJ33"/>
    <mergeCell ref="KWW33:KXM33"/>
    <mergeCell ref="KXN33:KYD33"/>
    <mergeCell ref="KYE33:KYU33"/>
    <mergeCell ref="KYV33:KZL33"/>
    <mergeCell ref="KZM33:LAC33"/>
    <mergeCell ref="KTP33:KUF33"/>
    <mergeCell ref="KUG33:KUW33"/>
    <mergeCell ref="KUX33:KVN33"/>
    <mergeCell ref="KVO33:KWE33"/>
    <mergeCell ref="KWF33:KWV33"/>
    <mergeCell ref="KQI33:KQY33"/>
    <mergeCell ref="KQZ33:KRP33"/>
    <mergeCell ref="KRQ33:KSG33"/>
    <mergeCell ref="KSH33:KSX33"/>
    <mergeCell ref="KSY33:KTO33"/>
    <mergeCell ref="KNB33:KNR33"/>
    <mergeCell ref="KNS33:KOI33"/>
    <mergeCell ref="KOJ33:KOZ33"/>
    <mergeCell ref="KPA33:KPQ33"/>
    <mergeCell ref="KPR33:KQH33"/>
    <mergeCell ref="KJU33:KKK33"/>
    <mergeCell ref="KKL33:KLB33"/>
    <mergeCell ref="KLC33:KLS33"/>
    <mergeCell ref="KLT33:KMJ33"/>
    <mergeCell ref="KMK33:KNA33"/>
    <mergeCell ref="KGN33:KHD33"/>
    <mergeCell ref="KHE33:KHU33"/>
    <mergeCell ref="KHV33:KIL33"/>
    <mergeCell ref="KIM33:KJC33"/>
    <mergeCell ref="KJD33:KJT33"/>
    <mergeCell ref="KDG33:KDW33"/>
    <mergeCell ref="KDX33:KEN33"/>
    <mergeCell ref="KEO33:KFE33"/>
    <mergeCell ref="KFF33:KFV33"/>
    <mergeCell ref="KFW33:KGM33"/>
    <mergeCell ref="JZZ33:KAP33"/>
    <mergeCell ref="KAQ33:KBG33"/>
    <mergeCell ref="KBH33:KBX33"/>
    <mergeCell ref="KBY33:KCO33"/>
    <mergeCell ref="KCP33:KDF33"/>
    <mergeCell ref="JWS33:JXI33"/>
    <mergeCell ref="JXJ33:JXZ33"/>
    <mergeCell ref="JYA33:JYQ33"/>
    <mergeCell ref="JYR33:JZH33"/>
    <mergeCell ref="JZI33:JZY33"/>
    <mergeCell ref="JTL33:JUB33"/>
    <mergeCell ref="JUC33:JUS33"/>
    <mergeCell ref="JUT33:JVJ33"/>
    <mergeCell ref="JVK33:JWA33"/>
    <mergeCell ref="JWB33:JWR33"/>
    <mergeCell ref="JQE33:JQU33"/>
    <mergeCell ref="JQV33:JRL33"/>
    <mergeCell ref="JRM33:JSC33"/>
    <mergeCell ref="JSD33:JST33"/>
    <mergeCell ref="JSU33:JTK33"/>
    <mergeCell ref="JMX33:JNN33"/>
    <mergeCell ref="JNO33:JOE33"/>
    <mergeCell ref="JOF33:JOV33"/>
    <mergeCell ref="JOW33:JPM33"/>
    <mergeCell ref="JPN33:JQD33"/>
    <mergeCell ref="JJQ33:JKG33"/>
    <mergeCell ref="JKH33:JKX33"/>
    <mergeCell ref="JKY33:JLO33"/>
    <mergeCell ref="JLP33:JMF33"/>
    <mergeCell ref="JMG33:JMW33"/>
    <mergeCell ref="JGJ33:JGZ33"/>
    <mergeCell ref="JHA33:JHQ33"/>
    <mergeCell ref="JHR33:JIH33"/>
    <mergeCell ref="JII33:JIY33"/>
    <mergeCell ref="JIZ33:JJP33"/>
    <mergeCell ref="JDC33:JDS33"/>
    <mergeCell ref="JDT33:JEJ33"/>
    <mergeCell ref="JEK33:JFA33"/>
    <mergeCell ref="JFB33:JFR33"/>
    <mergeCell ref="JFS33:JGI33"/>
    <mergeCell ref="IZV33:JAL33"/>
    <mergeCell ref="JAM33:JBC33"/>
    <mergeCell ref="JBD33:JBT33"/>
    <mergeCell ref="JBU33:JCK33"/>
    <mergeCell ref="JCL33:JDB33"/>
    <mergeCell ref="IWO33:IXE33"/>
    <mergeCell ref="IXF33:IXV33"/>
    <mergeCell ref="IXW33:IYM33"/>
    <mergeCell ref="IYN33:IZD33"/>
    <mergeCell ref="IZE33:IZU33"/>
    <mergeCell ref="ITH33:ITX33"/>
    <mergeCell ref="ITY33:IUO33"/>
    <mergeCell ref="IUP33:IVF33"/>
    <mergeCell ref="IVG33:IVW33"/>
    <mergeCell ref="IVX33:IWN33"/>
    <mergeCell ref="IQA33:IQQ33"/>
    <mergeCell ref="IQR33:IRH33"/>
    <mergeCell ref="IRI33:IRY33"/>
    <mergeCell ref="IRZ33:ISP33"/>
    <mergeCell ref="ISQ33:ITG33"/>
    <mergeCell ref="IMT33:INJ33"/>
    <mergeCell ref="INK33:IOA33"/>
    <mergeCell ref="IOB33:IOR33"/>
    <mergeCell ref="IOS33:IPI33"/>
    <mergeCell ref="IPJ33:IPZ33"/>
    <mergeCell ref="IJM33:IKC33"/>
    <mergeCell ref="IKD33:IKT33"/>
    <mergeCell ref="IKU33:ILK33"/>
    <mergeCell ref="ILL33:IMB33"/>
    <mergeCell ref="IMC33:IMS33"/>
    <mergeCell ref="IGF33:IGV33"/>
    <mergeCell ref="IGW33:IHM33"/>
    <mergeCell ref="IHN33:IID33"/>
    <mergeCell ref="IIE33:IIU33"/>
    <mergeCell ref="IIV33:IJL33"/>
    <mergeCell ref="ICY33:IDO33"/>
    <mergeCell ref="IDP33:IEF33"/>
    <mergeCell ref="IEG33:IEW33"/>
    <mergeCell ref="IEX33:IFN33"/>
    <mergeCell ref="IFO33:IGE33"/>
    <mergeCell ref="HZR33:IAH33"/>
    <mergeCell ref="IAI33:IAY33"/>
    <mergeCell ref="IAZ33:IBP33"/>
    <mergeCell ref="IBQ33:ICG33"/>
    <mergeCell ref="ICH33:ICX33"/>
    <mergeCell ref="HWK33:HXA33"/>
    <mergeCell ref="HXB33:HXR33"/>
    <mergeCell ref="HXS33:HYI33"/>
    <mergeCell ref="HYJ33:HYZ33"/>
    <mergeCell ref="HZA33:HZQ33"/>
    <mergeCell ref="HTD33:HTT33"/>
    <mergeCell ref="HTU33:HUK33"/>
    <mergeCell ref="HUL33:HVB33"/>
    <mergeCell ref="HVC33:HVS33"/>
    <mergeCell ref="HVT33:HWJ33"/>
    <mergeCell ref="HPW33:HQM33"/>
    <mergeCell ref="HQN33:HRD33"/>
    <mergeCell ref="HRE33:HRU33"/>
    <mergeCell ref="HRV33:HSL33"/>
    <mergeCell ref="HSM33:HTC33"/>
    <mergeCell ref="HMP33:HNF33"/>
    <mergeCell ref="HNG33:HNW33"/>
    <mergeCell ref="HNX33:HON33"/>
    <mergeCell ref="HOO33:HPE33"/>
    <mergeCell ref="HPF33:HPV33"/>
    <mergeCell ref="HJI33:HJY33"/>
    <mergeCell ref="HJZ33:HKP33"/>
    <mergeCell ref="HKQ33:HLG33"/>
    <mergeCell ref="HLH33:HLX33"/>
    <mergeCell ref="HLY33:HMO33"/>
    <mergeCell ref="HGB33:HGR33"/>
    <mergeCell ref="HGS33:HHI33"/>
    <mergeCell ref="HHJ33:HHZ33"/>
    <mergeCell ref="HIA33:HIQ33"/>
    <mergeCell ref="HIR33:HJH33"/>
    <mergeCell ref="HCU33:HDK33"/>
    <mergeCell ref="HDL33:HEB33"/>
    <mergeCell ref="HEC33:HES33"/>
    <mergeCell ref="HET33:HFJ33"/>
    <mergeCell ref="HFK33:HGA33"/>
    <mergeCell ref="GZN33:HAD33"/>
    <mergeCell ref="HAE33:HAU33"/>
    <mergeCell ref="HAV33:HBL33"/>
    <mergeCell ref="HBM33:HCC33"/>
    <mergeCell ref="HCD33:HCT33"/>
    <mergeCell ref="GWG33:GWW33"/>
    <mergeCell ref="GWX33:GXN33"/>
    <mergeCell ref="GXO33:GYE33"/>
    <mergeCell ref="GYF33:GYV33"/>
    <mergeCell ref="GYW33:GZM33"/>
    <mergeCell ref="GSZ33:GTP33"/>
    <mergeCell ref="GTQ33:GUG33"/>
    <mergeCell ref="GUH33:GUX33"/>
    <mergeCell ref="GUY33:GVO33"/>
    <mergeCell ref="GVP33:GWF33"/>
    <mergeCell ref="GPS33:GQI33"/>
    <mergeCell ref="GQJ33:GQZ33"/>
    <mergeCell ref="GRA33:GRQ33"/>
    <mergeCell ref="GRR33:GSH33"/>
    <mergeCell ref="GSI33:GSY33"/>
    <mergeCell ref="GML33:GNB33"/>
    <mergeCell ref="GNC33:GNS33"/>
    <mergeCell ref="GNT33:GOJ33"/>
    <mergeCell ref="GOK33:GPA33"/>
    <mergeCell ref="GPB33:GPR33"/>
    <mergeCell ref="GJE33:GJU33"/>
    <mergeCell ref="GJV33:GKL33"/>
    <mergeCell ref="GKM33:GLC33"/>
    <mergeCell ref="GLD33:GLT33"/>
    <mergeCell ref="GLU33:GMK33"/>
    <mergeCell ref="GFX33:GGN33"/>
    <mergeCell ref="GGO33:GHE33"/>
    <mergeCell ref="GHF33:GHV33"/>
    <mergeCell ref="GHW33:GIM33"/>
    <mergeCell ref="GIN33:GJD33"/>
    <mergeCell ref="GCQ33:GDG33"/>
    <mergeCell ref="GDH33:GDX33"/>
    <mergeCell ref="GDY33:GEO33"/>
    <mergeCell ref="GEP33:GFF33"/>
    <mergeCell ref="GFG33:GFW33"/>
    <mergeCell ref="FZJ33:FZZ33"/>
    <mergeCell ref="GAA33:GAQ33"/>
    <mergeCell ref="GAR33:GBH33"/>
    <mergeCell ref="GBI33:GBY33"/>
    <mergeCell ref="GBZ33:GCP33"/>
    <mergeCell ref="FWC33:FWS33"/>
    <mergeCell ref="FWT33:FXJ33"/>
    <mergeCell ref="FXK33:FYA33"/>
    <mergeCell ref="FYB33:FYR33"/>
    <mergeCell ref="FYS33:FZI33"/>
    <mergeCell ref="FSV33:FTL33"/>
    <mergeCell ref="FTM33:FUC33"/>
    <mergeCell ref="FUD33:FUT33"/>
    <mergeCell ref="FUU33:FVK33"/>
    <mergeCell ref="FVL33:FWB33"/>
    <mergeCell ref="FPO33:FQE33"/>
    <mergeCell ref="FQF33:FQV33"/>
    <mergeCell ref="FQW33:FRM33"/>
    <mergeCell ref="FRN33:FSD33"/>
    <mergeCell ref="FSE33:FSU33"/>
    <mergeCell ref="FMH33:FMX33"/>
    <mergeCell ref="FMY33:FNO33"/>
    <mergeCell ref="FNP33:FOF33"/>
    <mergeCell ref="FOG33:FOW33"/>
    <mergeCell ref="FOX33:FPN33"/>
    <mergeCell ref="FJA33:FJQ33"/>
    <mergeCell ref="FJR33:FKH33"/>
    <mergeCell ref="FKI33:FKY33"/>
    <mergeCell ref="FKZ33:FLP33"/>
    <mergeCell ref="FLQ33:FMG33"/>
    <mergeCell ref="FFT33:FGJ33"/>
    <mergeCell ref="FGK33:FHA33"/>
    <mergeCell ref="FHB33:FHR33"/>
    <mergeCell ref="FHS33:FII33"/>
    <mergeCell ref="FIJ33:FIZ33"/>
    <mergeCell ref="FCM33:FDC33"/>
    <mergeCell ref="FDD33:FDT33"/>
    <mergeCell ref="FDU33:FEK33"/>
    <mergeCell ref="FEL33:FFB33"/>
    <mergeCell ref="FFC33:FFS33"/>
    <mergeCell ref="EZF33:EZV33"/>
    <mergeCell ref="EZW33:FAM33"/>
    <mergeCell ref="FAN33:FBD33"/>
    <mergeCell ref="FBE33:FBU33"/>
    <mergeCell ref="FBV33:FCL33"/>
    <mergeCell ref="EVY33:EWO33"/>
    <mergeCell ref="EWP33:EXF33"/>
    <mergeCell ref="EXG33:EXW33"/>
    <mergeCell ref="EXX33:EYN33"/>
    <mergeCell ref="EYO33:EZE33"/>
    <mergeCell ref="ESR33:ETH33"/>
    <mergeCell ref="ETI33:ETY33"/>
    <mergeCell ref="ETZ33:EUP33"/>
    <mergeCell ref="EUQ33:EVG33"/>
    <mergeCell ref="EVH33:EVX33"/>
    <mergeCell ref="EPK33:EQA33"/>
    <mergeCell ref="EQB33:EQR33"/>
    <mergeCell ref="EQS33:ERI33"/>
    <mergeCell ref="ERJ33:ERZ33"/>
    <mergeCell ref="ESA33:ESQ33"/>
    <mergeCell ref="EMD33:EMT33"/>
    <mergeCell ref="EMU33:ENK33"/>
    <mergeCell ref="ENL33:EOB33"/>
    <mergeCell ref="EOC33:EOS33"/>
    <mergeCell ref="EOT33:EPJ33"/>
    <mergeCell ref="EIW33:EJM33"/>
    <mergeCell ref="EJN33:EKD33"/>
    <mergeCell ref="EKE33:EKU33"/>
    <mergeCell ref="EKV33:ELL33"/>
    <mergeCell ref="ELM33:EMC33"/>
    <mergeCell ref="EFP33:EGF33"/>
    <mergeCell ref="EGG33:EGW33"/>
    <mergeCell ref="EGX33:EHN33"/>
    <mergeCell ref="EHO33:EIE33"/>
    <mergeCell ref="EIF33:EIV33"/>
    <mergeCell ref="ECI33:ECY33"/>
    <mergeCell ref="ECZ33:EDP33"/>
    <mergeCell ref="EDQ33:EEG33"/>
    <mergeCell ref="EEH33:EEX33"/>
    <mergeCell ref="EEY33:EFO33"/>
    <mergeCell ref="DZB33:DZR33"/>
    <mergeCell ref="DZS33:EAI33"/>
    <mergeCell ref="EAJ33:EAZ33"/>
    <mergeCell ref="EBA33:EBQ33"/>
    <mergeCell ref="EBR33:ECH33"/>
    <mergeCell ref="DVU33:DWK33"/>
    <mergeCell ref="DWL33:DXB33"/>
    <mergeCell ref="DXC33:DXS33"/>
    <mergeCell ref="DXT33:DYJ33"/>
    <mergeCell ref="DYK33:DZA33"/>
    <mergeCell ref="DSN33:DTD33"/>
    <mergeCell ref="DTE33:DTU33"/>
    <mergeCell ref="DTV33:DUL33"/>
    <mergeCell ref="DUM33:DVC33"/>
    <mergeCell ref="DVD33:DVT33"/>
    <mergeCell ref="DPG33:DPW33"/>
    <mergeCell ref="DPX33:DQN33"/>
    <mergeCell ref="DQO33:DRE33"/>
    <mergeCell ref="DRF33:DRV33"/>
    <mergeCell ref="DRW33:DSM33"/>
    <mergeCell ref="DLZ33:DMP33"/>
    <mergeCell ref="DMQ33:DNG33"/>
    <mergeCell ref="DNH33:DNX33"/>
    <mergeCell ref="DNY33:DOO33"/>
    <mergeCell ref="DOP33:DPF33"/>
    <mergeCell ref="DIS33:DJI33"/>
    <mergeCell ref="DJJ33:DJZ33"/>
    <mergeCell ref="DKA33:DKQ33"/>
    <mergeCell ref="DKR33:DLH33"/>
    <mergeCell ref="DLI33:DLY33"/>
    <mergeCell ref="DFL33:DGB33"/>
    <mergeCell ref="DGC33:DGS33"/>
    <mergeCell ref="DGT33:DHJ33"/>
    <mergeCell ref="DHK33:DIA33"/>
    <mergeCell ref="DIB33:DIR33"/>
    <mergeCell ref="DCE33:DCU33"/>
    <mergeCell ref="DCV33:DDL33"/>
    <mergeCell ref="DDM33:DEC33"/>
    <mergeCell ref="DED33:DET33"/>
    <mergeCell ref="DEU33:DFK33"/>
    <mergeCell ref="CYX33:CZN33"/>
    <mergeCell ref="CZO33:DAE33"/>
    <mergeCell ref="DAF33:DAV33"/>
    <mergeCell ref="DAW33:DBM33"/>
    <mergeCell ref="DBN33:DCD33"/>
    <mergeCell ref="CVQ33:CWG33"/>
    <mergeCell ref="CWH33:CWX33"/>
    <mergeCell ref="CWY33:CXO33"/>
    <mergeCell ref="CXP33:CYF33"/>
    <mergeCell ref="CYG33:CYW33"/>
    <mergeCell ref="CSJ33:CSZ33"/>
    <mergeCell ref="CTA33:CTQ33"/>
    <mergeCell ref="CTR33:CUH33"/>
    <mergeCell ref="CUI33:CUY33"/>
    <mergeCell ref="CUZ33:CVP33"/>
    <mergeCell ref="CPC33:CPS33"/>
    <mergeCell ref="CPT33:CQJ33"/>
    <mergeCell ref="CQK33:CRA33"/>
    <mergeCell ref="CRB33:CRR33"/>
    <mergeCell ref="CRS33:CSI33"/>
    <mergeCell ref="CLV33:CML33"/>
    <mergeCell ref="CMM33:CNC33"/>
    <mergeCell ref="CND33:CNT33"/>
    <mergeCell ref="CNU33:COK33"/>
    <mergeCell ref="COL33:CPB33"/>
    <mergeCell ref="CIO33:CJE33"/>
    <mergeCell ref="CJF33:CJV33"/>
    <mergeCell ref="CJW33:CKM33"/>
    <mergeCell ref="CKN33:CLD33"/>
    <mergeCell ref="CLE33:CLU33"/>
    <mergeCell ref="CFH33:CFX33"/>
    <mergeCell ref="CFY33:CGO33"/>
    <mergeCell ref="CGP33:CHF33"/>
    <mergeCell ref="CHG33:CHW33"/>
    <mergeCell ref="CHX33:CIN33"/>
    <mergeCell ref="CCA33:CCQ33"/>
    <mergeCell ref="CCR33:CDH33"/>
    <mergeCell ref="CDI33:CDY33"/>
    <mergeCell ref="CDZ33:CEP33"/>
    <mergeCell ref="CEQ33:CFG33"/>
    <mergeCell ref="BYT33:BZJ33"/>
    <mergeCell ref="BZK33:CAA33"/>
    <mergeCell ref="CAB33:CAR33"/>
    <mergeCell ref="CAS33:CBI33"/>
    <mergeCell ref="CBJ33:CBZ33"/>
    <mergeCell ref="BVM33:BWC33"/>
    <mergeCell ref="BWD33:BWT33"/>
    <mergeCell ref="BWU33:BXK33"/>
    <mergeCell ref="BXL33:BYB33"/>
    <mergeCell ref="BYC33:BYS33"/>
    <mergeCell ref="BSF33:BSV33"/>
    <mergeCell ref="BSW33:BTM33"/>
    <mergeCell ref="BTN33:BUD33"/>
    <mergeCell ref="BUE33:BUU33"/>
    <mergeCell ref="BUV33:BVL33"/>
    <mergeCell ref="BOY33:BPO33"/>
    <mergeCell ref="BPP33:BQF33"/>
    <mergeCell ref="BQG33:BQW33"/>
    <mergeCell ref="BQX33:BRN33"/>
    <mergeCell ref="BRO33:BSE33"/>
    <mergeCell ref="BLR33:BMH33"/>
    <mergeCell ref="BMI33:BMY33"/>
    <mergeCell ref="BMZ33:BNP33"/>
    <mergeCell ref="BNQ33:BOG33"/>
    <mergeCell ref="BOH33:BOX33"/>
    <mergeCell ref="BIK33:BJA33"/>
    <mergeCell ref="BJB33:BJR33"/>
    <mergeCell ref="BJS33:BKI33"/>
    <mergeCell ref="BKJ33:BKZ33"/>
    <mergeCell ref="BLA33:BLQ33"/>
    <mergeCell ref="BFD33:BFT33"/>
    <mergeCell ref="BFU33:BGK33"/>
    <mergeCell ref="BGL33:BHB33"/>
    <mergeCell ref="BHC33:BHS33"/>
    <mergeCell ref="BHT33:BIJ33"/>
    <mergeCell ref="BBW33:BCM33"/>
    <mergeCell ref="BCN33:BDD33"/>
    <mergeCell ref="BDE33:BDU33"/>
    <mergeCell ref="BDV33:BEL33"/>
    <mergeCell ref="BEM33:BFC33"/>
    <mergeCell ref="AYP33:AZF33"/>
    <mergeCell ref="AZG33:AZW33"/>
    <mergeCell ref="AZX33:BAN33"/>
    <mergeCell ref="BAO33:BBE33"/>
    <mergeCell ref="BBF33:BBV33"/>
    <mergeCell ref="AVI33:AVY33"/>
    <mergeCell ref="AVZ33:AWP33"/>
    <mergeCell ref="AWQ33:AXG33"/>
    <mergeCell ref="AXH33:AXX33"/>
    <mergeCell ref="AXY33:AYO33"/>
    <mergeCell ref="ASB33:ASR33"/>
    <mergeCell ref="ASS33:ATI33"/>
    <mergeCell ref="ATJ33:ATZ33"/>
    <mergeCell ref="AUA33:AUQ33"/>
    <mergeCell ref="AUR33:AVH33"/>
    <mergeCell ref="AOU33:APK33"/>
    <mergeCell ref="APL33:AQB33"/>
    <mergeCell ref="AQC33:AQS33"/>
    <mergeCell ref="AQT33:ARJ33"/>
    <mergeCell ref="ARK33:ASA33"/>
    <mergeCell ref="ALN33:AMD33"/>
    <mergeCell ref="AME33:AMU33"/>
    <mergeCell ref="AMV33:ANL33"/>
    <mergeCell ref="ANM33:AOC33"/>
    <mergeCell ref="AOD33:AOT33"/>
    <mergeCell ref="AIG33:AIW33"/>
    <mergeCell ref="AIX33:AJN33"/>
    <mergeCell ref="AJO33:AKE33"/>
    <mergeCell ref="AKF33:AKV33"/>
    <mergeCell ref="AKW33:ALM33"/>
    <mergeCell ref="AEZ33:AFP33"/>
    <mergeCell ref="AFQ33:AGG33"/>
    <mergeCell ref="AGH33:AGX33"/>
    <mergeCell ref="AGY33:AHO33"/>
    <mergeCell ref="AHP33:AIF33"/>
    <mergeCell ref="ABS33:ACI33"/>
    <mergeCell ref="ACJ33:ACZ33"/>
    <mergeCell ref="ADA33:ADQ33"/>
    <mergeCell ref="ADR33:AEH33"/>
    <mergeCell ref="AEI33:AEY33"/>
    <mergeCell ref="YL33:ZB33"/>
    <mergeCell ref="ZC33:ZS33"/>
    <mergeCell ref="ZT33:AAJ33"/>
    <mergeCell ref="AAK33:ABA33"/>
    <mergeCell ref="ABB33:ABR33"/>
    <mergeCell ref="VE33:VU33"/>
    <mergeCell ref="VV33:WL33"/>
    <mergeCell ref="WM33:XC33"/>
    <mergeCell ref="XD33:XT33"/>
    <mergeCell ref="XU33:YK33"/>
    <mergeCell ref="RX33:SN33"/>
    <mergeCell ref="SO33:TE33"/>
    <mergeCell ref="TF33:TV33"/>
    <mergeCell ref="TW33:UM33"/>
    <mergeCell ref="UN33:VD33"/>
    <mergeCell ref="OQ33:PG33"/>
    <mergeCell ref="PH33:PX33"/>
    <mergeCell ref="PY33:QO33"/>
    <mergeCell ref="QP33:RF33"/>
    <mergeCell ref="RG33:RW33"/>
    <mergeCell ref="LJ33:LZ33"/>
    <mergeCell ref="MA33:MQ33"/>
    <mergeCell ref="MR33:NH33"/>
    <mergeCell ref="NI33:NY33"/>
    <mergeCell ref="NZ33:OP33"/>
    <mergeCell ref="IC33:IS33"/>
    <mergeCell ref="IT33:JJ33"/>
    <mergeCell ref="JK33:KA33"/>
    <mergeCell ref="KB33:KR33"/>
    <mergeCell ref="KS33:LI33"/>
    <mergeCell ref="EV33:FL33"/>
    <mergeCell ref="FM33:GC33"/>
    <mergeCell ref="GD33:GT33"/>
    <mergeCell ref="GU33:HK33"/>
    <mergeCell ref="HL33:IB33"/>
    <mergeCell ref="BO33:CE33"/>
    <mergeCell ref="CF33:CV33"/>
    <mergeCell ref="CW33:DM33"/>
    <mergeCell ref="DN33:ED33"/>
    <mergeCell ref="EE33:EU33"/>
    <mergeCell ref="A33:Q33"/>
    <mergeCell ref="R33:AF33"/>
    <mergeCell ref="AX33:BN33"/>
    <mergeCell ref="AL2:AP2"/>
    <mergeCell ref="AF2:AJ2"/>
    <mergeCell ref="A38:M38"/>
    <mergeCell ref="B2:F2"/>
    <mergeCell ref="G2:K2"/>
    <mergeCell ref="L2:P2"/>
    <mergeCell ref="AA2:AE2"/>
    <mergeCell ref="Q2:U2"/>
    <mergeCell ref="V2:Z2"/>
    <mergeCell ref="A36:M36"/>
    <mergeCell ref="A34:Q34"/>
    <mergeCell ref="R34:AF34"/>
    <mergeCell ref="AQ2:AU2"/>
    <mergeCell ref="AW2:BA2"/>
  </mergeCells>
  <pageMargins left="0.70866141732283472" right="0.70866141732283472" top="0.74803149606299213" bottom="0.74803149606299213" header="0.31496062992125984" footer="0.31496062992125984"/>
  <pageSetup paperSize="9" scale="56" orientation="landscape" r:id="rId1"/>
  <ignoredErrors>
    <ignoredError sqref="Z14:Z15 Z5:Z8 Z20:Z22 Z25 Z16:Z18 Z10:Z13 AA9:AC9 B9:E9 G9:J9 L9:O9 Q9:Y9 AF9:AH9 AL9:AN9 AI9 AO9 AQ9:AT9 AV9:AZ9" formulaRange="1"/>
    <ignoredError sqref="Z19 Z26 X29:Y29 F9 F19 K9 K19 P9 P19 Z9 W29 AE19 AE26 AE9 AJ24 AJ26 AP24 AP26 AU24:AU26 BA24:BA26" formula="1"/>
    <ignoredError sqref="AD9 AP9 AJ9 AU9 BA9" formula="1" formulaRange="1"/>
    <ignoredError sqref="AO31 AI31"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E728"/>
  <sheetViews>
    <sheetView showGridLines="0" topLeftCell="B1" zoomScale="115" zoomScaleNormal="115" zoomScaleSheetLayoutView="100" workbookViewId="0">
      <pane xSplit="1" topLeftCell="F1" activePane="topRight" state="frozen"/>
      <selection activeCell="B1" sqref="B1"/>
      <selection pane="topRight" activeCell="O17" sqref="O17"/>
    </sheetView>
  </sheetViews>
  <sheetFormatPr defaultColWidth="9" defaultRowHeight="15"/>
  <cols>
    <col min="1" max="1" width="1.625" style="391" hidden="1" customWidth="1"/>
    <col min="2" max="2" width="31.125" style="391" customWidth="1"/>
    <col min="3" max="3" width="13.125" style="391" customWidth="1"/>
    <col min="4" max="4" width="2.375" style="391" customWidth="1"/>
    <col min="5" max="5" width="13.125" style="391" customWidth="1"/>
    <col min="6" max="6" width="1.625" style="391" customWidth="1"/>
    <col min="7" max="7" width="9.625" style="391" customWidth="1"/>
    <col min="8" max="8" width="13.125" style="391" customWidth="1"/>
    <col min="9" max="9" width="1.875" style="391" customWidth="1"/>
    <col min="10" max="10" width="13.125" style="391" customWidth="1"/>
    <col min="11" max="11" width="1.875" style="391" customWidth="1"/>
    <col min="12" max="12" width="9.625" style="391" customWidth="1"/>
    <col min="13" max="13" width="13.125" style="391" customWidth="1"/>
    <col min="14" max="14" width="1.875" style="391" customWidth="1"/>
    <col min="15" max="15" width="13.125" style="391" customWidth="1"/>
    <col min="16" max="16" width="1.875" style="391" customWidth="1"/>
    <col min="17" max="17" width="9.625" style="391" customWidth="1"/>
    <col min="18" max="18" width="13.125" style="391" customWidth="1"/>
    <col min="19" max="19" width="1.875" style="391" customWidth="1"/>
    <col min="20" max="20" width="13.125" style="391" customWidth="1"/>
    <col min="21" max="21" width="1.875" style="391" customWidth="1"/>
    <col min="22" max="22" width="9.625" style="391" customWidth="1"/>
    <col min="23" max="24" width="9" style="614"/>
    <col min="25" max="499" width="9" style="390"/>
    <col min="500" max="16384" width="9" style="391"/>
  </cols>
  <sheetData>
    <row r="1" spans="2:499" ht="50.25" customHeight="1" thickBot="1">
      <c r="B1" s="3" t="s">
        <v>172</v>
      </c>
      <c r="C1" s="390"/>
      <c r="D1" s="390"/>
      <c r="E1" s="390"/>
      <c r="F1" s="390"/>
      <c r="G1" s="631"/>
      <c r="H1" s="390"/>
      <c r="I1" s="390"/>
      <c r="J1" s="390"/>
      <c r="K1" s="390"/>
      <c r="L1" s="390"/>
      <c r="M1" s="390"/>
      <c r="N1" s="390"/>
      <c r="O1" s="390"/>
      <c r="P1" s="390"/>
      <c r="Q1" s="390"/>
      <c r="R1" s="390"/>
      <c r="S1" s="390"/>
      <c r="T1" s="390"/>
      <c r="U1" s="390"/>
      <c r="V1" s="390"/>
    </row>
    <row r="2" spans="2:499" s="393" customFormat="1" ht="30" customHeight="1" thickBot="1">
      <c r="B2" s="696" t="s">
        <v>101</v>
      </c>
      <c r="C2" s="689" t="s">
        <v>106</v>
      </c>
      <c r="D2" s="690"/>
      <c r="E2" s="690"/>
      <c r="F2" s="690"/>
      <c r="G2" s="691"/>
      <c r="H2" s="689" t="s">
        <v>107</v>
      </c>
      <c r="I2" s="690"/>
      <c r="J2" s="690"/>
      <c r="K2" s="690"/>
      <c r="L2" s="691"/>
      <c r="M2" s="689" t="s">
        <v>108</v>
      </c>
      <c r="N2" s="690"/>
      <c r="O2" s="690"/>
      <c r="P2" s="690"/>
      <c r="Q2" s="691"/>
      <c r="R2" s="689" t="s">
        <v>109</v>
      </c>
      <c r="S2" s="690"/>
      <c r="T2" s="690"/>
      <c r="U2" s="690"/>
      <c r="V2" s="691"/>
      <c r="W2" s="615"/>
      <c r="X2" s="615"/>
      <c r="Y2" s="392"/>
      <c r="Z2" s="392"/>
      <c r="AA2" s="392"/>
      <c r="AB2" s="392"/>
      <c r="AC2" s="392"/>
      <c r="AD2" s="392"/>
      <c r="AE2" s="392"/>
      <c r="AF2" s="392"/>
      <c r="AG2" s="392"/>
      <c r="AH2" s="392"/>
      <c r="AI2" s="392"/>
      <c r="AJ2" s="392"/>
      <c r="AK2" s="392"/>
      <c r="AL2" s="392"/>
      <c r="AM2" s="392"/>
      <c r="AN2" s="392"/>
      <c r="AO2" s="392"/>
      <c r="AP2" s="392"/>
      <c r="AQ2" s="392"/>
      <c r="AR2" s="392"/>
      <c r="AS2" s="392"/>
      <c r="AT2" s="392"/>
      <c r="AU2" s="392"/>
      <c r="AV2" s="392"/>
      <c r="AW2" s="392"/>
      <c r="AX2" s="392"/>
      <c r="AY2" s="392"/>
      <c r="AZ2" s="392"/>
      <c r="BA2" s="392"/>
      <c r="BB2" s="392"/>
      <c r="BC2" s="392"/>
      <c r="BD2" s="392"/>
      <c r="BE2" s="392"/>
      <c r="BF2" s="392"/>
      <c r="BG2" s="392"/>
      <c r="BH2" s="392"/>
      <c r="BI2" s="392"/>
      <c r="BJ2" s="392"/>
      <c r="BK2" s="392"/>
      <c r="BL2" s="392"/>
      <c r="BM2" s="392"/>
      <c r="BN2" s="392"/>
      <c r="BO2" s="392"/>
      <c r="BP2" s="392"/>
      <c r="BQ2" s="392"/>
      <c r="BR2" s="392"/>
      <c r="BS2" s="392"/>
      <c r="BT2" s="392"/>
      <c r="BU2" s="392"/>
      <c r="BV2" s="392"/>
      <c r="BW2" s="392"/>
      <c r="BX2" s="392"/>
      <c r="BY2" s="392"/>
      <c r="BZ2" s="392"/>
      <c r="CA2" s="392"/>
      <c r="CB2" s="392"/>
      <c r="CC2" s="392"/>
      <c r="CD2" s="392"/>
      <c r="CE2" s="392"/>
      <c r="CF2" s="392"/>
      <c r="CG2" s="392"/>
      <c r="CH2" s="392"/>
      <c r="CI2" s="392"/>
      <c r="CJ2" s="392"/>
      <c r="CK2" s="392"/>
      <c r="CL2" s="392"/>
      <c r="CM2" s="392"/>
      <c r="CN2" s="392"/>
      <c r="CO2" s="392"/>
      <c r="CP2" s="392"/>
      <c r="CQ2" s="392"/>
      <c r="CR2" s="392"/>
      <c r="CS2" s="392"/>
      <c r="CT2" s="392"/>
      <c r="CU2" s="392"/>
      <c r="CV2" s="392"/>
      <c r="CW2" s="392"/>
      <c r="CX2" s="392"/>
      <c r="CY2" s="392"/>
      <c r="CZ2" s="392"/>
      <c r="DA2" s="392"/>
      <c r="DB2" s="392"/>
      <c r="DC2" s="392"/>
      <c r="DD2" s="392"/>
      <c r="DE2" s="392"/>
      <c r="DF2" s="392"/>
      <c r="DG2" s="392"/>
      <c r="DH2" s="392"/>
      <c r="DI2" s="392"/>
      <c r="DJ2" s="392"/>
      <c r="DK2" s="392"/>
      <c r="DL2" s="392"/>
      <c r="DM2" s="392"/>
      <c r="DN2" s="392"/>
      <c r="DO2" s="392"/>
      <c r="DP2" s="392"/>
      <c r="DQ2" s="392"/>
      <c r="DR2" s="392"/>
      <c r="DS2" s="392"/>
      <c r="DT2" s="392"/>
      <c r="DU2" s="392"/>
      <c r="DV2" s="392"/>
      <c r="DW2" s="392"/>
      <c r="DX2" s="392"/>
      <c r="DY2" s="392"/>
      <c r="DZ2" s="392"/>
      <c r="EA2" s="392"/>
      <c r="EB2" s="392"/>
      <c r="EC2" s="392"/>
      <c r="ED2" s="392"/>
      <c r="EE2" s="392"/>
      <c r="EF2" s="392"/>
      <c r="EG2" s="392"/>
      <c r="EH2" s="392"/>
      <c r="EI2" s="392"/>
      <c r="EJ2" s="392"/>
      <c r="EK2" s="392"/>
      <c r="EL2" s="392"/>
      <c r="EM2" s="392"/>
      <c r="EN2" s="392"/>
      <c r="EO2" s="392"/>
      <c r="EP2" s="392"/>
      <c r="EQ2" s="392"/>
      <c r="ER2" s="392"/>
      <c r="ES2" s="392"/>
      <c r="ET2" s="392"/>
      <c r="EU2" s="392"/>
      <c r="EV2" s="392"/>
      <c r="EW2" s="392"/>
      <c r="EX2" s="392"/>
      <c r="EY2" s="392"/>
      <c r="EZ2" s="392"/>
      <c r="FA2" s="392"/>
      <c r="FB2" s="392"/>
      <c r="FC2" s="392"/>
      <c r="FD2" s="392"/>
      <c r="FE2" s="392"/>
      <c r="FF2" s="392"/>
      <c r="FG2" s="392"/>
      <c r="FH2" s="392"/>
      <c r="FI2" s="392"/>
      <c r="FJ2" s="392"/>
      <c r="FK2" s="392"/>
      <c r="FL2" s="392"/>
      <c r="FM2" s="392"/>
      <c r="FN2" s="392"/>
      <c r="FO2" s="392"/>
      <c r="FP2" s="392"/>
      <c r="FQ2" s="392"/>
      <c r="FR2" s="392"/>
      <c r="FS2" s="392"/>
      <c r="FT2" s="392"/>
      <c r="FU2" s="392"/>
      <c r="FV2" s="392"/>
      <c r="FW2" s="392"/>
      <c r="FX2" s="392"/>
      <c r="FY2" s="392"/>
      <c r="FZ2" s="392"/>
      <c r="GA2" s="392"/>
      <c r="GB2" s="392"/>
      <c r="GC2" s="392"/>
      <c r="GD2" s="392"/>
      <c r="GE2" s="392"/>
      <c r="GF2" s="392"/>
      <c r="GG2" s="392"/>
      <c r="GH2" s="392"/>
      <c r="GI2" s="392"/>
      <c r="GJ2" s="392"/>
      <c r="GK2" s="392"/>
      <c r="GL2" s="392"/>
      <c r="GM2" s="392"/>
      <c r="GN2" s="392"/>
      <c r="GO2" s="392"/>
      <c r="GP2" s="392"/>
      <c r="GQ2" s="392"/>
      <c r="GR2" s="392"/>
      <c r="GS2" s="392"/>
      <c r="GT2" s="392"/>
      <c r="GU2" s="392"/>
      <c r="GV2" s="392"/>
      <c r="GW2" s="392"/>
      <c r="GX2" s="392"/>
      <c r="GY2" s="392"/>
      <c r="GZ2" s="392"/>
      <c r="HA2" s="392"/>
      <c r="HB2" s="392"/>
      <c r="HC2" s="392"/>
      <c r="HD2" s="392"/>
      <c r="HE2" s="392"/>
      <c r="HF2" s="392"/>
      <c r="HG2" s="392"/>
      <c r="HH2" s="392"/>
      <c r="HI2" s="392"/>
      <c r="HJ2" s="392"/>
      <c r="HK2" s="392"/>
      <c r="HL2" s="392"/>
      <c r="HM2" s="392"/>
      <c r="HN2" s="392"/>
      <c r="HO2" s="392"/>
      <c r="HP2" s="392"/>
      <c r="HQ2" s="392"/>
      <c r="HR2" s="392"/>
      <c r="HS2" s="392"/>
      <c r="HT2" s="392"/>
      <c r="HU2" s="392"/>
      <c r="HV2" s="392"/>
      <c r="HW2" s="392"/>
      <c r="HX2" s="392"/>
      <c r="HY2" s="392"/>
      <c r="HZ2" s="392"/>
      <c r="IA2" s="392"/>
      <c r="IB2" s="392"/>
      <c r="IC2" s="392"/>
      <c r="ID2" s="392"/>
      <c r="IE2" s="392"/>
      <c r="IF2" s="392"/>
      <c r="IG2" s="392"/>
      <c r="IH2" s="392"/>
      <c r="II2" s="392"/>
      <c r="IJ2" s="392"/>
      <c r="IK2" s="392"/>
      <c r="IL2" s="392"/>
      <c r="IM2" s="392"/>
      <c r="IN2" s="392"/>
      <c r="IO2" s="392"/>
      <c r="IP2" s="392"/>
      <c r="IQ2" s="392"/>
      <c r="IR2" s="392"/>
      <c r="IS2" s="392"/>
      <c r="IT2" s="392"/>
      <c r="IU2" s="392"/>
      <c r="IV2" s="392"/>
      <c r="IW2" s="392"/>
      <c r="IX2" s="392"/>
      <c r="IY2" s="392"/>
      <c r="IZ2" s="392"/>
      <c r="JA2" s="392"/>
      <c r="JB2" s="392"/>
      <c r="JC2" s="392"/>
      <c r="JD2" s="392"/>
      <c r="JE2" s="392"/>
      <c r="JF2" s="392"/>
      <c r="JG2" s="392"/>
      <c r="JH2" s="392"/>
      <c r="JI2" s="392"/>
      <c r="JJ2" s="392"/>
      <c r="JK2" s="392"/>
      <c r="JL2" s="392"/>
      <c r="JM2" s="392"/>
      <c r="JN2" s="392"/>
      <c r="JO2" s="392"/>
      <c r="JP2" s="392"/>
      <c r="JQ2" s="392"/>
      <c r="JR2" s="392"/>
      <c r="JS2" s="392"/>
      <c r="JT2" s="392"/>
      <c r="JU2" s="392"/>
      <c r="JV2" s="392"/>
      <c r="JW2" s="392"/>
      <c r="JX2" s="392"/>
      <c r="JY2" s="392"/>
      <c r="JZ2" s="392"/>
      <c r="KA2" s="392"/>
      <c r="KB2" s="392"/>
      <c r="KC2" s="392"/>
      <c r="KD2" s="392"/>
      <c r="KE2" s="392"/>
      <c r="KF2" s="392"/>
      <c r="KG2" s="392"/>
      <c r="KH2" s="392"/>
      <c r="KI2" s="392"/>
      <c r="KJ2" s="392"/>
      <c r="KK2" s="392"/>
      <c r="KL2" s="392"/>
      <c r="KM2" s="392"/>
      <c r="KN2" s="392"/>
      <c r="KO2" s="392"/>
      <c r="KP2" s="392"/>
      <c r="KQ2" s="392"/>
      <c r="KR2" s="392"/>
      <c r="KS2" s="392"/>
      <c r="KT2" s="392"/>
      <c r="KU2" s="392"/>
      <c r="KV2" s="392"/>
      <c r="KW2" s="392"/>
      <c r="KX2" s="392"/>
      <c r="KY2" s="392"/>
      <c r="KZ2" s="392"/>
      <c r="LA2" s="392"/>
      <c r="LB2" s="392"/>
      <c r="LC2" s="392"/>
      <c r="LD2" s="392"/>
      <c r="LE2" s="392"/>
      <c r="LF2" s="392"/>
      <c r="LG2" s="392"/>
      <c r="LH2" s="392"/>
      <c r="LI2" s="392"/>
      <c r="LJ2" s="392"/>
      <c r="LK2" s="392"/>
      <c r="LL2" s="392"/>
      <c r="LM2" s="392"/>
      <c r="LN2" s="392"/>
      <c r="LO2" s="392"/>
      <c r="LP2" s="392"/>
      <c r="LQ2" s="392"/>
      <c r="LR2" s="392"/>
      <c r="LS2" s="392"/>
      <c r="LT2" s="392"/>
      <c r="LU2" s="392"/>
      <c r="LV2" s="392"/>
      <c r="LW2" s="392"/>
      <c r="LX2" s="392"/>
      <c r="LY2" s="392"/>
      <c r="LZ2" s="392"/>
      <c r="MA2" s="392"/>
      <c r="MB2" s="392"/>
      <c r="MC2" s="392"/>
      <c r="MD2" s="392"/>
      <c r="ME2" s="392"/>
      <c r="MF2" s="392"/>
      <c r="MG2" s="392"/>
      <c r="MH2" s="392"/>
      <c r="MI2" s="392"/>
      <c r="MJ2" s="392"/>
      <c r="MK2" s="392"/>
      <c r="ML2" s="392"/>
      <c r="MM2" s="392"/>
      <c r="MN2" s="392"/>
      <c r="MO2" s="392"/>
      <c r="MP2" s="392"/>
      <c r="MQ2" s="392"/>
      <c r="MR2" s="392"/>
      <c r="MS2" s="392"/>
      <c r="MT2" s="392"/>
      <c r="MU2" s="392"/>
      <c r="MV2" s="392"/>
      <c r="MW2" s="392"/>
      <c r="MX2" s="392"/>
      <c r="MY2" s="392"/>
      <c r="MZ2" s="392"/>
      <c r="NA2" s="392"/>
      <c r="NB2" s="392"/>
      <c r="NC2" s="392"/>
      <c r="ND2" s="392"/>
      <c r="NE2" s="392"/>
      <c r="NF2" s="392"/>
      <c r="NG2" s="392"/>
      <c r="NH2" s="392"/>
      <c r="NI2" s="392"/>
      <c r="NJ2" s="392"/>
      <c r="NK2" s="392"/>
      <c r="NL2" s="392"/>
      <c r="NM2" s="392"/>
      <c r="NN2" s="392"/>
      <c r="NO2" s="392"/>
      <c r="NP2" s="392"/>
      <c r="NQ2" s="392"/>
      <c r="NR2" s="392"/>
      <c r="NS2" s="392"/>
      <c r="NT2" s="392"/>
      <c r="NU2" s="392"/>
      <c r="NV2" s="392"/>
      <c r="NW2" s="392"/>
      <c r="NX2" s="392"/>
      <c r="NY2" s="392"/>
      <c r="NZ2" s="392"/>
      <c r="OA2" s="392"/>
      <c r="OB2" s="392"/>
      <c r="OC2" s="392"/>
      <c r="OD2" s="392"/>
      <c r="OE2" s="392"/>
      <c r="OF2" s="392"/>
      <c r="OG2" s="392"/>
      <c r="OH2" s="392"/>
      <c r="OI2" s="392"/>
      <c r="OJ2" s="392"/>
      <c r="OK2" s="392"/>
      <c r="OL2" s="392"/>
      <c r="OM2" s="392"/>
      <c r="ON2" s="392"/>
      <c r="OO2" s="392"/>
      <c r="OP2" s="392"/>
      <c r="OQ2" s="392"/>
      <c r="OR2" s="392"/>
      <c r="OS2" s="392"/>
      <c r="OT2" s="392"/>
      <c r="OU2" s="392"/>
      <c r="OV2" s="392"/>
      <c r="OW2" s="392"/>
      <c r="OX2" s="392"/>
      <c r="OY2" s="392"/>
      <c r="OZ2" s="392"/>
      <c r="PA2" s="392"/>
      <c r="PB2" s="392"/>
      <c r="PC2" s="392"/>
      <c r="PD2" s="392"/>
      <c r="PE2" s="392"/>
      <c r="PF2" s="392"/>
      <c r="PG2" s="392"/>
      <c r="PH2" s="392"/>
      <c r="PI2" s="392"/>
      <c r="PJ2" s="392"/>
      <c r="PK2" s="392"/>
      <c r="PL2" s="392"/>
      <c r="PM2" s="392"/>
      <c r="PN2" s="392"/>
      <c r="PO2" s="392"/>
      <c r="PP2" s="392"/>
      <c r="PQ2" s="392"/>
      <c r="PR2" s="392"/>
      <c r="PS2" s="392"/>
      <c r="PT2" s="392"/>
      <c r="PU2" s="392"/>
      <c r="PV2" s="392"/>
      <c r="PW2" s="392"/>
      <c r="PX2" s="392"/>
      <c r="PY2" s="392"/>
      <c r="PZ2" s="392"/>
      <c r="QA2" s="392"/>
      <c r="QB2" s="392"/>
      <c r="QC2" s="392"/>
      <c r="QD2" s="392"/>
      <c r="QE2" s="392"/>
      <c r="QF2" s="392"/>
      <c r="QG2" s="392"/>
      <c r="QH2" s="392"/>
      <c r="QI2" s="392"/>
      <c r="QJ2" s="392"/>
      <c r="QK2" s="392"/>
      <c r="QL2" s="392"/>
      <c r="QM2" s="392"/>
      <c r="QN2" s="392"/>
      <c r="QO2" s="392"/>
      <c r="QP2" s="392"/>
      <c r="QQ2" s="392"/>
      <c r="QR2" s="392"/>
      <c r="QS2" s="392"/>
      <c r="QT2" s="392"/>
      <c r="QU2" s="392"/>
      <c r="QV2" s="392"/>
      <c r="QW2" s="392"/>
      <c r="QX2" s="392"/>
      <c r="QY2" s="392"/>
      <c r="QZ2" s="392"/>
      <c r="RA2" s="392"/>
      <c r="RB2" s="392"/>
      <c r="RC2" s="392"/>
      <c r="RD2" s="392"/>
      <c r="RE2" s="392"/>
      <c r="RF2" s="392"/>
      <c r="RG2" s="392"/>
      <c r="RH2" s="392"/>
      <c r="RI2" s="392"/>
      <c r="RJ2" s="392"/>
      <c r="RK2" s="392"/>
      <c r="RL2" s="392"/>
      <c r="RM2" s="392"/>
      <c r="RN2" s="392"/>
      <c r="RO2" s="392"/>
      <c r="RP2" s="392"/>
      <c r="RQ2" s="392"/>
      <c r="RR2" s="392"/>
      <c r="RS2" s="392"/>
      <c r="RT2" s="392"/>
      <c r="RU2" s="392"/>
      <c r="RV2" s="392"/>
      <c r="RW2" s="392"/>
      <c r="RX2" s="392"/>
      <c r="RY2" s="392"/>
      <c r="RZ2" s="392"/>
      <c r="SA2" s="392"/>
      <c r="SB2" s="392"/>
      <c r="SC2" s="392"/>
      <c r="SD2" s="392"/>
      <c r="SE2" s="392"/>
    </row>
    <row r="3" spans="2:499" s="393" customFormat="1" ht="20.25" customHeight="1" thickBot="1">
      <c r="B3" s="697"/>
      <c r="C3" s="692" t="s">
        <v>295</v>
      </c>
      <c r="D3" s="693"/>
      <c r="E3" s="693"/>
      <c r="F3" s="693"/>
      <c r="G3" s="694"/>
      <c r="H3" s="692" t="s">
        <v>295</v>
      </c>
      <c r="I3" s="693"/>
      <c r="J3" s="693"/>
      <c r="K3" s="693"/>
      <c r="L3" s="694"/>
      <c r="M3" s="692" t="s">
        <v>295</v>
      </c>
      <c r="N3" s="693"/>
      <c r="O3" s="693"/>
      <c r="P3" s="693"/>
      <c r="Q3" s="694"/>
      <c r="R3" s="692" t="s">
        <v>295</v>
      </c>
      <c r="S3" s="693"/>
      <c r="T3" s="693"/>
      <c r="U3" s="693"/>
      <c r="V3" s="694"/>
      <c r="W3" s="615"/>
      <c r="X3" s="616"/>
      <c r="Y3" s="394"/>
      <c r="Z3" s="394"/>
      <c r="AA3" s="394"/>
      <c r="AB3" s="392"/>
      <c r="AC3" s="392"/>
      <c r="AD3" s="392"/>
      <c r="AE3" s="392"/>
      <c r="AF3" s="392"/>
      <c r="AG3" s="392"/>
      <c r="AH3" s="392"/>
      <c r="AI3" s="392"/>
      <c r="AJ3" s="392"/>
      <c r="AK3" s="392"/>
      <c r="AL3" s="392"/>
      <c r="AM3" s="392"/>
      <c r="AN3" s="392"/>
      <c r="AO3" s="392"/>
      <c r="AP3" s="392"/>
      <c r="AQ3" s="392"/>
      <c r="AR3" s="392"/>
      <c r="AS3" s="392"/>
      <c r="AT3" s="392"/>
      <c r="AU3" s="392"/>
      <c r="AV3" s="392"/>
      <c r="AW3" s="392"/>
      <c r="AX3" s="392"/>
      <c r="AY3" s="392"/>
      <c r="AZ3" s="392"/>
      <c r="BA3" s="392"/>
      <c r="BB3" s="392"/>
      <c r="BC3" s="392"/>
      <c r="BD3" s="392"/>
      <c r="BE3" s="392"/>
      <c r="BF3" s="392"/>
      <c r="BG3" s="392"/>
      <c r="BH3" s="392"/>
      <c r="BI3" s="392"/>
      <c r="BJ3" s="392"/>
      <c r="BK3" s="392"/>
      <c r="BL3" s="392"/>
      <c r="BM3" s="392"/>
      <c r="BN3" s="392"/>
      <c r="BO3" s="392"/>
      <c r="BP3" s="392"/>
      <c r="BQ3" s="392"/>
      <c r="BR3" s="392"/>
      <c r="BS3" s="392"/>
      <c r="BT3" s="392"/>
      <c r="BU3" s="392"/>
      <c r="BV3" s="392"/>
      <c r="BW3" s="392"/>
      <c r="BX3" s="392"/>
      <c r="BY3" s="392"/>
      <c r="BZ3" s="392"/>
      <c r="CA3" s="392"/>
      <c r="CB3" s="392"/>
      <c r="CC3" s="392"/>
      <c r="CD3" s="392"/>
      <c r="CE3" s="392"/>
      <c r="CF3" s="392"/>
      <c r="CG3" s="392"/>
      <c r="CH3" s="392"/>
      <c r="CI3" s="392"/>
      <c r="CJ3" s="392"/>
      <c r="CK3" s="392"/>
      <c r="CL3" s="392"/>
      <c r="CM3" s="392"/>
      <c r="CN3" s="392"/>
      <c r="CO3" s="392"/>
      <c r="CP3" s="392"/>
      <c r="CQ3" s="392"/>
      <c r="CR3" s="392"/>
      <c r="CS3" s="392"/>
      <c r="CT3" s="392"/>
      <c r="CU3" s="392"/>
      <c r="CV3" s="392"/>
      <c r="CW3" s="392"/>
      <c r="CX3" s="392"/>
      <c r="CY3" s="392"/>
      <c r="CZ3" s="392"/>
      <c r="DA3" s="392"/>
      <c r="DB3" s="392"/>
      <c r="DC3" s="392"/>
      <c r="DD3" s="392"/>
      <c r="DE3" s="392"/>
      <c r="DF3" s="392"/>
      <c r="DG3" s="392"/>
      <c r="DH3" s="392"/>
      <c r="DI3" s="392"/>
      <c r="DJ3" s="392"/>
      <c r="DK3" s="392"/>
      <c r="DL3" s="392"/>
      <c r="DM3" s="392"/>
      <c r="DN3" s="392"/>
      <c r="DO3" s="392"/>
      <c r="DP3" s="392"/>
      <c r="DQ3" s="392"/>
      <c r="DR3" s="392"/>
      <c r="DS3" s="392"/>
      <c r="DT3" s="392"/>
      <c r="DU3" s="392"/>
      <c r="DV3" s="392"/>
      <c r="DW3" s="392"/>
      <c r="DX3" s="392"/>
      <c r="DY3" s="392"/>
      <c r="DZ3" s="392"/>
      <c r="EA3" s="392"/>
      <c r="EB3" s="392"/>
      <c r="EC3" s="392"/>
      <c r="ED3" s="392"/>
      <c r="EE3" s="392"/>
      <c r="EF3" s="392"/>
      <c r="EG3" s="392"/>
      <c r="EH3" s="392"/>
      <c r="EI3" s="392"/>
      <c r="EJ3" s="392"/>
      <c r="EK3" s="392"/>
      <c r="EL3" s="392"/>
      <c r="EM3" s="392"/>
      <c r="EN3" s="392"/>
      <c r="EO3" s="392"/>
      <c r="EP3" s="392"/>
      <c r="EQ3" s="392"/>
      <c r="ER3" s="392"/>
      <c r="ES3" s="392"/>
      <c r="ET3" s="392"/>
      <c r="EU3" s="392"/>
      <c r="EV3" s="392"/>
      <c r="EW3" s="392"/>
      <c r="EX3" s="392"/>
      <c r="EY3" s="392"/>
      <c r="EZ3" s="392"/>
      <c r="FA3" s="392"/>
      <c r="FB3" s="392"/>
      <c r="FC3" s="392"/>
      <c r="FD3" s="392"/>
      <c r="FE3" s="392"/>
      <c r="FF3" s="392"/>
      <c r="FG3" s="392"/>
      <c r="FH3" s="392"/>
      <c r="FI3" s="392"/>
      <c r="FJ3" s="392"/>
      <c r="FK3" s="392"/>
      <c r="FL3" s="392"/>
      <c r="FM3" s="392"/>
      <c r="FN3" s="392"/>
      <c r="FO3" s="392"/>
      <c r="FP3" s="392"/>
      <c r="FQ3" s="392"/>
      <c r="FR3" s="392"/>
      <c r="FS3" s="392"/>
      <c r="FT3" s="392"/>
      <c r="FU3" s="392"/>
      <c r="FV3" s="392"/>
      <c r="FW3" s="392"/>
      <c r="FX3" s="392"/>
      <c r="FY3" s="392"/>
      <c r="FZ3" s="392"/>
      <c r="GA3" s="392"/>
      <c r="GB3" s="392"/>
      <c r="GC3" s="392"/>
      <c r="GD3" s="392"/>
      <c r="GE3" s="392"/>
      <c r="GF3" s="392"/>
      <c r="GG3" s="392"/>
      <c r="GH3" s="392"/>
      <c r="GI3" s="392"/>
      <c r="GJ3" s="392"/>
      <c r="GK3" s="392"/>
      <c r="GL3" s="392"/>
      <c r="GM3" s="392"/>
      <c r="GN3" s="392"/>
      <c r="GO3" s="392"/>
      <c r="GP3" s="392"/>
      <c r="GQ3" s="392"/>
      <c r="GR3" s="392"/>
      <c r="GS3" s="392"/>
      <c r="GT3" s="392"/>
      <c r="GU3" s="392"/>
      <c r="GV3" s="392"/>
      <c r="GW3" s="392"/>
      <c r="GX3" s="392"/>
      <c r="GY3" s="392"/>
      <c r="GZ3" s="392"/>
      <c r="HA3" s="392"/>
      <c r="HB3" s="392"/>
      <c r="HC3" s="392"/>
      <c r="HD3" s="392"/>
      <c r="HE3" s="392"/>
      <c r="HF3" s="392"/>
      <c r="HG3" s="392"/>
      <c r="HH3" s="392"/>
      <c r="HI3" s="392"/>
      <c r="HJ3" s="392"/>
      <c r="HK3" s="392"/>
      <c r="HL3" s="392"/>
      <c r="HM3" s="392"/>
      <c r="HN3" s="392"/>
      <c r="HO3" s="392"/>
      <c r="HP3" s="392"/>
      <c r="HQ3" s="392"/>
      <c r="HR3" s="392"/>
      <c r="HS3" s="392"/>
      <c r="HT3" s="392"/>
      <c r="HU3" s="392"/>
      <c r="HV3" s="392"/>
      <c r="HW3" s="392"/>
      <c r="HX3" s="392"/>
      <c r="HY3" s="392"/>
      <c r="HZ3" s="392"/>
      <c r="IA3" s="392"/>
      <c r="IB3" s="392"/>
      <c r="IC3" s="392"/>
      <c r="ID3" s="392"/>
      <c r="IE3" s="392"/>
      <c r="IF3" s="392"/>
      <c r="IG3" s="392"/>
      <c r="IH3" s="392"/>
      <c r="II3" s="392"/>
      <c r="IJ3" s="392"/>
      <c r="IK3" s="392"/>
      <c r="IL3" s="392"/>
      <c r="IM3" s="392"/>
      <c r="IN3" s="392"/>
      <c r="IO3" s="392"/>
      <c r="IP3" s="392"/>
      <c r="IQ3" s="392"/>
      <c r="IR3" s="392"/>
      <c r="IS3" s="392"/>
      <c r="IT3" s="392"/>
      <c r="IU3" s="392"/>
      <c r="IV3" s="392"/>
      <c r="IW3" s="392"/>
      <c r="IX3" s="392"/>
      <c r="IY3" s="392"/>
      <c r="IZ3" s="392"/>
      <c r="JA3" s="392"/>
      <c r="JB3" s="392"/>
      <c r="JC3" s="392"/>
      <c r="JD3" s="392"/>
      <c r="JE3" s="392"/>
      <c r="JF3" s="392"/>
      <c r="JG3" s="392"/>
      <c r="JH3" s="392"/>
      <c r="JI3" s="392"/>
      <c r="JJ3" s="392"/>
      <c r="JK3" s="392"/>
      <c r="JL3" s="392"/>
      <c r="JM3" s="392"/>
      <c r="JN3" s="392"/>
      <c r="JO3" s="392"/>
      <c r="JP3" s="392"/>
      <c r="JQ3" s="392"/>
      <c r="JR3" s="392"/>
      <c r="JS3" s="392"/>
      <c r="JT3" s="392"/>
      <c r="JU3" s="392"/>
      <c r="JV3" s="392"/>
      <c r="JW3" s="392"/>
      <c r="JX3" s="392"/>
      <c r="JY3" s="392"/>
      <c r="JZ3" s="392"/>
      <c r="KA3" s="392"/>
      <c r="KB3" s="392"/>
      <c r="KC3" s="392"/>
      <c r="KD3" s="392"/>
      <c r="KE3" s="392"/>
      <c r="KF3" s="392"/>
      <c r="KG3" s="392"/>
      <c r="KH3" s="392"/>
      <c r="KI3" s="392"/>
      <c r="KJ3" s="392"/>
      <c r="KK3" s="392"/>
      <c r="KL3" s="392"/>
      <c r="KM3" s="392"/>
      <c r="KN3" s="392"/>
      <c r="KO3" s="392"/>
      <c r="KP3" s="392"/>
      <c r="KQ3" s="392"/>
      <c r="KR3" s="392"/>
      <c r="KS3" s="392"/>
      <c r="KT3" s="392"/>
      <c r="KU3" s="392"/>
      <c r="KV3" s="392"/>
      <c r="KW3" s="392"/>
      <c r="KX3" s="392"/>
      <c r="KY3" s="392"/>
      <c r="KZ3" s="392"/>
      <c r="LA3" s="392"/>
      <c r="LB3" s="392"/>
      <c r="LC3" s="392"/>
      <c r="LD3" s="392"/>
      <c r="LE3" s="392"/>
      <c r="LF3" s="392"/>
      <c r="LG3" s="392"/>
      <c r="LH3" s="392"/>
      <c r="LI3" s="392"/>
      <c r="LJ3" s="392"/>
      <c r="LK3" s="392"/>
      <c r="LL3" s="392"/>
      <c r="LM3" s="392"/>
      <c r="LN3" s="392"/>
      <c r="LO3" s="392"/>
      <c r="LP3" s="392"/>
      <c r="LQ3" s="392"/>
      <c r="LR3" s="392"/>
      <c r="LS3" s="392"/>
      <c r="LT3" s="392"/>
      <c r="LU3" s="392"/>
      <c r="LV3" s="392"/>
      <c r="LW3" s="392"/>
      <c r="LX3" s="392"/>
      <c r="LY3" s="392"/>
      <c r="LZ3" s="392"/>
      <c r="MA3" s="392"/>
      <c r="MB3" s="392"/>
      <c r="MC3" s="392"/>
      <c r="MD3" s="392"/>
      <c r="ME3" s="392"/>
      <c r="MF3" s="392"/>
      <c r="MG3" s="392"/>
      <c r="MH3" s="392"/>
      <c r="MI3" s="392"/>
      <c r="MJ3" s="392"/>
      <c r="MK3" s="392"/>
      <c r="ML3" s="392"/>
      <c r="MM3" s="392"/>
      <c r="MN3" s="392"/>
      <c r="MO3" s="392"/>
      <c r="MP3" s="392"/>
      <c r="MQ3" s="392"/>
      <c r="MR3" s="392"/>
      <c r="MS3" s="392"/>
      <c r="MT3" s="392"/>
      <c r="MU3" s="392"/>
      <c r="MV3" s="392"/>
      <c r="MW3" s="392"/>
      <c r="MX3" s="392"/>
      <c r="MY3" s="392"/>
      <c r="MZ3" s="392"/>
      <c r="NA3" s="392"/>
      <c r="NB3" s="392"/>
      <c r="NC3" s="392"/>
      <c r="ND3" s="392"/>
      <c r="NE3" s="392"/>
      <c r="NF3" s="392"/>
      <c r="NG3" s="392"/>
      <c r="NH3" s="392"/>
      <c r="NI3" s="392"/>
      <c r="NJ3" s="392"/>
      <c r="NK3" s="392"/>
      <c r="NL3" s="392"/>
      <c r="NM3" s="392"/>
      <c r="NN3" s="392"/>
      <c r="NO3" s="392"/>
      <c r="NP3" s="392"/>
      <c r="NQ3" s="392"/>
      <c r="NR3" s="392"/>
      <c r="NS3" s="392"/>
      <c r="NT3" s="392"/>
      <c r="NU3" s="392"/>
      <c r="NV3" s="392"/>
      <c r="NW3" s="392"/>
      <c r="NX3" s="392"/>
      <c r="NY3" s="392"/>
      <c r="NZ3" s="392"/>
      <c r="OA3" s="392"/>
      <c r="OB3" s="392"/>
      <c r="OC3" s="392"/>
      <c r="OD3" s="392"/>
      <c r="OE3" s="392"/>
      <c r="OF3" s="392"/>
      <c r="OG3" s="392"/>
      <c r="OH3" s="392"/>
      <c r="OI3" s="392"/>
      <c r="OJ3" s="392"/>
      <c r="OK3" s="392"/>
      <c r="OL3" s="392"/>
      <c r="OM3" s="392"/>
      <c r="ON3" s="392"/>
      <c r="OO3" s="392"/>
      <c r="OP3" s="392"/>
      <c r="OQ3" s="392"/>
      <c r="OR3" s="392"/>
      <c r="OS3" s="392"/>
      <c r="OT3" s="392"/>
      <c r="OU3" s="392"/>
      <c r="OV3" s="392"/>
      <c r="OW3" s="392"/>
      <c r="OX3" s="392"/>
      <c r="OY3" s="392"/>
      <c r="OZ3" s="392"/>
      <c r="PA3" s="392"/>
      <c r="PB3" s="392"/>
      <c r="PC3" s="392"/>
      <c r="PD3" s="392"/>
      <c r="PE3" s="392"/>
      <c r="PF3" s="392"/>
      <c r="PG3" s="392"/>
      <c r="PH3" s="392"/>
      <c r="PI3" s="392"/>
      <c r="PJ3" s="392"/>
      <c r="PK3" s="392"/>
      <c r="PL3" s="392"/>
      <c r="PM3" s="392"/>
      <c r="PN3" s="392"/>
      <c r="PO3" s="392"/>
      <c r="PP3" s="392"/>
      <c r="PQ3" s="392"/>
      <c r="PR3" s="392"/>
      <c r="PS3" s="392"/>
      <c r="PT3" s="392"/>
      <c r="PU3" s="392"/>
      <c r="PV3" s="392"/>
      <c r="PW3" s="392"/>
      <c r="PX3" s="392"/>
      <c r="PY3" s="392"/>
      <c r="PZ3" s="392"/>
      <c r="QA3" s="392"/>
      <c r="QB3" s="392"/>
      <c r="QC3" s="392"/>
      <c r="QD3" s="392"/>
      <c r="QE3" s="392"/>
      <c r="QF3" s="392"/>
      <c r="QG3" s="392"/>
      <c r="QH3" s="392"/>
      <c r="QI3" s="392"/>
      <c r="QJ3" s="392"/>
      <c r="QK3" s="392"/>
      <c r="QL3" s="392"/>
      <c r="QM3" s="392"/>
      <c r="QN3" s="392"/>
      <c r="QO3" s="392"/>
      <c r="QP3" s="392"/>
      <c r="QQ3" s="392"/>
      <c r="QR3" s="392"/>
      <c r="QS3" s="392"/>
      <c r="QT3" s="392"/>
      <c r="QU3" s="392"/>
      <c r="QV3" s="392"/>
      <c r="QW3" s="392"/>
      <c r="QX3" s="392"/>
      <c r="QY3" s="392"/>
      <c r="QZ3" s="392"/>
      <c r="RA3" s="392"/>
      <c r="RB3" s="392"/>
      <c r="RC3" s="392"/>
      <c r="RD3" s="392"/>
      <c r="RE3" s="392"/>
      <c r="RF3" s="392"/>
      <c r="RG3" s="392"/>
      <c r="RH3" s="392"/>
      <c r="RI3" s="392"/>
      <c r="RJ3" s="392"/>
      <c r="RK3" s="392"/>
      <c r="RL3" s="392"/>
      <c r="RM3" s="392"/>
      <c r="RN3" s="392"/>
      <c r="RO3" s="392"/>
      <c r="RP3" s="392"/>
      <c r="RQ3" s="392"/>
      <c r="RR3" s="392"/>
      <c r="RS3" s="392"/>
      <c r="RT3" s="392"/>
      <c r="RU3" s="392"/>
      <c r="RV3" s="392"/>
      <c r="RW3" s="392"/>
      <c r="RX3" s="392"/>
      <c r="RY3" s="392"/>
      <c r="RZ3" s="392"/>
      <c r="SA3" s="392"/>
      <c r="SB3" s="392"/>
      <c r="SC3" s="392"/>
      <c r="SD3" s="392"/>
      <c r="SE3" s="392"/>
    </row>
    <row r="4" spans="2:499" s="396" customFormat="1" ht="39" thickBot="1">
      <c r="B4" s="698"/>
      <c r="C4" s="464" t="s">
        <v>297</v>
      </c>
      <c r="D4" s="214"/>
      <c r="E4" s="215" t="s">
        <v>296</v>
      </c>
      <c r="F4" s="215"/>
      <c r="G4" s="216" t="s">
        <v>110</v>
      </c>
      <c r="H4" s="464" t="s">
        <v>297</v>
      </c>
      <c r="I4" s="214"/>
      <c r="J4" s="215" t="s">
        <v>296</v>
      </c>
      <c r="K4" s="215"/>
      <c r="L4" s="216" t="s">
        <v>110</v>
      </c>
      <c r="M4" s="464" t="s">
        <v>297</v>
      </c>
      <c r="N4" s="214"/>
      <c r="O4" s="215" t="s">
        <v>296</v>
      </c>
      <c r="P4" s="215"/>
      <c r="Q4" s="216" t="s">
        <v>110</v>
      </c>
      <c r="R4" s="464" t="s">
        <v>297</v>
      </c>
      <c r="S4" s="214"/>
      <c r="T4" s="215" t="s">
        <v>296</v>
      </c>
      <c r="U4" s="215"/>
      <c r="V4" s="217" t="s">
        <v>110</v>
      </c>
      <c r="W4" s="617"/>
      <c r="X4" s="618"/>
      <c r="Y4" s="395"/>
      <c r="Z4" s="395"/>
      <c r="AA4" s="395"/>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c r="IW4" s="17"/>
      <c r="IX4" s="17"/>
      <c r="IY4" s="17"/>
      <c r="IZ4" s="17"/>
      <c r="JA4" s="17"/>
      <c r="JB4" s="17"/>
      <c r="JC4" s="17"/>
      <c r="JD4" s="17"/>
      <c r="JE4" s="17"/>
      <c r="JF4" s="17"/>
      <c r="JG4" s="17"/>
      <c r="JH4" s="17"/>
      <c r="JI4" s="17"/>
      <c r="JJ4" s="17"/>
      <c r="JK4" s="17"/>
      <c r="JL4" s="17"/>
      <c r="JM4" s="17"/>
      <c r="JN4" s="17"/>
      <c r="JO4" s="17"/>
      <c r="JP4" s="17"/>
      <c r="JQ4" s="17"/>
      <c r="JR4" s="17"/>
      <c r="JS4" s="17"/>
      <c r="JT4" s="17"/>
      <c r="JU4" s="17"/>
      <c r="JV4" s="17"/>
      <c r="JW4" s="17"/>
      <c r="JX4" s="17"/>
      <c r="JY4" s="17"/>
      <c r="JZ4" s="17"/>
      <c r="KA4" s="17"/>
      <c r="KB4" s="17"/>
      <c r="KC4" s="17"/>
      <c r="KD4" s="17"/>
      <c r="KE4" s="17"/>
      <c r="KF4" s="17"/>
      <c r="KG4" s="17"/>
      <c r="KH4" s="17"/>
      <c r="KI4" s="17"/>
      <c r="KJ4" s="17"/>
      <c r="KK4" s="17"/>
      <c r="KL4" s="17"/>
      <c r="KM4" s="17"/>
      <c r="KN4" s="17"/>
      <c r="KO4" s="17"/>
      <c r="KP4" s="17"/>
      <c r="KQ4" s="17"/>
      <c r="KR4" s="17"/>
      <c r="KS4" s="17"/>
      <c r="KT4" s="17"/>
      <c r="KU4" s="17"/>
      <c r="KV4" s="17"/>
      <c r="KW4" s="17"/>
      <c r="KX4" s="17"/>
      <c r="KY4" s="17"/>
      <c r="KZ4" s="17"/>
      <c r="LA4" s="17"/>
      <c r="LB4" s="17"/>
      <c r="LC4" s="17"/>
      <c r="LD4" s="17"/>
      <c r="LE4" s="17"/>
      <c r="LF4" s="17"/>
      <c r="LG4" s="17"/>
      <c r="LH4" s="17"/>
      <c r="LI4" s="17"/>
      <c r="LJ4" s="17"/>
      <c r="LK4" s="17"/>
      <c r="LL4" s="17"/>
      <c r="LM4" s="17"/>
      <c r="LN4" s="17"/>
      <c r="LO4" s="17"/>
      <c r="LP4" s="17"/>
      <c r="LQ4" s="17"/>
      <c r="LR4" s="17"/>
      <c r="LS4" s="17"/>
      <c r="LT4" s="17"/>
      <c r="LU4" s="17"/>
      <c r="LV4" s="17"/>
      <c r="LW4" s="17"/>
      <c r="LX4" s="17"/>
      <c r="LY4" s="17"/>
      <c r="LZ4" s="17"/>
      <c r="MA4" s="17"/>
      <c r="MB4" s="17"/>
      <c r="MC4" s="17"/>
      <c r="MD4" s="17"/>
      <c r="ME4" s="17"/>
      <c r="MF4" s="17"/>
      <c r="MG4" s="17"/>
      <c r="MH4" s="17"/>
      <c r="MI4" s="17"/>
      <c r="MJ4" s="17"/>
      <c r="MK4" s="17"/>
      <c r="ML4" s="17"/>
      <c r="MM4" s="17"/>
      <c r="MN4" s="17"/>
      <c r="MO4" s="17"/>
      <c r="MP4" s="17"/>
      <c r="MQ4" s="17"/>
      <c r="MR4" s="17"/>
      <c r="MS4" s="17"/>
      <c r="MT4" s="17"/>
      <c r="MU4" s="17"/>
      <c r="MV4" s="17"/>
      <c r="MW4" s="17"/>
      <c r="MX4" s="17"/>
      <c r="MY4" s="17"/>
      <c r="MZ4" s="17"/>
      <c r="NA4" s="17"/>
      <c r="NB4" s="17"/>
      <c r="NC4" s="17"/>
      <c r="ND4" s="17"/>
      <c r="NE4" s="17"/>
      <c r="NF4" s="17"/>
      <c r="NG4" s="17"/>
      <c r="NH4" s="17"/>
      <c r="NI4" s="17"/>
      <c r="NJ4" s="17"/>
      <c r="NK4" s="17"/>
      <c r="NL4" s="17"/>
      <c r="NM4" s="17"/>
      <c r="NN4" s="17"/>
      <c r="NO4" s="17"/>
      <c r="NP4" s="17"/>
      <c r="NQ4" s="17"/>
      <c r="NR4" s="17"/>
      <c r="NS4" s="17"/>
      <c r="NT4" s="17"/>
      <c r="NU4" s="17"/>
      <c r="NV4" s="17"/>
      <c r="NW4" s="17"/>
      <c r="NX4" s="17"/>
      <c r="NY4" s="17"/>
      <c r="NZ4" s="17"/>
      <c r="OA4" s="17"/>
      <c r="OB4" s="17"/>
      <c r="OC4" s="17"/>
      <c r="OD4" s="17"/>
      <c r="OE4" s="17"/>
      <c r="OF4" s="17"/>
      <c r="OG4" s="17"/>
      <c r="OH4" s="17"/>
      <c r="OI4" s="17"/>
      <c r="OJ4" s="17"/>
      <c r="OK4" s="17"/>
      <c r="OL4" s="17"/>
      <c r="OM4" s="17"/>
      <c r="ON4" s="17"/>
      <c r="OO4" s="17"/>
      <c r="OP4" s="17"/>
      <c r="OQ4" s="17"/>
      <c r="OR4" s="17"/>
      <c r="OS4" s="17"/>
      <c r="OT4" s="17"/>
      <c r="OU4" s="17"/>
      <c r="OV4" s="17"/>
      <c r="OW4" s="17"/>
      <c r="OX4" s="17"/>
      <c r="OY4" s="17"/>
      <c r="OZ4" s="17"/>
      <c r="PA4" s="17"/>
      <c r="PB4" s="17"/>
      <c r="PC4" s="17"/>
      <c r="PD4" s="17"/>
      <c r="PE4" s="17"/>
      <c r="PF4" s="17"/>
      <c r="PG4" s="17"/>
      <c r="PH4" s="17"/>
      <c r="PI4" s="17"/>
      <c r="PJ4" s="17"/>
      <c r="PK4" s="17"/>
      <c r="PL4" s="17"/>
      <c r="PM4" s="17"/>
      <c r="PN4" s="17"/>
      <c r="PO4" s="17"/>
      <c r="PP4" s="17"/>
      <c r="PQ4" s="17"/>
      <c r="PR4" s="17"/>
      <c r="PS4" s="17"/>
      <c r="PT4" s="17"/>
      <c r="PU4" s="17"/>
      <c r="PV4" s="17"/>
      <c r="PW4" s="17"/>
      <c r="PX4" s="17"/>
      <c r="PY4" s="17"/>
      <c r="PZ4" s="17"/>
      <c r="QA4" s="17"/>
      <c r="QB4" s="17"/>
      <c r="QC4" s="17"/>
      <c r="QD4" s="17"/>
      <c r="QE4" s="17"/>
      <c r="QF4" s="17"/>
      <c r="QG4" s="17"/>
      <c r="QH4" s="17"/>
      <c r="QI4" s="17"/>
      <c r="QJ4" s="17"/>
      <c r="QK4" s="17"/>
      <c r="QL4" s="17"/>
      <c r="QM4" s="17"/>
      <c r="QN4" s="17"/>
      <c r="QO4" s="17"/>
      <c r="QP4" s="17"/>
      <c r="QQ4" s="17"/>
      <c r="QR4" s="17"/>
      <c r="QS4" s="17"/>
      <c r="QT4" s="17"/>
      <c r="QU4" s="17"/>
      <c r="QV4" s="17"/>
      <c r="QW4" s="17"/>
      <c r="QX4" s="17"/>
      <c r="QY4" s="17"/>
      <c r="QZ4" s="17"/>
      <c r="RA4" s="17"/>
      <c r="RB4" s="17"/>
      <c r="RC4" s="17"/>
      <c r="RD4" s="17"/>
      <c r="RE4" s="17"/>
      <c r="RF4" s="17"/>
      <c r="RG4" s="17"/>
      <c r="RH4" s="17"/>
      <c r="RI4" s="17"/>
      <c r="RJ4" s="17"/>
      <c r="RK4" s="17"/>
      <c r="RL4" s="17"/>
      <c r="RM4" s="17"/>
      <c r="RN4" s="17"/>
      <c r="RO4" s="17"/>
      <c r="RP4" s="17"/>
      <c r="RQ4" s="17"/>
      <c r="RR4" s="17"/>
      <c r="RS4" s="17"/>
      <c r="RT4" s="17"/>
      <c r="RU4" s="17"/>
      <c r="RV4" s="17"/>
      <c r="RW4" s="17"/>
      <c r="RX4" s="17"/>
      <c r="RY4" s="17"/>
      <c r="RZ4" s="17"/>
      <c r="SA4" s="17"/>
      <c r="SB4" s="17"/>
      <c r="SC4" s="17"/>
      <c r="SD4" s="17"/>
      <c r="SE4" s="17"/>
    </row>
    <row r="5" spans="2:499" s="393" customFormat="1" ht="20.25" customHeight="1">
      <c r="B5" s="653" t="s">
        <v>111</v>
      </c>
      <c r="C5" s="529">
        <v>2385.5</v>
      </c>
      <c r="D5" s="667"/>
      <c r="E5" s="671">
        <v>2036.8</v>
      </c>
      <c r="F5" s="500"/>
      <c r="G5" s="530">
        <f>C5-E5</f>
        <v>348.70000000000005</v>
      </c>
      <c r="H5" s="529">
        <v>406.1</v>
      </c>
      <c r="I5" s="520"/>
      <c r="J5" s="671">
        <v>309.10000000000002</v>
      </c>
      <c r="K5" s="507"/>
      <c r="L5" s="530">
        <f>H5-J5</f>
        <v>97</v>
      </c>
      <c r="M5" s="529">
        <v>0</v>
      </c>
      <c r="N5" s="526"/>
      <c r="O5" s="671">
        <v>0</v>
      </c>
      <c r="P5" s="527"/>
      <c r="Q5" s="530">
        <f>M5-O5</f>
        <v>0</v>
      </c>
      <c r="R5" s="654">
        <f>C5+H5+M5</f>
        <v>2791.6</v>
      </c>
      <c r="S5" s="477"/>
      <c r="T5" s="398">
        <f>E5+J5+O5</f>
        <v>2345.9</v>
      </c>
      <c r="U5" s="398"/>
      <c r="V5" s="264">
        <f>R5-T5</f>
        <v>445.69999999999982</v>
      </c>
      <c r="W5" s="619"/>
      <c r="X5" s="620"/>
      <c r="Y5" s="399"/>
      <c r="Z5" s="399"/>
      <c r="AA5" s="394"/>
      <c r="AB5" s="392"/>
      <c r="AC5" s="392"/>
      <c r="AD5" s="392"/>
      <c r="AE5" s="392"/>
      <c r="AF5" s="392"/>
      <c r="AG5" s="392"/>
      <c r="AH5" s="392"/>
      <c r="AI5" s="392"/>
      <c r="AJ5" s="392"/>
      <c r="AK5" s="392"/>
      <c r="AL5" s="392"/>
      <c r="AM5" s="392"/>
      <c r="AN5" s="392"/>
      <c r="AO5" s="392"/>
      <c r="AP5" s="392"/>
      <c r="AQ5" s="392"/>
      <c r="AR5" s="392"/>
      <c r="AS5" s="392"/>
      <c r="AT5" s="392"/>
      <c r="AU5" s="392"/>
      <c r="AV5" s="392"/>
      <c r="AW5" s="392"/>
      <c r="AX5" s="392"/>
      <c r="AY5" s="392"/>
      <c r="AZ5" s="392"/>
      <c r="BA5" s="392"/>
      <c r="BB5" s="392"/>
      <c r="BC5" s="392"/>
      <c r="BD5" s="392"/>
      <c r="BE5" s="392"/>
      <c r="BF5" s="392"/>
      <c r="BG5" s="392"/>
      <c r="BH5" s="392"/>
      <c r="BI5" s="392"/>
      <c r="BJ5" s="392"/>
      <c r="BK5" s="392"/>
      <c r="BL5" s="392"/>
      <c r="BM5" s="392"/>
      <c r="BN5" s="392"/>
      <c r="BO5" s="392"/>
      <c r="BP5" s="392"/>
      <c r="BQ5" s="392"/>
      <c r="BR5" s="392"/>
      <c r="BS5" s="392"/>
      <c r="BT5" s="392"/>
      <c r="BU5" s="392"/>
      <c r="BV5" s="392"/>
      <c r="BW5" s="392"/>
      <c r="BX5" s="392"/>
      <c r="BY5" s="392"/>
      <c r="BZ5" s="392"/>
      <c r="CA5" s="392"/>
      <c r="CB5" s="392"/>
      <c r="CC5" s="392"/>
      <c r="CD5" s="392"/>
      <c r="CE5" s="392"/>
      <c r="CF5" s="392"/>
      <c r="CG5" s="392"/>
      <c r="CH5" s="392"/>
      <c r="CI5" s="392"/>
      <c r="CJ5" s="392"/>
      <c r="CK5" s="392"/>
      <c r="CL5" s="392"/>
      <c r="CM5" s="392"/>
      <c r="CN5" s="392"/>
      <c r="CO5" s="392"/>
      <c r="CP5" s="392"/>
      <c r="CQ5" s="392"/>
      <c r="CR5" s="392"/>
      <c r="CS5" s="392"/>
      <c r="CT5" s="392"/>
      <c r="CU5" s="392"/>
      <c r="CV5" s="392"/>
      <c r="CW5" s="392"/>
      <c r="CX5" s="392"/>
      <c r="CY5" s="392"/>
      <c r="CZ5" s="392"/>
      <c r="DA5" s="392"/>
      <c r="DB5" s="392"/>
      <c r="DC5" s="392"/>
      <c r="DD5" s="392"/>
      <c r="DE5" s="392"/>
      <c r="DF5" s="392"/>
      <c r="DG5" s="392"/>
      <c r="DH5" s="392"/>
      <c r="DI5" s="392"/>
      <c r="DJ5" s="392"/>
      <c r="DK5" s="392"/>
      <c r="DL5" s="392"/>
      <c r="DM5" s="392"/>
      <c r="DN5" s="392"/>
      <c r="DO5" s="392"/>
      <c r="DP5" s="392"/>
      <c r="DQ5" s="392"/>
      <c r="DR5" s="392"/>
      <c r="DS5" s="392"/>
      <c r="DT5" s="392"/>
      <c r="DU5" s="392"/>
      <c r="DV5" s="392"/>
      <c r="DW5" s="392"/>
      <c r="DX5" s="392"/>
      <c r="DY5" s="392"/>
      <c r="DZ5" s="392"/>
      <c r="EA5" s="392"/>
      <c r="EB5" s="392"/>
      <c r="EC5" s="392"/>
      <c r="ED5" s="392"/>
      <c r="EE5" s="392"/>
      <c r="EF5" s="392"/>
      <c r="EG5" s="392"/>
      <c r="EH5" s="392"/>
      <c r="EI5" s="392"/>
      <c r="EJ5" s="392"/>
      <c r="EK5" s="392"/>
      <c r="EL5" s="392"/>
      <c r="EM5" s="392"/>
      <c r="EN5" s="392"/>
      <c r="EO5" s="392"/>
      <c r="EP5" s="392"/>
      <c r="EQ5" s="392"/>
      <c r="ER5" s="392"/>
      <c r="ES5" s="392"/>
      <c r="ET5" s="392"/>
      <c r="EU5" s="392"/>
      <c r="EV5" s="392"/>
      <c r="EW5" s="392"/>
      <c r="EX5" s="392"/>
      <c r="EY5" s="392"/>
      <c r="EZ5" s="392"/>
      <c r="FA5" s="392"/>
      <c r="FB5" s="392"/>
      <c r="FC5" s="392"/>
      <c r="FD5" s="392"/>
      <c r="FE5" s="392"/>
      <c r="FF5" s="392"/>
      <c r="FG5" s="392"/>
      <c r="FH5" s="392"/>
      <c r="FI5" s="392"/>
      <c r="FJ5" s="392"/>
      <c r="FK5" s="392"/>
      <c r="FL5" s="392"/>
      <c r="FM5" s="392"/>
      <c r="FN5" s="392"/>
      <c r="FO5" s="392"/>
      <c r="FP5" s="392"/>
      <c r="FQ5" s="392"/>
      <c r="FR5" s="392"/>
      <c r="FS5" s="392"/>
      <c r="FT5" s="392"/>
      <c r="FU5" s="392"/>
      <c r="FV5" s="392"/>
      <c r="FW5" s="392"/>
      <c r="FX5" s="392"/>
      <c r="FY5" s="392"/>
      <c r="FZ5" s="392"/>
      <c r="GA5" s="392"/>
      <c r="GB5" s="392"/>
      <c r="GC5" s="392"/>
      <c r="GD5" s="392"/>
      <c r="GE5" s="392"/>
      <c r="GF5" s="392"/>
      <c r="GG5" s="392"/>
      <c r="GH5" s="392"/>
      <c r="GI5" s="392"/>
      <c r="GJ5" s="392"/>
      <c r="GK5" s="392"/>
      <c r="GL5" s="392"/>
      <c r="GM5" s="392"/>
      <c r="GN5" s="392"/>
      <c r="GO5" s="392"/>
      <c r="GP5" s="392"/>
      <c r="GQ5" s="392"/>
      <c r="GR5" s="392"/>
      <c r="GS5" s="392"/>
      <c r="GT5" s="392"/>
      <c r="GU5" s="392"/>
      <c r="GV5" s="392"/>
      <c r="GW5" s="392"/>
      <c r="GX5" s="392"/>
      <c r="GY5" s="392"/>
      <c r="GZ5" s="392"/>
      <c r="HA5" s="392"/>
      <c r="HB5" s="392"/>
      <c r="HC5" s="392"/>
      <c r="HD5" s="392"/>
      <c r="HE5" s="392"/>
      <c r="HF5" s="392"/>
      <c r="HG5" s="392"/>
      <c r="HH5" s="392"/>
      <c r="HI5" s="392"/>
      <c r="HJ5" s="392"/>
      <c r="HK5" s="392"/>
      <c r="HL5" s="392"/>
      <c r="HM5" s="392"/>
      <c r="HN5" s="392"/>
      <c r="HO5" s="392"/>
      <c r="HP5" s="392"/>
      <c r="HQ5" s="392"/>
      <c r="HR5" s="392"/>
      <c r="HS5" s="392"/>
      <c r="HT5" s="392"/>
      <c r="HU5" s="392"/>
      <c r="HV5" s="392"/>
      <c r="HW5" s="392"/>
      <c r="HX5" s="392"/>
      <c r="HY5" s="392"/>
      <c r="HZ5" s="392"/>
      <c r="IA5" s="392"/>
      <c r="IB5" s="392"/>
      <c r="IC5" s="392"/>
      <c r="ID5" s="392"/>
      <c r="IE5" s="392"/>
      <c r="IF5" s="392"/>
      <c r="IG5" s="392"/>
      <c r="IH5" s="392"/>
      <c r="II5" s="392"/>
      <c r="IJ5" s="392"/>
      <c r="IK5" s="392"/>
      <c r="IL5" s="392"/>
      <c r="IM5" s="392"/>
      <c r="IN5" s="392"/>
      <c r="IO5" s="392"/>
      <c r="IP5" s="392"/>
      <c r="IQ5" s="392"/>
      <c r="IR5" s="392"/>
      <c r="IS5" s="392"/>
      <c r="IT5" s="392"/>
      <c r="IU5" s="392"/>
      <c r="IV5" s="392"/>
      <c r="IW5" s="392"/>
      <c r="IX5" s="392"/>
      <c r="IY5" s="392"/>
      <c r="IZ5" s="392"/>
      <c r="JA5" s="392"/>
      <c r="JB5" s="392"/>
      <c r="JC5" s="392"/>
      <c r="JD5" s="392"/>
      <c r="JE5" s="392"/>
      <c r="JF5" s="392"/>
      <c r="JG5" s="392"/>
      <c r="JH5" s="392"/>
      <c r="JI5" s="392"/>
      <c r="JJ5" s="392"/>
      <c r="JK5" s="392"/>
      <c r="JL5" s="392"/>
      <c r="JM5" s="392"/>
      <c r="JN5" s="392"/>
      <c r="JO5" s="392"/>
      <c r="JP5" s="392"/>
      <c r="JQ5" s="392"/>
      <c r="JR5" s="392"/>
      <c r="JS5" s="392"/>
      <c r="JT5" s="392"/>
      <c r="JU5" s="392"/>
      <c r="JV5" s="392"/>
      <c r="JW5" s="392"/>
      <c r="JX5" s="392"/>
      <c r="JY5" s="392"/>
      <c r="JZ5" s="392"/>
      <c r="KA5" s="392"/>
      <c r="KB5" s="392"/>
      <c r="KC5" s="392"/>
      <c r="KD5" s="392"/>
      <c r="KE5" s="392"/>
      <c r="KF5" s="392"/>
      <c r="KG5" s="392"/>
      <c r="KH5" s="392"/>
      <c r="KI5" s="392"/>
      <c r="KJ5" s="392"/>
      <c r="KK5" s="392"/>
      <c r="KL5" s="392"/>
      <c r="KM5" s="392"/>
      <c r="KN5" s="392"/>
      <c r="KO5" s="392"/>
      <c r="KP5" s="392"/>
      <c r="KQ5" s="392"/>
      <c r="KR5" s="392"/>
      <c r="KS5" s="392"/>
      <c r="KT5" s="392"/>
      <c r="KU5" s="392"/>
      <c r="KV5" s="392"/>
      <c r="KW5" s="392"/>
      <c r="KX5" s="392"/>
      <c r="KY5" s="392"/>
      <c r="KZ5" s="392"/>
      <c r="LA5" s="392"/>
      <c r="LB5" s="392"/>
      <c r="LC5" s="392"/>
      <c r="LD5" s="392"/>
      <c r="LE5" s="392"/>
      <c r="LF5" s="392"/>
      <c r="LG5" s="392"/>
      <c r="LH5" s="392"/>
      <c r="LI5" s="392"/>
      <c r="LJ5" s="392"/>
      <c r="LK5" s="392"/>
      <c r="LL5" s="392"/>
      <c r="LM5" s="392"/>
      <c r="LN5" s="392"/>
      <c r="LO5" s="392"/>
      <c r="LP5" s="392"/>
      <c r="LQ5" s="392"/>
      <c r="LR5" s="392"/>
      <c r="LS5" s="392"/>
      <c r="LT5" s="392"/>
      <c r="LU5" s="392"/>
      <c r="LV5" s="392"/>
      <c r="LW5" s="392"/>
      <c r="LX5" s="392"/>
      <c r="LY5" s="392"/>
      <c r="LZ5" s="392"/>
      <c r="MA5" s="392"/>
      <c r="MB5" s="392"/>
      <c r="MC5" s="392"/>
      <c r="MD5" s="392"/>
      <c r="ME5" s="392"/>
      <c r="MF5" s="392"/>
      <c r="MG5" s="392"/>
      <c r="MH5" s="392"/>
      <c r="MI5" s="392"/>
      <c r="MJ5" s="392"/>
      <c r="MK5" s="392"/>
      <c r="ML5" s="392"/>
      <c r="MM5" s="392"/>
      <c r="MN5" s="392"/>
      <c r="MO5" s="392"/>
      <c r="MP5" s="392"/>
      <c r="MQ5" s="392"/>
      <c r="MR5" s="392"/>
      <c r="MS5" s="392"/>
      <c r="MT5" s="392"/>
      <c r="MU5" s="392"/>
      <c r="MV5" s="392"/>
      <c r="MW5" s="392"/>
      <c r="MX5" s="392"/>
      <c r="MY5" s="392"/>
      <c r="MZ5" s="392"/>
      <c r="NA5" s="392"/>
      <c r="NB5" s="392"/>
      <c r="NC5" s="392"/>
      <c r="ND5" s="392"/>
      <c r="NE5" s="392"/>
      <c r="NF5" s="392"/>
      <c r="NG5" s="392"/>
      <c r="NH5" s="392"/>
      <c r="NI5" s="392"/>
      <c r="NJ5" s="392"/>
      <c r="NK5" s="392"/>
      <c r="NL5" s="392"/>
      <c r="NM5" s="392"/>
      <c r="NN5" s="392"/>
      <c r="NO5" s="392"/>
      <c r="NP5" s="392"/>
      <c r="NQ5" s="392"/>
      <c r="NR5" s="392"/>
      <c r="NS5" s="392"/>
      <c r="NT5" s="392"/>
      <c r="NU5" s="392"/>
      <c r="NV5" s="392"/>
      <c r="NW5" s="392"/>
      <c r="NX5" s="392"/>
      <c r="NY5" s="392"/>
      <c r="NZ5" s="392"/>
      <c r="OA5" s="392"/>
      <c r="OB5" s="392"/>
      <c r="OC5" s="392"/>
      <c r="OD5" s="392"/>
      <c r="OE5" s="392"/>
      <c r="OF5" s="392"/>
      <c r="OG5" s="392"/>
      <c r="OH5" s="392"/>
      <c r="OI5" s="392"/>
      <c r="OJ5" s="392"/>
      <c r="OK5" s="392"/>
      <c r="OL5" s="392"/>
      <c r="OM5" s="392"/>
      <c r="ON5" s="392"/>
      <c r="OO5" s="392"/>
      <c r="OP5" s="392"/>
      <c r="OQ5" s="392"/>
      <c r="OR5" s="392"/>
      <c r="OS5" s="392"/>
      <c r="OT5" s="392"/>
      <c r="OU5" s="392"/>
      <c r="OV5" s="392"/>
      <c r="OW5" s="392"/>
      <c r="OX5" s="392"/>
      <c r="OY5" s="392"/>
      <c r="OZ5" s="392"/>
      <c r="PA5" s="392"/>
      <c r="PB5" s="392"/>
      <c r="PC5" s="392"/>
      <c r="PD5" s="392"/>
      <c r="PE5" s="392"/>
      <c r="PF5" s="392"/>
      <c r="PG5" s="392"/>
      <c r="PH5" s="392"/>
      <c r="PI5" s="392"/>
      <c r="PJ5" s="392"/>
      <c r="PK5" s="392"/>
      <c r="PL5" s="392"/>
      <c r="PM5" s="392"/>
      <c r="PN5" s="392"/>
      <c r="PO5" s="392"/>
      <c r="PP5" s="392"/>
      <c r="PQ5" s="392"/>
      <c r="PR5" s="392"/>
      <c r="PS5" s="392"/>
      <c r="PT5" s="392"/>
      <c r="PU5" s="392"/>
      <c r="PV5" s="392"/>
      <c r="PW5" s="392"/>
      <c r="PX5" s="392"/>
      <c r="PY5" s="392"/>
      <c r="PZ5" s="392"/>
      <c r="QA5" s="392"/>
      <c r="QB5" s="392"/>
      <c r="QC5" s="392"/>
      <c r="QD5" s="392"/>
      <c r="QE5" s="392"/>
      <c r="QF5" s="392"/>
      <c r="QG5" s="392"/>
      <c r="QH5" s="392"/>
      <c r="QI5" s="392"/>
      <c r="QJ5" s="392"/>
      <c r="QK5" s="392"/>
      <c r="QL5" s="392"/>
      <c r="QM5" s="392"/>
      <c r="QN5" s="392"/>
      <c r="QO5" s="392"/>
      <c r="QP5" s="392"/>
      <c r="QQ5" s="392"/>
      <c r="QR5" s="392"/>
      <c r="QS5" s="392"/>
      <c r="QT5" s="392"/>
      <c r="QU5" s="392"/>
      <c r="QV5" s="392"/>
      <c r="QW5" s="392"/>
      <c r="QX5" s="392"/>
      <c r="QY5" s="392"/>
      <c r="QZ5" s="392"/>
      <c r="RA5" s="392"/>
      <c r="RB5" s="392"/>
      <c r="RC5" s="392"/>
      <c r="RD5" s="392"/>
      <c r="RE5" s="392"/>
      <c r="RF5" s="392"/>
      <c r="RG5" s="392"/>
      <c r="RH5" s="392"/>
      <c r="RI5" s="392"/>
      <c r="RJ5" s="392"/>
      <c r="RK5" s="392"/>
      <c r="RL5" s="392"/>
      <c r="RM5" s="392"/>
      <c r="RN5" s="392"/>
      <c r="RO5" s="392"/>
      <c r="RP5" s="392"/>
      <c r="RQ5" s="392"/>
      <c r="RR5" s="392"/>
      <c r="RS5" s="392"/>
      <c r="RT5" s="392"/>
      <c r="RU5" s="392"/>
      <c r="RV5" s="392"/>
      <c r="RW5" s="392"/>
      <c r="RX5" s="392"/>
      <c r="RY5" s="392"/>
      <c r="RZ5" s="392"/>
      <c r="SA5" s="392"/>
      <c r="SB5" s="392"/>
      <c r="SC5" s="392"/>
      <c r="SD5" s="392"/>
      <c r="SE5" s="392"/>
    </row>
    <row r="6" spans="2:499" s="393" customFormat="1" ht="20.25" customHeight="1">
      <c r="B6" s="400" t="s">
        <v>112</v>
      </c>
      <c r="C6" s="525">
        <v>12.7</v>
      </c>
      <c r="D6" s="546"/>
      <c r="E6" s="527">
        <v>12.6</v>
      </c>
      <c r="F6" s="499"/>
      <c r="G6" s="528">
        <f t="shared" ref="G6:G11" si="0">C6-E6</f>
        <v>9.9999999999999645E-2</v>
      </c>
      <c r="H6" s="525">
        <v>48.5</v>
      </c>
      <c r="I6" s="521"/>
      <c r="J6" s="527">
        <v>40.5</v>
      </c>
      <c r="K6" s="506"/>
      <c r="L6" s="528">
        <f t="shared" ref="L6:L11" si="1">H6-J6</f>
        <v>8</v>
      </c>
      <c r="M6" s="525">
        <v>-61.2</v>
      </c>
      <c r="N6" s="546"/>
      <c r="O6" s="527">
        <v>-53.1</v>
      </c>
      <c r="P6" s="524"/>
      <c r="Q6" s="528">
        <f t="shared" ref="Q6:Q11" si="2">M6-O6</f>
        <v>-8.1000000000000014</v>
      </c>
      <c r="R6" s="478">
        <f t="shared" ref="R6:R14" si="3">C6+H6+M6</f>
        <v>0</v>
      </c>
      <c r="S6" s="632"/>
      <c r="T6" s="397">
        <f t="shared" ref="T6:T11" si="4">E6+J6+O6</f>
        <v>0</v>
      </c>
      <c r="U6" s="397"/>
      <c r="V6" s="262">
        <f t="shared" ref="V6:V11" si="5">R6-T6</f>
        <v>0</v>
      </c>
      <c r="W6" s="619"/>
      <c r="X6" s="620"/>
      <c r="Y6" s="402"/>
      <c r="Z6" s="402"/>
      <c r="AA6" s="394"/>
      <c r="AB6" s="392"/>
      <c r="AC6" s="392"/>
      <c r="AD6" s="392"/>
      <c r="AE6" s="392"/>
      <c r="AF6" s="392"/>
      <c r="AG6" s="392"/>
      <c r="AH6" s="392"/>
      <c r="AI6" s="392"/>
      <c r="AJ6" s="392"/>
      <c r="AK6" s="392"/>
      <c r="AL6" s="392"/>
      <c r="AM6" s="392"/>
      <c r="AN6" s="392"/>
      <c r="AO6" s="392"/>
      <c r="AP6" s="392"/>
      <c r="AQ6" s="392"/>
      <c r="AR6" s="392"/>
      <c r="AS6" s="392"/>
      <c r="AT6" s="392"/>
      <c r="AU6" s="392"/>
      <c r="AV6" s="392"/>
      <c r="AW6" s="392"/>
      <c r="AX6" s="392"/>
      <c r="AY6" s="392"/>
      <c r="AZ6" s="392"/>
      <c r="BA6" s="392"/>
      <c r="BB6" s="392"/>
      <c r="BC6" s="392"/>
      <c r="BD6" s="392"/>
      <c r="BE6" s="392"/>
      <c r="BF6" s="392"/>
      <c r="BG6" s="392"/>
      <c r="BH6" s="392"/>
      <c r="BI6" s="392"/>
      <c r="BJ6" s="392"/>
      <c r="BK6" s="392"/>
      <c r="BL6" s="392"/>
      <c r="BM6" s="392"/>
      <c r="BN6" s="392"/>
      <c r="BO6" s="392"/>
      <c r="BP6" s="392"/>
      <c r="BQ6" s="392"/>
      <c r="BR6" s="392"/>
      <c r="BS6" s="392"/>
      <c r="BT6" s="392"/>
      <c r="BU6" s="392"/>
      <c r="BV6" s="392"/>
      <c r="BW6" s="392"/>
      <c r="BX6" s="392"/>
      <c r="BY6" s="392"/>
      <c r="BZ6" s="392"/>
      <c r="CA6" s="392"/>
      <c r="CB6" s="392"/>
      <c r="CC6" s="392"/>
      <c r="CD6" s="392"/>
      <c r="CE6" s="392"/>
      <c r="CF6" s="392"/>
      <c r="CG6" s="392"/>
      <c r="CH6" s="392"/>
      <c r="CI6" s="392"/>
      <c r="CJ6" s="392"/>
      <c r="CK6" s="392"/>
      <c r="CL6" s="392"/>
      <c r="CM6" s="392"/>
      <c r="CN6" s="392"/>
      <c r="CO6" s="392"/>
      <c r="CP6" s="392"/>
      <c r="CQ6" s="392"/>
      <c r="CR6" s="392"/>
      <c r="CS6" s="392"/>
      <c r="CT6" s="392"/>
      <c r="CU6" s="392"/>
      <c r="CV6" s="392"/>
      <c r="CW6" s="392"/>
      <c r="CX6" s="392"/>
      <c r="CY6" s="392"/>
      <c r="CZ6" s="392"/>
      <c r="DA6" s="392"/>
      <c r="DB6" s="392"/>
      <c r="DC6" s="392"/>
      <c r="DD6" s="392"/>
      <c r="DE6" s="392"/>
      <c r="DF6" s="392"/>
      <c r="DG6" s="392"/>
      <c r="DH6" s="392"/>
      <c r="DI6" s="392"/>
      <c r="DJ6" s="392"/>
      <c r="DK6" s="392"/>
      <c r="DL6" s="392"/>
      <c r="DM6" s="392"/>
      <c r="DN6" s="392"/>
      <c r="DO6" s="392"/>
      <c r="DP6" s="392"/>
      <c r="DQ6" s="392"/>
      <c r="DR6" s="392"/>
      <c r="DS6" s="392"/>
      <c r="DT6" s="392"/>
      <c r="DU6" s="392"/>
      <c r="DV6" s="392"/>
      <c r="DW6" s="392"/>
      <c r="DX6" s="392"/>
      <c r="DY6" s="392"/>
      <c r="DZ6" s="392"/>
      <c r="EA6" s="392"/>
      <c r="EB6" s="392"/>
      <c r="EC6" s="392"/>
      <c r="ED6" s="392"/>
      <c r="EE6" s="392"/>
      <c r="EF6" s="392"/>
      <c r="EG6" s="392"/>
      <c r="EH6" s="392"/>
      <c r="EI6" s="392"/>
      <c r="EJ6" s="392"/>
      <c r="EK6" s="392"/>
      <c r="EL6" s="392"/>
      <c r="EM6" s="392"/>
      <c r="EN6" s="392"/>
      <c r="EO6" s="392"/>
      <c r="EP6" s="392"/>
      <c r="EQ6" s="392"/>
      <c r="ER6" s="392"/>
      <c r="ES6" s="392"/>
      <c r="ET6" s="392"/>
      <c r="EU6" s="392"/>
      <c r="EV6" s="392"/>
      <c r="EW6" s="392"/>
      <c r="EX6" s="392"/>
      <c r="EY6" s="392"/>
      <c r="EZ6" s="392"/>
      <c r="FA6" s="392"/>
      <c r="FB6" s="392"/>
      <c r="FC6" s="392"/>
      <c r="FD6" s="392"/>
      <c r="FE6" s="392"/>
      <c r="FF6" s="392"/>
      <c r="FG6" s="392"/>
      <c r="FH6" s="392"/>
      <c r="FI6" s="392"/>
      <c r="FJ6" s="392"/>
      <c r="FK6" s="392"/>
      <c r="FL6" s="392"/>
      <c r="FM6" s="392"/>
      <c r="FN6" s="392"/>
      <c r="FO6" s="392"/>
      <c r="FP6" s="392"/>
      <c r="FQ6" s="392"/>
      <c r="FR6" s="392"/>
      <c r="FS6" s="392"/>
      <c r="FT6" s="392"/>
      <c r="FU6" s="392"/>
      <c r="FV6" s="392"/>
      <c r="FW6" s="392"/>
      <c r="FX6" s="392"/>
      <c r="FY6" s="392"/>
      <c r="FZ6" s="392"/>
      <c r="GA6" s="392"/>
      <c r="GB6" s="392"/>
      <c r="GC6" s="392"/>
      <c r="GD6" s="392"/>
      <c r="GE6" s="392"/>
      <c r="GF6" s="392"/>
      <c r="GG6" s="392"/>
      <c r="GH6" s="392"/>
      <c r="GI6" s="392"/>
      <c r="GJ6" s="392"/>
      <c r="GK6" s="392"/>
      <c r="GL6" s="392"/>
      <c r="GM6" s="392"/>
      <c r="GN6" s="392"/>
      <c r="GO6" s="392"/>
      <c r="GP6" s="392"/>
      <c r="GQ6" s="392"/>
      <c r="GR6" s="392"/>
      <c r="GS6" s="392"/>
      <c r="GT6" s="392"/>
      <c r="GU6" s="392"/>
      <c r="GV6" s="392"/>
      <c r="GW6" s="392"/>
      <c r="GX6" s="392"/>
      <c r="GY6" s="392"/>
      <c r="GZ6" s="392"/>
      <c r="HA6" s="392"/>
      <c r="HB6" s="392"/>
      <c r="HC6" s="392"/>
      <c r="HD6" s="392"/>
      <c r="HE6" s="392"/>
      <c r="HF6" s="392"/>
      <c r="HG6" s="392"/>
      <c r="HH6" s="392"/>
      <c r="HI6" s="392"/>
      <c r="HJ6" s="392"/>
      <c r="HK6" s="392"/>
      <c r="HL6" s="392"/>
      <c r="HM6" s="392"/>
      <c r="HN6" s="392"/>
      <c r="HO6" s="392"/>
      <c r="HP6" s="392"/>
      <c r="HQ6" s="392"/>
      <c r="HR6" s="392"/>
      <c r="HS6" s="392"/>
      <c r="HT6" s="392"/>
      <c r="HU6" s="392"/>
      <c r="HV6" s="392"/>
      <c r="HW6" s="392"/>
      <c r="HX6" s="392"/>
      <c r="HY6" s="392"/>
      <c r="HZ6" s="392"/>
      <c r="IA6" s="392"/>
      <c r="IB6" s="392"/>
      <c r="IC6" s="392"/>
      <c r="ID6" s="392"/>
      <c r="IE6" s="392"/>
      <c r="IF6" s="392"/>
      <c r="IG6" s="392"/>
      <c r="IH6" s="392"/>
      <c r="II6" s="392"/>
      <c r="IJ6" s="392"/>
      <c r="IK6" s="392"/>
      <c r="IL6" s="392"/>
      <c r="IM6" s="392"/>
      <c r="IN6" s="392"/>
      <c r="IO6" s="392"/>
      <c r="IP6" s="392"/>
      <c r="IQ6" s="392"/>
      <c r="IR6" s="392"/>
      <c r="IS6" s="392"/>
      <c r="IT6" s="392"/>
      <c r="IU6" s="392"/>
      <c r="IV6" s="392"/>
      <c r="IW6" s="392"/>
      <c r="IX6" s="392"/>
      <c r="IY6" s="392"/>
      <c r="IZ6" s="392"/>
      <c r="JA6" s="392"/>
      <c r="JB6" s="392"/>
      <c r="JC6" s="392"/>
      <c r="JD6" s="392"/>
      <c r="JE6" s="392"/>
      <c r="JF6" s="392"/>
      <c r="JG6" s="392"/>
      <c r="JH6" s="392"/>
      <c r="JI6" s="392"/>
      <c r="JJ6" s="392"/>
      <c r="JK6" s="392"/>
      <c r="JL6" s="392"/>
      <c r="JM6" s="392"/>
      <c r="JN6" s="392"/>
      <c r="JO6" s="392"/>
      <c r="JP6" s="392"/>
      <c r="JQ6" s="392"/>
      <c r="JR6" s="392"/>
      <c r="JS6" s="392"/>
      <c r="JT6" s="392"/>
      <c r="JU6" s="392"/>
      <c r="JV6" s="392"/>
      <c r="JW6" s="392"/>
      <c r="JX6" s="392"/>
      <c r="JY6" s="392"/>
      <c r="JZ6" s="392"/>
      <c r="KA6" s="392"/>
      <c r="KB6" s="392"/>
      <c r="KC6" s="392"/>
      <c r="KD6" s="392"/>
      <c r="KE6" s="392"/>
      <c r="KF6" s="392"/>
      <c r="KG6" s="392"/>
      <c r="KH6" s="392"/>
      <c r="KI6" s="392"/>
      <c r="KJ6" s="392"/>
      <c r="KK6" s="392"/>
      <c r="KL6" s="392"/>
      <c r="KM6" s="392"/>
      <c r="KN6" s="392"/>
      <c r="KO6" s="392"/>
      <c r="KP6" s="392"/>
      <c r="KQ6" s="392"/>
      <c r="KR6" s="392"/>
      <c r="KS6" s="392"/>
      <c r="KT6" s="392"/>
      <c r="KU6" s="392"/>
      <c r="KV6" s="392"/>
      <c r="KW6" s="392"/>
      <c r="KX6" s="392"/>
      <c r="KY6" s="392"/>
      <c r="KZ6" s="392"/>
      <c r="LA6" s="392"/>
      <c r="LB6" s="392"/>
      <c r="LC6" s="392"/>
      <c r="LD6" s="392"/>
      <c r="LE6" s="392"/>
      <c r="LF6" s="392"/>
      <c r="LG6" s="392"/>
      <c r="LH6" s="392"/>
      <c r="LI6" s="392"/>
      <c r="LJ6" s="392"/>
      <c r="LK6" s="392"/>
      <c r="LL6" s="392"/>
      <c r="LM6" s="392"/>
      <c r="LN6" s="392"/>
      <c r="LO6" s="392"/>
      <c r="LP6" s="392"/>
      <c r="LQ6" s="392"/>
      <c r="LR6" s="392"/>
      <c r="LS6" s="392"/>
      <c r="LT6" s="392"/>
      <c r="LU6" s="392"/>
      <c r="LV6" s="392"/>
      <c r="LW6" s="392"/>
      <c r="LX6" s="392"/>
      <c r="LY6" s="392"/>
      <c r="LZ6" s="392"/>
      <c r="MA6" s="392"/>
      <c r="MB6" s="392"/>
      <c r="MC6" s="392"/>
      <c r="MD6" s="392"/>
      <c r="ME6" s="392"/>
      <c r="MF6" s="392"/>
      <c r="MG6" s="392"/>
      <c r="MH6" s="392"/>
      <c r="MI6" s="392"/>
      <c r="MJ6" s="392"/>
      <c r="MK6" s="392"/>
      <c r="ML6" s="392"/>
      <c r="MM6" s="392"/>
      <c r="MN6" s="392"/>
      <c r="MO6" s="392"/>
      <c r="MP6" s="392"/>
      <c r="MQ6" s="392"/>
      <c r="MR6" s="392"/>
      <c r="MS6" s="392"/>
      <c r="MT6" s="392"/>
      <c r="MU6" s="392"/>
      <c r="MV6" s="392"/>
      <c r="MW6" s="392"/>
      <c r="MX6" s="392"/>
      <c r="MY6" s="392"/>
      <c r="MZ6" s="392"/>
      <c r="NA6" s="392"/>
      <c r="NB6" s="392"/>
      <c r="NC6" s="392"/>
      <c r="ND6" s="392"/>
      <c r="NE6" s="392"/>
      <c r="NF6" s="392"/>
      <c r="NG6" s="392"/>
      <c r="NH6" s="392"/>
      <c r="NI6" s="392"/>
      <c r="NJ6" s="392"/>
      <c r="NK6" s="392"/>
      <c r="NL6" s="392"/>
      <c r="NM6" s="392"/>
      <c r="NN6" s="392"/>
      <c r="NO6" s="392"/>
      <c r="NP6" s="392"/>
      <c r="NQ6" s="392"/>
      <c r="NR6" s="392"/>
      <c r="NS6" s="392"/>
      <c r="NT6" s="392"/>
      <c r="NU6" s="392"/>
      <c r="NV6" s="392"/>
      <c r="NW6" s="392"/>
      <c r="NX6" s="392"/>
      <c r="NY6" s="392"/>
      <c r="NZ6" s="392"/>
      <c r="OA6" s="392"/>
      <c r="OB6" s="392"/>
      <c r="OC6" s="392"/>
      <c r="OD6" s="392"/>
      <c r="OE6" s="392"/>
      <c r="OF6" s="392"/>
      <c r="OG6" s="392"/>
      <c r="OH6" s="392"/>
      <c r="OI6" s="392"/>
      <c r="OJ6" s="392"/>
      <c r="OK6" s="392"/>
      <c r="OL6" s="392"/>
      <c r="OM6" s="392"/>
      <c r="ON6" s="392"/>
      <c r="OO6" s="392"/>
      <c r="OP6" s="392"/>
      <c r="OQ6" s="392"/>
      <c r="OR6" s="392"/>
      <c r="OS6" s="392"/>
      <c r="OT6" s="392"/>
      <c r="OU6" s="392"/>
      <c r="OV6" s="392"/>
      <c r="OW6" s="392"/>
      <c r="OX6" s="392"/>
      <c r="OY6" s="392"/>
      <c r="OZ6" s="392"/>
      <c r="PA6" s="392"/>
      <c r="PB6" s="392"/>
      <c r="PC6" s="392"/>
      <c r="PD6" s="392"/>
      <c r="PE6" s="392"/>
      <c r="PF6" s="392"/>
      <c r="PG6" s="392"/>
      <c r="PH6" s="392"/>
      <c r="PI6" s="392"/>
      <c r="PJ6" s="392"/>
      <c r="PK6" s="392"/>
      <c r="PL6" s="392"/>
      <c r="PM6" s="392"/>
      <c r="PN6" s="392"/>
      <c r="PO6" s="392"/>
      <c r="PP6" s="392"/>
      <c r="PQ6" s="392"/>
      <c r="PR6" s="392"/>
      <c r="PS6" s="392"/>
      <c r="PT6" s="392"/>
      <c r="PU6" s="392"/>
      <c r="PV6" s="392"/>
      <c r="PW6" s="392"/>
      <c r="PX6" s="392"/>
      <c r="PY6" s="392"/>
      <c r="PZ6" s="392"/>
      <c r="QA6" s="392"/>
      <c r="QB6" s="392"/>
      <c r="QC6" s="392"/>
      <c r="QD6" s="392"/>
      <c r="QE6" s="392"/>
      <c r="QF6" s="392"/>
      <c r="QG6" s="392"/>
      <c r="QH6" s="392"/>
      <c r="QI6" s="392"/>
      <c r="QJ6" s="392"/>
      <c r="QK6" s="392"/>
      <c r="QL6" s="392"/>
      <c r="QM6" s="392"/>
      <c r="QN6" s="392"/>
      <c r="QO6" s="392"/>
      <c r="QP6" s="392"/>
      <c r="QQ6" s="392"/>
      <c r="QR6" s="392"/>
      <c r="QS6" s="392"/>
      <c r="QT6" s="392"/>
      <c r="QU6" s="392"/>
      <c r="QV6" s="392"/>
      <c r="QW6" s="392"/>
      <c r="QX6" s="392"/>
      <c r="QY6" s="392"/>
      <c r="QZ6" s="392"/>
      <c r="RA6" s="392"/>
      <c r="RB6" s="392"/>
      <c r="RC6" s="392"/>
      <c r="RD6" s="392"/>
      <c r="RE6" s="392"/>
      <c r="RF6" s="392"/>
      <c r="RG6" s="392"/>
      <c r="RH6" s="392"/>
      <c r="RI6" s="392"/>
      <c r="RJ6" s="392"/>
      <c r="RK6" s="392"/>
      <c r="RL6" s="392"/>
      <c r="RM6" s="392"/>
      <c r="RN6" s="392"/>
      <c r="RO6" s="392"/>
      <c r="RP6" s="392"/>
      <c r="RQ6" s="392"/>
      <c r="RR6" s="392"/>
      <c r="RS6" s="392"/>
      <c r="RT6" s="392"/>
      <c r="RU6" s="392"/>
      <c r="RV6" s="392"/>
      <c r="RW6" s="392"/>
      <c r="RX6" s="392"/>
      <c r="RY6" s="392"/>
      <c r="RZ6" s="392"/>
      <c r="SA6" s="392"/>
      <c r="SB6" s="392"/>
      <c r="SC6" s="392"/>
      <c r="SD6" s="392"/>
      <c r="SE6" s="392"/>
    </row>
    <row r="7" spans="2:499" s="404" customFormat="1" ht="20.25" customHeight="1">
      <c r="B7" s="20" t="s">
        <v>113</v>
      </c>
      <c r="C7" s="531">
        <v>2398.1999999999998</v>
      </c>
      <c r="D7" s="532"/>
      <c r="E7" s="533">
        <v>2049.4</v>
      </c>
      <c r="F7" s="501"/>
      <c r="G7" s="534">
        <f t="shared" si="0"/>
        <v>348.79999999999973</v>
      </c>
      <c r="H7" s="531">
        <v>454.6</v>
      </c>
      <c r="I7" s="509"/>
      <c r="J7" s="533">
        <v>349.6</v>
      </c>
      <c r="K7" s="510"/>
      <c r="L7" s="534">
        <f t="shared" si="1"/>
        <v>105</v>
      </c>
      <c r="M7" s="531">
        <v>-61.2</v>
      </c>
      <c r="N7" s="532"/>
      <c r="O7" s="533">
        <v>-53.1</v>
      </c>
      <c r="P7" s="533"/>
      <c r="Q7" s="534">
        <f t="shared" si="2"/>
        <v>-8.1000000000000014</v>
      </c>
      <c r="R7" s="531">
        <f t="shared" si="3"/>
        <v>2791.6</v>
      </c>
      <c r="S7" s="532"/>
      <c r="T7" s="536">
        <f t="shared" si="4"/>
        <v>2345.9</v>
      </c>
      <c r="U7" s="536"/>
      <c r="V7" s="263">
        <f t="shared" si="5"/>
        <v>445.69999999999982</v>
      </c>
      <c r="W7" s="619"/>
      <c r="X7" s="620"/>
      <c r="Y7" s="22"/>
      <c r="Z7" s="22"/>
      <c r="AA7" s="403"/>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c r="IQ7" s="21"/>
      <c r="IR7" s="21"/>
      <c r="IS7" s="21"/>
      <c r="IT7" s="21"/>
      <c r="IU7" s="21"/>
      <c r="IV7" s="21"/>
      <c r="IW7" s="21"/>
      <c r="IX7" s="21"/>
      <c r="IY7" s="21"/>
      <c r="IZ7" s="21"/>
      <c r="JA7" s="21"/>
      <c r="JB7" s="21"/>
      <c r="JC7" s="21"/>
      <c r="JD7" s="21"/>
      <c r="JE7" s="21"/>
      <c r="JF7" s="21"/>
      <c r="JG7" s="21"/>
      <c r="JH7" s="21"/>
      <c r="JI7" s="21"/>
      <c r="JJ7" s="21"/>
      <c r="JK7" s="21"/>
      <c r="JL7" s="21"/>
      <c r="JM7" s="21"/>
      <c r="JN7" s="21"/>
      <c r="JO7" s="21"/>
      <c r="JP7" s="21"/>
      <c r="JQ7" s="21"/>
      <c r="JR7" s="21"/>
      <c r="JS7" s="21"/>
      <c r="JT7" s="21"/>
      <c r="JU7" s="21"/>
      <c r="JV7" s="21"/>
      <c r="JW7" s="21"/>
      <c r="JX7" s="21"/>
      <c r="JY7" s="21"/>
      <c r="JZ7" s="21"/>
      <c r="KA7" s="21"/>
      <c r="KB7" s="21"/>
      <c r="KC7" s="21"/>
      <c r="KD7" s="21"/>
      <c r="KE7" s="21"/>
      <c r="KF7" s="21"/>
      <c r="KG7" s="21"/>
      <c r="KH7" s="21"/>
      <c r="KI7" s="21"/>
      <c r="KJ7" s="21"/>
      <c r="KK7" s="21"/>
      <c r="KL7" s="21"/>
      <c r="KM7" s="21"/>
      <c r="KN7" s="21"/>
      <c r="KO7" s="21"/>
      <c r="KP7" s="21"/>
      <c r="KQ7" s="21"/>
      <c r="KR7" s="21"/>
      <c r="KS7" s="21"/>
      <c r="KT7" s="21"/>
      <c r="KU7" s="21"/>
      <c r="KV7" s="21"/>
      <c r="KW7" s="21"/>
      <c r="KX7" s="21"/>
      <c r="KY7" s="21"/>
      <c r="KZ7" s="21"/>
      <c r="LA7" s="21"/>
      <c r="LB7" s="21"/>
      <c r="LC7" s="21"/>
      <c r="LD7" s="21"/>
      <c r="LE7" s="21"/>
      <c r="LF7" s="21"/>
      <c r="LG7" s="21"/>
      <c r="LH7" s="21"/>
      <c r="LI7" s="21"/>
      <c r="LJ7" s="21"/>
      <c r="LK7" s="21"/>
      <c r="LL7" s="21"/>
      <c r="LM7" s="21"/>
      <c r="LN7" s="21"/>
      <c r="LO7" s="21"/>
      <c r="LP7" s="21"/>
      <c r="LQ7" s="21"/>
      <c r="LR7" s="21"/>
      <c r="LS7" s="21"/>
      <c r="LT7" s="21"/>
      <c r="LU7" s="21"/>
      <c r="LV7" s="21"/>
      <c r="LW7" s="21"/>
      <c r="LX7" s="21"/>
      <c r="LY7" s="21"/>
      <c r="LZ7" s="21"/>
      <c r="MA7" s="21"/>
      <c r="MB7" s="21"/>
      <c r="MC7" s="21"/>
      <c r="MD7" s="21"/>
      <c r="ME7" s="21"/>
      <c r="MF7" s="21"/>
      <c r="MG7" s="21"/>
      <c r="MH7" s="21"/>
      <c r="MI7" s="21"/>
      <c r="MJ7" s="21"/>
      <c r="MK7" s="21"/>
      <c r="ML7" s="21"/>
      <c r="MM7" s="21"/>
      <c r="MN7" s="21"/>
      <c r="MO7" s="21"/>
      <c r="MP7" s="21"/>
      <c r="MQ7" s="21"/>
      <c r="MR7" s="21"/>
      <c r="MS7" s="21"/>
      <c r="MT7" s="21"/>
      <c r="MU7" s="21"/>
      <c r="MV7" s="21"/>
      <c r="MW7" s="21"/>
      <c r="MX7" s="21"/>
      <c r="MY7" s="21"/>
      <c r="MZ7" s="21"/>
      <c r="NA7" s="21"/>
      <c r="NB7" s="21"/>
      <c r="NC7" s="21"/>
      <c r="ND7" s="21"/>
      <c r="NE7" s="21"/>
      <c r="NF7" s="21"/>
      <c r="NG7" s="21"/>
      <c r="NH7" s="21"/>
      <c r="NI7" s="21"/>
      <c r="NJ7" s="21"/>
      <c r="NK7" s="21"/>
      <c r="NL7" s="21"/>
      <c r="NM7" s="21"/>
      <c r="NN7" s="21"/>
      <c r="NO7" s="21"/>
      <c r="NP7" s="21"/>
      <c r="NQ7" s="21"/>
      <c r="NR7" s="21"/>
      <c r="NS7" s="21"/>
      <c r="NT7" s="21"/>
      <c r="NU7" s="21"/>
      <c r="NV7" s="21"/>
      <c r="NW7" s="21"/>
      <c r="NX7" s="21"/>
      <c r="NY7" s="21"/>
      <c r="NZ7" s="21"/>
      <c r="OA7" s="21"/>
      <c r="OB7" s="21"/>
      <c r="OC7" s="21"/>
      <c r="OD7" s="21"/>
      <c r="OE7" s="21"/>
      <c r="OF7" s="21"/>
      <c r="OG7" s="21"/>
      <c r="OH7" s="21"/>
      <c r="OI7" s="21"/>
      <c r="OJ7" s="21"/>
      <c r="OK7" s="21"/>
      <c r="OL7" s="21"/>
      <c r="OM7" s="21"/>
      <c r="ON7" s="21"/>
      <c r="OO7" s="21"/>
      <c r="OP7" s="21"/>
      <c r="OQ7" s="21"/>
      <c r="OR7" s="21"/>
      <c r="OS7" s="21"/>
      <c r="OT7" s="21"/>
      <c r="OU7" s="21"/>
      <c r="OV7" s="21"/>
      <c r="OW7" s="21"/>
      <c r="OX7" s="21"/>
      <c r="OY7" s="21"/>
      <c r="OZ7" s="21"/>
      <c r="PA7" s="21"/>
      <c r="PB7" s="21"/>
      <c r="PC7" s="21"/>
      <c r="PD7" s="21"/>
      <c r="PE7" s="21"/>
      <c r="PF7" s="21"/>
      <c r="PG7" s="21"/>
      <c r="PH7" s="21"/>
      <c r="PI7" s="21"/>
      <c r="PJ7" s="21"/>
      <c r="PK7" s="21"/>
      <c r="PL7" s="21"/>
      <c r="PM7" s="21"/>
      <c r="PN7" s="21"/>
      <c r="PO7" s="21"/>
      <c r="PP7" s="21"/>
      <c r="PQ7" s="21"/>
      <c r="PR7" s="21"/>
      <c r="PS7" s="21"/>
      <c r="PT7" s="21"/>
      <c r="PU7" s="21"/>
      <c r="PV7" s="21"/>
      <c r="PW7" s="21"/>
      <c r="PX7" s="21"/>
      <c r="PY7" s="21"/>
      <c r="PZ7" s="21"/>
      <c r="QA7" s="21"/>
      <c r="QB7" s="21"/>
      <c r="QC7" s="21"/>
      <c r="QD7" s="21"/>
      <c r="QE7" s="21"/>
      <c r="QF7" s="21"/>
      <c r="QG7" s="21"/>
      <c r="QH7" s="21"/>
      <c r="QI7" s="21"/>
      <c r="QJ7" s="21"/>
      <c r="QK7" s="21"/>
      <c r="QL7" s="21"/>
      <c r="QM7" s="21"/>
      <c r="QN7" s="21"/>
      <c r="QO7" s="21"/>
      <c r="QP7" s="21"/>
      <c r="QQ7" s="21"/>
      <c r="QR7" s="21"/>
      <c r="QS7" s="21"/>
      <c r="QT7" s="21"/>
      <c r="QU7" s="21"/>
      <c r="QV7" s="21"/>
      <c r="QW7" s="21"/>
      <c r="QX7" s="21"/>
      <c r="QY7" s="21"/>
      <c r="QZ7" s="21"/>
      <c r="RA7" s="21"/>
      <c r="RB7" s="21"/>
      <c r="RC7" s="21"/>
      <c r="RD7" s="21"/>
      <c r="RE7" s="21"/>
      <c r="RF7" s="21"/>
      <c r="RG7" s="21"/>
      <c r="RH7" s="21"/>
      <c r="RI7" s="21"/>
      <c r="RJ7" s="21"/>
      <c r="RK7" s="21"/>
      <c r="RL7" s="21"/>
      <c r="RM7" s="21"/>
      <c r="RN7" s="21"/>
      <c r="RO7" s="21"/>
      <c r="RP7" s="21"/>
      <c r="RQ7" s="21"/>
      <c r="RR7" s="21"/>
      <c r="RS7" s="21"/>
      <c r="RT7" s="21"/>
      <c r="RU7" s="21"/>
      <c r="RV7" s="21"/>
      <c r="RW7" s="21"/>
      <c r="RX7" s="21"/>
      <c r="RY7" s="21"/>
      <c r="RZ7" s="21"/>
      <c r="SA7" s="21"/>
      <c r="SB7" s="21"/>
      <c r="SC7" s="21"/>
      <c r="SD7" s="21"/>
      <c r="SE7" s="21"/>
    </row>
    <row r="8" spans="2:499" s="404" customFormat="1" ht="20.25" customHeight="1">
      <c r="B8" s="20" t="s">
        <v>183</v>
      </c>
      <c r="C8" s="535">
        <v>892.6</v>
      </c>
      <c r="D8" s="532"/>
      <c r="E8" s="536">
        <v>755</v>
      </c>
      <c r="F8" s="501"/>
      <c r="G8" s="534">
        <f t="shared" si="0"/>
        <v>137.60000000000002</v>
      </c>
      <c r="H8" s="535">
        <v>145.69999999999999</v>
      </c>
      <c r="I8" s="517"/>
      <c r="J8" s="536">
        <v>135</v>
      </c>
      <c r="K8" s="510"/>
      <c r="L8" s="534">
        <f t="shared" si="1"/>
        <v>10.699999999999989</v>
      </c>
      <c r="M8" s="535">
        <v>0</v>
      </c>
      <c r="N8" s="535"/>
      <c r="O8" s="536">
        <v>0</v>
      </c>
      <c r="P8" s="533"/>
      <c r="Q8" s="534">
        <f t="shared" si="2"/>
        <v>0</v>
      </c>
      <c r="R8" s="535">
        <f>C8+H8+M8</f>
        <v>1038.3</v>
      </c>
      <c r="S8" s="535"/>
      <c r="T8" s="536">
        <f t="shared" si="4"/>
        <v>890</v>
      </c>
      <c r="U8" s="536"/>
      <c r="V8" s="263">
        <f t="shared" si="5"/>
        <v>148.29999999999995</v>
      </c>
      <c r="W8" s="619"/>
      <c r="X8" s="620"/>
      <c r="Y8" s="22"/>
      <c r="Z8" s="22"/>
      <c r="AA8" s="403"/>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c r="IJ8" s="21"/>
      <c r="IK8" s="21"/>
      <c r="IL8" s="21"/>
      <c r="IM8" s="21"/>
      <c r="IN8" s="21"/>
      <c r="IO8" s="21"/>
      <c r="IP8" s="21"/>
      <c r="IQ8" s="21"/>
      <c r="IR8" s="21"/>
      <c r="IS8" s="21"/>
      <c r="IT8" s="21"/>
      <c r="IU8" s="21"/>
      <c r="IV8" s="21"/>
      <c r="IW8" s="21"/>
      <c r="IX8" s="21"/>
      <c r="IY8" s="21"/>
      <c r="IZ8" s="21"/>
      <c r="JA8" s="21"/>
      <c r="JB8" s="21"/>
      <c r="JC8" s="21"/>
      <c r="JD8" s="21"/>
      <c r="JE8" s="21"/>
      <c r="JF8" s="21"/>
      <c r="JG8" s="21"/>
      <c r="JH8" s="21"/>
      <c r="JI8" s="21"/>
      <c r="JJ8" s="21"/>
      <c r="JK8" s="21"/>
      <c r="JL8" s="21"/>
      <c r="JM8" s="21"/>
      <c r="JN8" s="21"/>
      <c r="JO8" s="21"/>
      <c r="JP8" s="21"/>
      <c r="JQ8" s="21"/>
      <c r="JR8" s="21"/>
      <c r="JS8" s="21"/>
      <c r="JT8" s="21"/>
      <c r="JU8" s="21"/>
      <c r="JV8" s="21"/>
      <c r="JW8" s="21"/>
      <c r="JX8" s="21"/>
      <c r="JY8" s="21"/>
      <c r="JZ8" s="21"/>
      <c r="KA8" s="21"/>
      <c r="KB8" s="21"/>
      <c r="KC8" s="21"/>
      <c r="KD8" s="21"/>
      <c r="KE8" s="21"/>
      <c r="KF8" s="21"/>
      <c r="KG8" s="21"/>
      <c r="KH8" s="21"/>
      <c r="KI8" s="21"/>
      <c r="KJ8" s="21"/>
      <c r="KK8" s="21"/>
      <c r="KL8" s="21"/>
      <c r="KM8" s="21"/>
      <c r="KN8" s="21"/>
      <c r="KO8" s="21"/>
      <c r="KP8" s="21"/>
      <c r="KQ8" s="21"/>
      <c r="KR8" s="21"/>
      <c r="KS8" s="21"/>
      <c r="KT8" s="21"/>
      <c r="KU8" s="21"/>
      <c r="KV8" s="21"/>
      <c r="KW8" s="21"/>
      <c r="KX8" s="21"/>
      <c r="KY8" s="21"/>
      <c r="KZ8" s="21"/>
      <c r="LA8" s="21"/>
      <c r="LB8" s="21"/>
      <c r="LC8" s="21"/>
      <c r="LD8" s="21"/>
      <c r="LE8" s="21"/>
      <c r="LF8" s="21"/>
      <c r="LG8" s="21"/>
      <c r="LH8" s="21"/>
      <c r="LI8" s="21"/>
      <c r="LJ8" s="21"/>
      <c r="LK8" s="21"/>
      <c r="LL8" s="21"/>
      <c r="LM8" s="21"/>
      <c r="LN8" s="21"/>
      <c r="LO8" s="21"/>
      <c r="LP8" s="21"/>
      <c r="LQ8" s="21"/>
      <c r="LR8" s="21"/>
      <c r="LS8" s="21"/>
      <c r="LT8" s="21"/>
      <c r="LU8" s="21"/>
      <c r="LV8" s="21"/>
      <c r="LW8" s="21"/>
      <c r="LX8" s="21"/>
      <c r="LY8" s="21"/>
      <c r="LZ8" s="21"/>
      <c r="MA8" s="21"/>
      <c r="MB8" s="21"/>
      <c r="MC8" s="21"/>
      <c r="MD8" s="21"/>
      <c r="ME8" s="21"/>
      <c r="MF8" s="21"/>
      <c r="MG8" s="21"/>
      <c r="MH8" s="21"/>
      <c r="MI8" s="21"/>
      <c r="MJ8" s="21"/>
      <c r="MK8" s="21"/>
      <c r="ML8" s="21"/>
      <c r="MM8" s="21"/>
      <c r="MN8" s="21"/>
      <c r="MO8" s="21"/>
      <c r="MP8" s="21"/>
      <c r="MQ8" s="21"/>
      <c r="MR8" s="21"/>
      <c r="MS8" s="21"/>
      <c r="MT8" s="21"/>
      <c r="MU8" s="21"/>
      <c r="MV8" s="21"/>
      <c r="MW8" s="21"/>
      <c r="MX8" s="21"/>
      <c r="MY8" s="21"/>
      <c r="MZ8" s="21"/>
      <c r="NA8" s="21"/>
      <c r="NB8" s="21"/>
      <c r="NC8" s="21"/>
      <c r="ND8" s="21"/>
      <c r="NE8" s="21"/>
      <c r="NF8" s="21"/>
      <c r="NG8" s="21"/>
      <c r="NH8" s="21"/>
      <c r="NI8" s="21"/>
      <c r="NJ8" s="21"/>
      <c r="NK8" s="21"/>
      <c r="NL8" s="21"/>
      <c r="NM8" s="21"/>
      <c r="NN8" s="21"/>
      <c r="NO8" s="21"/>
      <c r="NP8" s="21"/>
      <c r="NQ8" s="21"/>
      <c r="NR8" s="21"/>
      <c r="NS8" s="21"/>
      <c r="NT8" s="21"/>
      <c r="NU8" s="21"/>
      <c r="NV8" s="21"/>
      <c r="NW8" s="21"/>
      <c r="NX8" s="21"/>
      <c r="NY8" s="21"/>
      <c r="NZ8" s="21"/>
      <c r="OA8" s="21"/>
      <c r="OB8" s="21"/>
      <c r="OC8" s="21"/>
      <c r="OD8" s="21"/>
      <c r="OE8" s="21"/>
      <c r="OF8" s="21"/>
      <c r="OG8" s="21"/>
      <c r="OH8" s="21"/>
      <c r="OI8" s="21"/>
      <c r="OJ8" s="21"/>
      <c r="OK8" s="21"/>
      <c r="OL8" s="21"/>
      <c r="OM8" s="21"/>
      <c r="ON8" s="21"/>
      <c r="OO8" s="21"/>
      <c r="OP8" s="21"/>
      <c r="OQ8" s="21"/>
      <c r="OR8" s="21"/>
      <c r="OS8" s="21"/>
      <c r="OT8" s="21"/>
      <c r="OU8" s="21"/>
      <c r="OV8" s="21"/>
      <c r="OW8" s="21"/>
      <c r="OX8" s="21"/>
      <c r="OY8" s="21"/>
      <c r="OZ8" s="21"/>
      <c r="PA8" s="21"/>
      <c r="PB8" s="21"/>
      <c r="PC8" s="21"/>
      <c r="PD8" s="21"/>
      <c r="PE8" s="21"/>
      <c r="PF8" s="21"/>
      <c r="PG8" s="21"/>
      <c r="PH8" s="21"/>
      <c r="PI8" s="21"/>
      <c r="PJ8" s="21"/>
      <c r="PK8" s="21"/>
      <c r="PL8" s="21"/>
      <c r="PM8" s="21"/>
      <c r="PN8" s="21"/>
      <c r="PO8" s="21"/>
      <c r="PP8" s="21"/>
      <c r="PQ8" s="21"/>
      <c r="PR8" s="21"/>
      <c r="PS8" s="21"/>
      <c r="PT8" s="21"/>
      <c r="PU8" s="21"/>
      <c r="PV8" s="21"/>
      <c r="PW8" s="21"/>
      <c r="PX8" s="21"/>
      <c r="PY8" s="21"/>
      <c r="PZ8" s="21"/>
      <c r="QA8" s="21"/>
      <c r="QB8" s="21"/>
      <c r="QC8" s="21"/>
      <c r="QD8" s="21"/>
      <c r="QE8" s="21"/>
      <c r="QF8" s="21"/>
      <c r="QG8" s="21"/>
      <c r="QH8" s="21"/>
      <c r="QI8" s="21"/>
      <c r="QJ8" s="21"/>
      <c r="QK8" s="21"/>
      <c r="QL8" s="21"/>
      <c r="QM8" s="21"/>
      <c r="QN8" s="21"/>
      <c r="QO8" s="21"/>
      <c r="QP8" s="21"/>
      <c r="QQ8" s="21"/>
      <c r="QR8" s="21"/>
      <c r="QS8" s="21"/>
      <c r="QT8" s="21"/>
      <c r="QU8" s="21"/>
      <c r="QV8" s="21"/>
      <c r="QW8" s="21"/>
      <c r="QX8" s="21"/>
      <c r="QY8" s="21"/>
      <c r="QZ8" s="21"/>
      <c r="RA8" s="21"/>
      <c r="RB8" s="21"/>
      <c r="RC8" s="21"/>
      <c r="RD8" s="21"/>
      <c r="RE8" s="21"/>
      <c r="RF8" s="21"/>
      <c r="RG8" s="21"/>
      <c r="RH8" s="21"/>
      <c r="RI8" s="21"/>
      <c r="RJ8" s="21"/>
      <c r="RK8" s="21"/>
      <c r="RL8" s="21"/>
      <c r="RM8" s="21"/>
      <c r="RN8" s="21"/>
      <c r="RO8" s="21"/>
      <c r="RP8" s="21"/>
      <c r="RQ8" s="21"/>
      <c r="RR8" s="21"/>
      <c r="RS8" s="21"/>
      <c r="RT8" s="21"/>
      <c r="RU8" s="21"/>
      <c r="RV8" s="21"/>
      <c r="RW8" s="21"/>
      <c r="RX8" s="21"/>
      <c r="RY8" s="21"/>
      <c r="RZ8" s="21"/>
      <c r="SA8" s="21"/>
      <c r="SB8" s="21"/>
      <c r="SC8" s="21"/>
      <c r="SD8" s="21"/>
      <c r="SE8" s="21"/>
    </row>
    <row r="9" spans="2:499" s="393" customFormat="1" ht="32.25" customHeight="1">
      <c r="B9" s="400" t="s">
        <v>75</v>
      </c>
      <c r="C9" s="525">
        <v>532.20000000000005</v>
      </c>
      <c r="D9" s="532"/>
      <c r="E9" s="527">
        <v>444.3</v>
      </c>
      <c r="F9" s="501"/>
      <c r="G9" s="528">
        <f t="shared" si="0"/>
        <v>87.900000000000034</v>
      </c>
      <c r="H9" s="525">
        <v>14.9</v>
      </c>
      <c r="I9" s="521"/>
      <c r="J9" s="527">
        <v>10.199999999999999</v>
      </c>
      <c r="K9" s="506"/>
      <c r="L9" s="528">
        <f t="shared" si="1"/>
        <v>4.7000000000000011</v>
      </c>
      <c r="M9" s="525">
        <v>0</v>
      </c>
      <c r="N9" s="526"/>
      <c r="O9" s="527">
        <v>0</v>
      </c>
      <c r="P9" s="524"/>
      <c r="Q9" s="528">
        <f t="shared" si="2"/>
        <v>0</v>
      </c>
      <c r="R9" s="478">
        <f>C9+H9+M9</f>
        <v>547.1</v>
      </c>
      <c r="S9" s="632"/>
      <c r="T9" s="397">
        <f t="shared" si="4"/>
        <v>454.5</v>
      </c>
      <c r="U9" s="397"/>
      <c r="V9" s="262">
        <f t="shared" si="5"/>
        <v>92.600000000000023</v>
      </c>
      <c r="W9" s="619"/>
      <c r="X9" s="620"/>
      <c r="Y9" s="22"/>
      <c r="Z9" s="22"/>
      <c r="AA9" s="394"/>
      <c r="AB9" s="392"/>
      <c r="AC9" s="392"/>
      <c r="AD9" s="392"/>
      <c r="AE9" s="392"/>
      <c r="AF9" s="392"/>
      <c r="AG9" s="392"/>
      <c r="AH9" s="392"/>
      <c r="AI9" s="392"/>
      <c r="AJ9" s="392"/>
      <c r="AK9" s="392"/>
      <c r="AL9" s="392"/>
      <c r="AM9" s="392"/>
      <c r="AN9" s="392"/>
      <c r="AO9" s="392"/>
      <c r="AP9" s="392"/>
      <c r="AQ9" s="392"/>
      <c r="AR9" s="392"/>
      <c r="AS9" s="392"/>
      <c r="AT9" s="392"/>
      <c r="AU9" s="392"/>
      <c r="AV9" s="392"/>
      <c r="AW9" s="392"/>
      <c r="AX9" s="392"/>
      <c r="AY9" s="392"/>
      <c r="AZ9" s="392"/>
      <c r="BA9" s="392"/>
      <c r="BB9" s="392"/>
      <c r="BC9" s="392"/>
      <c r="BD9" s="392"/>
      <c r="BE9" s="392"/>
      <c r="BF9" s="392"/>
      <c r="BG9" s="392"/>
      <c r="BH9" s="392"/>
      <c r="BI9" s="392"/>
      <c r="BJ9" s="392"/>
      <c r="BK9" s="392"/>
      <c r="BL9" s="392"/>
      <c r="BM9" s="392"/>
      <c r="BN9" s="392"/>
      <c r="BO9" s="392"/>
      <c r="BP9" s="392"/>
      <c r="BQ9" s="392"/>
      <c r="BR9" s="392"/>
      <c r="BS9" s="392"/>
      <c r="BT9" s="392"/>
      <c r="BU9" s="392"/>
      <c r="BV9" s="392"/>
      <c r="BW9" s="392"/>
      <c r="BX9" s="392"/>
      <c r="BY9" s="392"/>
      <c r="BZ9" s="392"/>
      <c r="CA9" s="392"/>
      <c r="CB9" s="392"/>
      <c r="CC9" s="392"/>
      <c r="CD9" s="392"/>
      <c r="CE9" s="392"/>
      <c r="CF9" s="392"/>
      <c r="CG9" s="392"/>
      <c r="CH9" s="392"/>
      <c r="CI9" s="392"/>
      <c r="CJ9" s="392"/>
      <c r="CK9" s="392"/>
      <c r="CL9" s="392"/>
      <c r="CM9" s="392"/>
      <c r="CN9" s="392"/>
      <c r="CO9" s="392"/>
      <c r="CP9" s="392"/>
      <c r="CQ9" s="392"/>
      <c r="CR9" s="392"/>
      <c r="CS9" s="392"/>
      <c r="CT9" s="392"/>
      <c r="CU9" s="392"/>
      <c r="CV9" s="392"/>
      <c r="CW9" s="392"/>
      <c r="CX9" s="392"/>
      <c r="CY9" s="392"/>
      <c r="CZ9" s="392"/>
      <c r="DA9" s="392"/>
      <c r="DB9" s="392"/>
      <c r="DC9" s="392"/>
      <c r="DD9" s="392"/>
      <c r="DE9" s="392"/>
      <c r="DF9" s="392"/>
      <c r="DG9" s="392"/>
      <c r="DH9" s="392"/>
      <c r="DI9" s="392"/>
      <c r="DJ9" s="392"/>
      <c r="DK9" s="392"/>
      <c r="DL9" s="392"/>
      <c r="DM9" s="392"/>
      <c r="DN9" s="392"/>
      <c r="DO9" s="392"/>
      <c r="DP9" s="392"/>
      <c r="DQ9" s="392"/>
      <c r="DR9" s="392"/>
      <c r="DS9" s="392"/>
      <c r="DT9" s="392"/>
      <c r="DU9" s="392"/>
      <c r="DV9" s="392"/>
      <c r="DW9" s="392"/>
      <c r="DX9" s="392"/>
      <c r="DY9" s="392"/>
      <c r="DZ9" s="392"/>
      <c r="EA9" s="392"/>
      <c r="EB9" s="392"/>
      <c r="EC9" s="392"/>
      <c r="ED9" s="392"/>
      <c r="EE9" s="392"/>
      <c r="EF9" s="392"/>
      <c r="EG9" s="392"/>
      <c r="EH9" s="392"/>
      <c r="EI9" s="392"/>
      <c r="EJ9" s="392"/>
      <c r="EK9" s="392"/>
      <c r="EL9" s="392"/>
      <c r="EM9" s="392"/>
      <c r="EN9" s="392"/>
      <c r="EO9" s="392"/>
      <c r="EP9" s="392"/>
      <c r="EQ9" s="392"/>
      <c r="ER9" s="392"/>
      <c r="ES9" s="392"/>
      <c r="ET9" s="392"/>
      <c r="EU9" s="392"/>
      <c r="EV9" s="392"/>
      <c r="EW9" s="392"/>
      <c r="EX9" s="392"/>
      <c r="EY9" s="392"/>
      <c r="EZ9" s="392"/>
      <c r="FA9" s="392"/>
      <c r="FB9" s="392"/>
      <c r="FC9" s="392"/>
      <c r="FD9" s="392"/>
      <c r="FE9" s="392"/>
      <c r="FF9" s="392"/>
      <c r="FG9" s="392"/>
      <c r="FH9" s="392"/>
      <c r="FI9" s="392"/>
      <c r="FJ9" s="392"/>
      <c r="FK9" s="392"/>
      <c r="FL9" s="392"/>
      <c r="FM9" s="392"/>
      <c r="FN9" s="392"/>
      <c r="FO9" s="392"/>
      <c r="FP9" s="392"/>
      <c r="FQ9" s="392"/>
      <c r="FR9" s="392"/>
      <c r="FS9" s="392"/>
      <c r="FT9" s="392"/>
      <c r="FU9" s="392"/>
      <c r="FV9" s="392"/>
      <c r="FW9" s="392"/>
      <c r="FX9" s="392"/>
      <c r="FY9" s="392"/>
      <c r="FZ9" s="392"/>
      <c r="GA9" s="392"/>
      <c r="GB9" s="392"/>
      <c r="GC9" s="392"/>
      <c r="GD9" s="392"/>
      <c r="GE9" s="392"/>
      <c r="GF9" s="392"/>
      <c r="GG9" s="392"/>
      <c r="GH9" s="392"/>
      <c r="GI9" s="392"/>
      <c r="GJ9" s="392"/>
      <c r="GK9" s="392"/>
      <c r="GL9" s="392"/>
      <c r="GM9" s="392"/>
      <c r="GN9" s="392"/>
      <c r="GO9" s="392"/>
      <c r="GP9" s="392"/>
      <c r="GQ9" s="392"/>
      <c r="GR9" s="392"/>
      <c r="GS9" s="392"/>
      <c r="GT9" s="392"/>
      <c r="GU9" s="392"/>
      <c r="GV9" s="392"/>
      <c r="GW9" s="392"/>
      <c r="GX9" s="392"/>
      <c r="GY9" s="392"/>
      <c r="GZ9" s="392"/>
      <c r="HA9" s="392"/>
      <c r="HB9" s="392"/>
      <c r="HC9" s="392"/>
      <c r="HD9" s="392"/>
      <c r="HE9" s="392"/>
      <c r="HF9" s="392"/>
      <c r="HG9" s="392"/>
      <c r="HH9" s="392"/>
      <c r="HI9" s="392"/>
      <c r="HJ9" s="392"/>
      <c r="HK9" s="392"/>
      <c r="HL9" s="392"/>
      <c r="HM9" s="392"/>
      <c r="HN9" s="392"/>
      <c r="HO9" s="392"/>
      <c r="HP9" s="392"/>
      <c r="HQ9" s="392"/>
      <c r="HR9" s="392"/>
      <c r="HS9" s="392"/>
      <c r="HT9" s="392"/>
      <c r="HU9" s="392"/>
      <c r="HV9" s="392"/>
      <c r="HW9" s="392"/>
      <c r="HX9" s="392"/>
      <c r="HY9" s="392"/>
      <c r="HZ9" s="392"/>
      <c r="IA9" s="392"/>
      <c r="IB9" s="392"/>
      <c r="IC9" s="392"/>
      <c r="ID9" s="392"/>
      <c r="IE9" s="392"/>
      <c r="IF9" s="392"/>
      <c r="IG9" s="392"/>
      <c r="IH9" s="392"/>
      <c r="II9" s="392"/>
      <c r="IJ9" s="392"/>
      <c r="IK9" s="392"/>
      <c r="IL9" s="392"/>
      <c r="IM9" s="392"/>
      <c r="IN9" s="392"/>
      <c r="IO9" s="392"/>
      <c r="IP9" s="392"/>
      <c r="IQ9" s="392"/>
      <c r="IR9" s="392"/>
      <c r="IS9" s="392"/>
      <c r="IT9" s="392"/>
      <c r="IU9" s="392"/>
      <c r="IV9" s="392"/>
      <c r="IW9" s="392"/>
      <c r="IX9" s="392"/>
      <c r="IY9" s="392"/>
      <c r="IZ9" s="392"/>
      <c r="JA9" s="392"/>
      <c r="JB9" s="392"/>
      <c r="JC9" s="392"/>
      <c r="JD9" s="392"/>
      <c r="JE9" s="392"/>
      <c r="JF9" s="392"/>
      <c r="JG9" s="392"/>
      <c r="JH9" s="392"/>
      <c r="JI9" s="392"/>
      <c r="JJ9" s="392"/>
      <c r="JK9" s="392"/>
      <c r="JL9" s="392"/>
      <c r="JM9" s="392"/>
      <c r="JN9" s="392"/>
      <c r="JO9" s="392"/>
      <c r="JP9" s="392"/>
      <c r="JQ9" s="392"/>
      <c r="JR9" s="392"/>
      <c r="JS9" s="392"/>
      <c r="JT9" s="392"/>
      <c r="JU9" s="392"/>
      <c r="JV9" s="392"/>
      <c r="JW9" s="392"/>
      <c r="JX9" s="392"/>
      <c r="JY9" s="392"/>
      <c r="JZ9" s="392"/>
      <c r="KA9" s="392"/>
      <c r="KB9" s="392"/>
      <c r="KC9" s="392"/>
      <c r="KD9" s="392"/>
      <c r="KE9" s="392"/>
      <c r="KF9" s="392"/>
      <c r="KG9" s="392"/>
      <c r="KH9" s="392"/>
      <c r="KI9" s="392"/>
      <c r="KJ9" s="392"/>
      <c r="KK9" s="392"/>
      <c r="KL9" s="392"/>
      <c r="KM9" s="392"/>
      <c r="KN9" s="392"/>
      <c r="KO9" s="392"/>
      <c r="KP9" s="392"/>
      <c r="KQ9" s="392"/>
      <c r="KR9" s="392"/>
      <c r="KS9" s="392"/>
      <c r="KT9" s="392"/>
      <c r="KU9" s="392"/>
      <c r="KV9" s="392"/>
      <c r="KW9" s="392"/>
      <c r="KX9" s="392"/>
      <c r="KY9" s="392"/>
      <c r="KZ9" s="392"/>
      <c r="LA9" s="392"/>
      <c r="LB9" s="392"/>
      <c r="LC9" s="392"/>
      <c r="LD9" s="392"/>
      <c r="LE9" s="392"/>
      <c r="LF9" s="392"/>
      <c r="LG9" s="392"/>
      <c r="LH9" s="392"/>
      <c r="LI9" s="392"/>
      <c r="LJ9" s="392"/>
      <c r="LK9" s="392"/>
      <c r="LL9" s="392"/>
      <c r="LM9" s="392"/>
      <c r="LN9" s="392"/>
      <c r="LO9" s="392"/>
      <c r="LP9" s="392"/>
      <c r="LQ9" s="392"/>
      <c r="LR9" s="392"/>
      <c r="LS9" s="392"/>
      <c r="LT9" s="392"/>
      <c r="LU9" s="392"/>
      <c r="LV9" s="392"/>
      <c r="LW9" s="392"/>
      <c r="LX9" s="392"/>
      <c r="LY9" s="392"/>
      <c r="LZ9" s="392"/>
      <c r="MA9" s="392"/>
      <c r="MB9" s="392"/>
      <c r="MC9" s="392"/>
      <c r="MD9" s="392"/>
      <c r="ME9" s="392"/>
      <c r="MF9" s="392"/>
      <c r="MG9" s="392"/>
      <c r="MH9" s="392"/>
      <c r="MI9" s="392"/>
      <c r="MJ9" s="392"/>
      <c r="MK9" s="392"/>
      <c r="ML9" s="392"/>
      <c r="MM9" s="392"/>
      <c r="MN9" s="392"/>
      <c r="MO9" s="392"/>
      <c r="MP9" s="392"/>
      <c r="MQ9" s="392"/>
      <c r="MR9" s="392"/>
      <c r="MS9" s="392"/>
      <c r="MT9" s="392"/>
      <c r="MU9" s="392"/>
      <c r="MV9" s="392"/>
      <c r="MW9" s="392"/>
      <c r="MX9" s="392"/>
      <c r="MY9" s="392"/>
      <c r="MZ9" s="392"/>
      <c r="NA9" s="392"/>
      <c r="NB9" s="392"/>
      <c r="NC9" s="392"/>
      <c r="ND9" s="392"/>
      <c r="NE9" s="392"/>
      <c r="NF9" s="392"/>
      <c r="NG9" s="392"/>
      <c r="NH9" s="392"/>
      <c r="NI9" s="392"/>
      <c r="NJ9" s="392"/>
      <c r="NK9" s="392"/>
      <c r="NL9" s="392"/>
      <c r="NM9" s="392"/>
      <c r="NN9" s="392"/>
      <c r="NO9" s="392"/>
      <c r="NP9" s="392"/>
      <c r="NQ9" s="392"/>
      <c r="NR9" s="392"/>
      <c r="NS9" s="392"/>
      <c r="NT9" s="392"/>
      <c r="NU9" s="392"/>
      <c r="NV9" s="392"/>
      <c r="NW9" s="392"/>
      <c r="NX9" s="392"/>
      <c r="NY9" s="392"/>
      <c r="NZ9" s="392"/>
      <c r="OA9" s="392"/>
      <c r="OB9" s="392"/>
      <c r="OC9" s="392"/>
      <c r="OD9" s="392"/>
      <c r="OE9" s="392"/>
      <c r="OF9" s="392"/>
      <c r="OG9" s="392"/>
      <c r="OH9" s="392"/>
      <c r="OI9" s="392"/>
      <c r="OJ9" s="392"/>
      <c r="OK9" s="392"/>
      <c r="OL9" s="392"/>
      <c r="OM9" s="392"/>
      <c r="ON9" s="392"/>
      <c r="OO9" s="392"/>
      <c r="OP9" s="392"/>
      <c r="OQ9" s="392"/>
      <c r="OR9" s="392"/>
      <c r="OS9" s="392"/>
      <c r="OT9" s="392"/>
      <c r="OU9" s="392"/>
      <c r="OV9" s="392"/>
      <c r="OW9" s="392"/>
      <c r="OX9" s="392"/>
      <c r="OY9" s="392"/>
      <c r="OZ9" s="392"/>
      <c r="PA9" s="392"/>
      <c r="PB9" s="392"/>
      <c r="PC9" s="392"/>
      <c r="PD9" s="392"/>
      <c r="PE9" s="392"/>
      <c r="PF9" s="392"/>
      <c r="PG9" s="392"/>
      <c r="PH9" s="392"/>
      <c r="PI9" s="392"/>
      <c r="PJ9" s="392"/>
      <c r="PK9" s="392"/>
      <c r="PL9" s="392"/>
      <c r="PM9" s="392"/>
      <c r="PN9" s="392"/>
      <c r="PO9" s="392"/>
      <c r="PP9" s="392"/>
      <c r="PQ9" s="392"/>
      <c r="PR9" s="392"/>
      <c r="PS9" s="392"/>
      <c r="PT9" s="392"/>
      <c r="PU9" s="392"/>
      <c r="PV9" s="392"/>
      <c r="PW9" s="392"/>
      <c r="PX9" s="392"/>
      <c r="PY9" s="392"/>
      <c r="PZ9" s="392"/>
      <c r="QA9" s="392"/>
      <c r="QB9" s="392"/>
      <c r="QC9" s="392"/>
      <c r="QD9" s="392"/>
      <c r="QE9" s="392"/>
      <c r="QF9" s="392"/>
      <c r="QG9" s="392"/>
      <c r="QH9" s="392"/>
      <c r="QI9" s="392"/>
      <c r="QJ9" s="392"/>
      <c r="QK9" s="392"/>
      <c r="QL9" s="392"/>
      <c r="QM9" s="392"/>
      <c r="QN9" s="392"/>
      <c r="QO9" s="392"/>
      <c r="QP9" s="392"/>
      <c r="QQ9" s="392"/>
      <c r="QR9" s="392"/>
      <c r="QS9" s="392"/>
      <c r="QT9" s="392"/>
      <c r="QU9" s="392"/>
      <c r="QV9" s="392"/>
      <c r="QW9" s="392"/>
      <c r="QX9" s="392"/>
      <c r="QY9" s="392"/>
      <c r="QZ9" s="392"/>
      <c r="RA9" s="392"/>
      <c r="RB9" s="392"/>
      <c r="RC9" s="392"/>
      <c r="RD9" s="392"/>
      <c r="RE9" s="392"/>
      <c r="RF9" s="392"/>
      <c r="RG9" s="392"/>
      <c r="RH9" s="392"/>
      <c r="RI9" s="392"/>
      <c r="RJ9" s="392"/>
      <c r="RK9" s="392"/>
      <c r="RL9" s="392"/>
      <c r="RM9" s="392"/>
      <c r="RN9" s="392"/>
      <c r="RO9" s="392"/>
      <c r="RP9" s="392"/>
      <c r="RQ9" s="392"/>
      <c r="RR9" s="392"/>
      <c r="RS9" s="392"/>
      <c r="RT9" s="392"/>
      <c r="RU9" s="392"/>
      <c r="RV9" s="392"/>
      <c r="RW9" s="392"/>
      <c r="RX9" s="392"/>
      <c r="RY9" s="392"/>
      <c r="RZ9" s="392"/>
      <c r="SA9" s="392"/>
      <c r="SB9" s="392"/>
      <c r="SC9" s="392"/>
      <c r="SD9" s="392"/>
      <c r="SE9" s="392"/>
    </row>
    <row r="10" spans="2:499" s="404" customFormat="1" ht="27" customHeight="1">
      <c r="B10" s="20" t="s">
        <v>93</v>
      </c>
      <c r="C10" s="531">
        <v>360.4</v>
      </c>
      <c r="D10" s="532"/>
      <c r="E10" s="533">
        <v>310.7</v>
      </c>
      <c r="F10" s="501"/>
      <c r="G10" s="534">
        <f t="shared" si="0"/>
        <v>49.699999999999989</v>
      </c>
      <c r="H10" s="531">
        <v>130.80000000000001</v>
      </c>
      <c r="I10" s="511"/>
      <c r="J10" s="533">
        <v>124.8</v>
      </c>
      <c r="K10" s="510"/>
      <c r="L10" s="534">
        <f t="shared" si="1"/>
        <v>6.0000000000000142</v>
      </c>
      <c r="M10" s="531">
        <v>0</v>
      </c>
      <c r="N10" s="535"/>
      <c r="O10" s="533">
        <v>0</v>
      </c>
      <c r="P10" s="533"/>
      <c r="Q10" s="534">
        <f t="shared" si="2"/>
        <v>0</v>
      </c>
      <c r="R10" s="531">
        <f t="shared" si="3"/>
        <v>491.2</v>
      </c>
      <c r="S10" s="532"/>
      <c r="T10" s="536">
        <f>E10+J10+O10</f>
        <v>435.5</v>
      </c>
      <c r="U10" s="536"/>
      <c r="V10" s="263">
        <f t="shared" si="5"/>
        <v>55.699999999999989</v>
      </c>
      <c r="W10" s="619"/>
      <c r="X10" s="620"/>
      <c r="Y10" s="22"/>
      <c r="Z10" s="22"/>
      <c r="AA10" s="403"/>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c r="IJ10" s="21"/>
      <c r="IK10" s="21"/>
      <c r="IL10" s="21"/>
      <c r="IM10" s="21"/>
      <c r="IN10" s="21"/>
      <c r="IO10" s="21"/>
      <c r="IP10" s="21"/>
      <c r="IQ10" s="21"/>
      <c r="IR10" s="21"/>
      <c r="IS10" s="21"/>
      <c r="IT10" s="21"/>
      <c r="IU10" s="21"/>
      <c r="IV10" s="21"/>
      <c r="IW10" s="21"/>
      <c r="IX10" s="21"/>
      <c r="IY10" s="21"/>
      <c r="IZ10" s="21"/>
      <c r="JA10" s="21"/>
      <c r="JB10" s="21"/>
      <c r="JC10" s="21"/>
      <c r="JD10" s="21"/>
      <c r="JE10" s="21"/>
      <c r="JF10" s="21"/>
      <c r="JG10" s="21"/>
      <c r="JH10" s="21"/>
      <c r="JI10" s="21"/>
      <c r="JJ10" s="21"/>
      <c r="JK10" s="21"/>
      <c r="JL10" s="21"/>
      <c r="JM10" s="21"/>
      <c r="JN10" s="21"/>
      <c r="JO10" s="21"/>
      <c r="JP10" s="21"/>
      <c r="JQ10" s="21"/>
      <c r="JR10" s="21"/>
      <c r="JS10" s="21"/>
      <c r="JT10" s="21"/>
      <c r="JU10" s="21"/>
      <c r="JV10" s="21"/>
      <c r="JW10" s="21"/>
      <c r="JX10" s="21"/>
      <c r="JY10" s="21"/>
      <c r="JZ10" s="21"/>
      <c r="KA10" s="21"/>
      <c r="KB10" s="21"/>
      <c r="KC10" s="21"/>
      <c r="KD10" s="21"/>
      <c r="KE10" s="21"/>
      <c r="KF10" s="21"/>
      <c r="KG10" s="21"/>
      <c r="KH10" s="21"/>
      <c r="KI10" s="21"/>
      <c r="KJ10" s="21"/>
      <c r="KK10" s="21"/>
      <c r="KL10" s="21"/>
      <c r="KM10" s="21"/>
      <c r="KN10" s="21"/>
      <c r="KO10" s="21"/>
      <c r="KP10" s="21"/>
      <c r="KQ10" s="21"/>
      <c r="KR10" s="21"/>
      <c r="KS10" s="21"/>
      <c r="KT10" s="21"/>
      <c r="KU10" s="21"/>
      <c r="KV10" s="21"/>
      <c r="KW10" s="21"/>
      <c r="KX10" s="21"/>
      <c r="KY10" s="21"/>
      <c r="KZ10" s="21"/>
      <c r="LA10" s="21"/>
      <c r="LB10" s="21"/>
      <c r="LC10" s="21"/>
      <c r="LD10" s="21"/>
      <c r="LE10" s="21"/>
      <c r="LF10" s="21"/>
      <c r="LG10" s="21"/>
      <c r="LH10" s="21"/>
      <c r="LI10" s="21"/>
      <c r="LJ10" s="21"/>
      <c r="LK10" s="21"/>
      <c r="LL10" s="21"/>
      <c r="LM10" s="21"/>
      <c r="LN10" s="21"/>
      <c r="LO10" s="21"/>
      <c r="LP10" s="21"/>
      <c r="LQ10" s="21"/>
      <c r="LR10" s="21"/>
      <c r="LS10" s="21"/>
      <c r="LT10" s="21"/>
      <c r="LU10" s="21"/>
      <c r="LV10" s="21"/>
      <c r="LW10" s="21"/>
      <c r="LX10" s="21"/>
      <c r="LY10" s="21"/>
      <c r="LZ10" s="21"/>
      <c r="MA10" s="21"/>
      <c r="MB10" s="21"/>
      <c r="MC10" s="21"/>
      <c r="MD10" s="21"/>
      <c r="ME10" s="21"/>
      <c r="MF10" s="21"/>
      <c r="MG10" s="21"/>
      <c r="MH10" s="21"/>
      <c r="MI10" s="21"/>
      <c r="MJ10" s="21"/>
      <c r="MK10" s="21"/>
      <c r="ML10" s="21"/>
      <c r="MM10" s="21"/>
      <c r="MN10" s="21"/>
      <c r="MO10" s="21"/>
      <c r="MP10" s="21"/>
      <c r="MQ10" s="21"/>
      <c r="MR10" s="21"/>
      <c r="MS10" s="21"/>
      <c r="MT10" s="21"/>
      <c r="MU10" s="21"/>
      <c r="MV10" s="21"/>
      <c r="MW10" s="21"/>
      <c r="MX10" s="21"/>
      <c r="MY10" s="21"/>
      <c r="MZ10" s="21"/>
      <c r="NA10" s="21"/>
      <c r="NB10" s="21"/>
      <c r="NC10" s="21"/>
      <c r="ND10" s="21"/>
      <c r="NE10" s="21"/>
      <c r="NF10" s="21"/>
      <c r="NG10" s="21"/>
      <c r="NH10" s="21"/>
      <c r="NI10" s="21"/>
      <c r="NJ10" s="21"/>
      <c r="NK10" s="21"/>
      <c r="NL10" s="21"/>
      <c r="NM10" s="21"/>
      <c r="NN10" s="21"/>
      <c r="NO10" s="21"/>
      <c r="NP10" s="21"/>
      <c r="NQ10" s="21"/>
      <c r="NR10" s="21"/>
      <c r="NS10" s="21"/>
      <c r="NT10" s="21"/>
      <c r="NU10" s="21"/>
      <c r="NV10" s="21"/>
      <c r="NW10" s="21"/>
      <c r="NX10" s="21"/>
      <c r="NY10" s="21"/>
      <c r="NZ10" s="21"/>
      <c r="OA10" s="21"/>
      <c r="OB10" s="21"/>
      <c r="OC10" s="21"/>
      <c r="OD10" s="21"/>
      <c r="OE10" s="21"/>
      <c r="OF10" s="21"/>
      <c r="OG10" s="21"/>
      <c r="OH10" s="21"/>
      <c r="OI10" s="21"/>
      <c r="OJ10" s="21"/>
      <c r="OK10" s="21"/>
      <c r="OL10" s="21"/>
      <c r="OM10" s="21"/>
      <c r="ON10" s="21"/>
      <c r="OO10" s="21"/>
      <c r="OP10" s="21"/>
      <c r="OQ10" s="21"/>
      <c r="OR10" s="21"/>
      <c r="OS10" s="21"/>
      <c r="OT10" s="21"/>
      <c r="OU10" s="21"/>
      <c r="OV10" s="21"/>
      <c r="OW10" s="21"/>
      <c r="OX10" s="21"/>
      <c r="OY10" s="21"/>
      <c r="OZ10" s="21"/>
      <c r="PA10" s="21"/>
      <c r="PB10" s="21"/>
      <c r="PC10" s="21"/>
      <c r="PD10" s="21"/>
      <c r="PE10" s="21"/>
      <c r="PF10" s="21"/>
      <c r="PG10" s="21"/>
      <c r="PH10" s="21"/>
      <c r="PI10" s="21"/>
      <c r="PJ10" s="21"/>
      <c r="PK10" s="21"/>
      <c r="PL10" s="21"/>
      <c r="PM10" s="21"/>
      <c r="PN10" s="21"/>
      <c r="PO10" s="21"/>
      <c r="PP10" s="21"/>
      <c r="PQ10" s="21"/>
      <c r="PR10" s="21"/>
      <c r="PS10" s="21"/>
      <c r="PT10" s="21"/>
      <c r="PU10" s="21"/>
      <c r="PV10" s="21"/>
      <c r="PW10" s="21"/>
      <c r="PX10" s="21"/>
      <c r="PY10" s="21"/>
      <c r="PZ10" s="21"/>
      <c r="QA10" s="21"/>
      <c r="QB10" s="21"/>
      <c r="QC10" s="21"/>
      <c r="QD10" s="21"/>
      <c r="QE10" s="21"/>
      <c r="QF10" s="21"/>
      <c r="QG10" s="21"/>
      <c r="QH10" s="21"/>
      <c r="QI10" s="21"/>
      <c r="QJ10" s="21"/>
      <c r="QK10" s="21"/>
      <c r="QL10" s="21"/>
      <c r="QM10" s="21"/>
      <c r="QN10" s="21"/>
      <c r="QO10" s="21"/>
      <c r="QP10" s="21"/>
      <c r="QQ10" s="21"/>
      <c r="QR10" s="21"/>
      <c r="QS10" s="21"/>
      <c r="QT10" s="21"/>
      <c r="QU10" s="21"/>
      <c r="QV10" s="21"/>
      <c r="QW10" s="21"/>
      <c r="QX10" s="21"/>
      <c r="QY10" s="21"/>
      <c r="QZ10" s="21"/>
      <c r="RA10" s="21"/>
      <c r="RB10" s="21"/>
      <c r="RC10" s="21"/>
      <c r="RD10" s="21"/>
      <c r="RE10" s="21"/>
      <c r="RF10" s="21"/>
      <c r="RG10" s="21"/>
      <c r="RH10" s="21"/>
      <c r="RI10" s="21"/>
      <c r="RJ10" s="21"/>
      <c r="RK10" s="21"/>
      <c r="RL10" s="21"/>
      <c r="RM10" s="21"/>
      <c r="RN10" s="21"/>
      <c r="RO10" s="21"/>
      <c r="RP10" s="21"/>
      <c r="RQ10" s="21"/>
      <c r="RR10" s="21"/>
      <c r="RS10" s="21"/>
      <c r="RT10" s="21"/>
      <c r="RU10" s="21"/>
      <c r="RV10" s="21"/>
      <c r="RW10" s="21"/>
      <c r="RX10" s="21"/>
      <c r="RY10" s="21"/>
      <c r="RZ10" s="21"/>
      <c r="SA10" s="21"/>
      <c r="SB10" s="21"/>
      <c r="SC10" s="21"/>
      <c r="SD10" s="21"/>
      <c r="SE10" s="21"/>
    </row>
    <row r="11" spans="2:499" s="393" customFormat="1" ht="48" customHeight="1" thickBot="1">
      <c r="B11" s="405" t="s">
        <v>114</v>
      </c>
      <c r="C11" s="537">
        <v>376.8</v>
      </c>
      <c r="D11" s="668">
        <v>1</v>
      </c>
      <c r="E11" s="665">
        <v>191.2</v>
      </c>
      <c r="F11" s="505">
        <v>1</v>
      </c>
      <c r="G11" s="265">
        <f t="shared" si="0"/>
        <v>185.60000000000002</v>
      </c>
      <c r="H11" s="537">
        <v>9</v>
      </c>
      <c r="I11" s="522"/>
      <c r="J11" s="665">
        <v>9.4</v>
      </c>
      <c r="K11" s="512"/>
      <c r="L11" s="265">
        <f t="shared" si="1"/>
        <v>-0.40000000000000036</v>
      </c>
      <c r="M11" s="537">
        <v>0</v>
      </c>
      <c r="N11" s="537"/>
      <c r="O11" s="665">
        <v>0</v>
      </c>
      <c r="P11" s="538"/>
      <c r="Q11" s="265">
        <f t="shared" si="2"/>
        <v>0</v>
      </c>
      <c r="R11" s="479">
        <f t="shared" si="3"/>
        <v>385.8</v>
      </c>
      <c r="S11" s="479"/>
      <c r="T11" s="406">
        <f t="shared" si="4"/>
        <v>200.6</v>
      </c>
      <c r="U11" s="406"/>
      <c r="V11" s="265">
        <f t="shared" si="5"/>
        <v>185.20000000000002</v>
      </c>
      <c r="W11" s="619"/>
      <c r="X11" s="620"/>
      <c r="Y11" s="22"/>
      <c r="Z11" s="22"/>
      <c r="AA11" s="394"/>
      <c r="AB11" s="392"/>
      <c r="AC11" s="392"/>
      <c r="AD11" s="392"/>
      <c r="AE11" s="392"/>
      <c r="AF11" s="392"/>
      <c r="AG11" s="392"/>
      <c r="AH11" s="392"/>
      <c r="AI11" s="392"/>
      <c r="AJ11" s="392"/>
      <c r="AK11" s="392"/>
      <c r="AL11" s="392"/>
      <c r="AM11" s="392"/>
      <c r="AN11" s="392"/>
      <c r="AO11" s="392"/>
      <c r="AP11" s="392"/>
      <c r="AQ11" s="392"/>
      <c r="AR11" s="392"/>
      <c r="AS11" s="392"/>
      <c r="AT11" s="392"/>
      <c r="AU11" s="392"/>
      <c r="AV11" s="392"/>
      <c r="AW11" s="392"/>
      <c r="AX11" s="392"/>
      <c r="AY11" s="392"/>
      <c r="AZ11" s="392"/>
      <c r="BA11" s="392"/>
      <c r="BB11" s="392"/>
      <c r="BC11" s="392"/>
      <c r="BD11" s="392"/>
      <c r="BE11" s="392"/>
      <c r="BF11" s="392"/>
      <c r="BG11" s="392"/>
      <c r="BH11" s="392"/>
      <c r="BI11" s="392"/>
      <c r="BJ11" s="392"/>
      <c r="BK11" s="392"/>
      <c r="BL11" s="392"/>
      <c r="BM11" s="392"/>
      <c r="BN11" s="392"/>
      <c r="BO11" s="392"/>
      <c r="BP11" s="392"/>
      <c r="BQ11" s="392"/>
      <c r="BR11" s="392"/>
      <c r="BS11" s="392"/>
      <c r="BT11" s="392"/>
      <c r="BU11" s="392"/>
      <c r="BV11" s="392"/>
      <c r="BW11" s="392"/>
      <c r="BX11" s="392"/>
      <c r="BY11" s="392"/>
      <c r="BZ11" s="392"/>
      <c r="CA11" s="392"/>
      <c r="CB11" s="392"/>
      <c r="CC11" s="392"/>
      <c r="CD11" s="392"/>
      <c r="CE11" s="392"/>
      <c r="CF11" s="392"/>
      <c r="CG11" s="392"/>
      <c r="CH11" s="392"/>
      <c r="CI11" s="392"/>
      <c r="CJ11" s="392"/>
      <c r="CK11" s="392"/>
      <c r="CL11" s="392"/>
      <c r="CM11" s="392"/>
      <c r="CN11" s="392"/>
      <c r="CO11" s="392"/>
      <c r="CP11" s="392"/>
      <c r="CQ11" s="392"/>
      <c r="CR11" s="392"/>
      <c r="CS11" s="392"/>
      <c r="CT11" s="392"/>
      <c r="CU11" s="392"/>
      <c r="CV11" s="392"/>
      <c r="CW11" s="392"/>
      <c r="CX11" s="392"/>
      <c r="CY11" s="392"/>
      <c r="CZ11" s="392"/>
      <c r="DA11" s="392"/>
      <c r="DB11" s="392"/>
      <c r="DC11" s="392"/>
      <c r="DD11" s="392"/>
      <c r="DE11" s="392"/>
      <c r="DF11" s="392"/>
      <c r="DG11" s="392"/>
      <c r="DH11" s="392"/>
      <c r="DI11" s="392"/>
      <c r="DJ11" s="392"/>
      <c r="DK11" s="392"/>
      <c r="DL11" s="392"/>
      <c r="DM11" s="392"/>
      <c r="DN11" s="392"/>
      <c r="DO11" s="392"/>
      <c r="DP11" s="392"/>
      <c r="DQ11" s="392"/>
      <c r="DR11" s="392"/>
      <c r="DS11" s="392"/>
      <c r="DT11" s="392"/>
      <c r="DU11" s="392"/>
      <c r="DV11" s="392"/>
      <c r="DW11" s="392"/>
      <c r="DX11" s="392"/>
      <c r="DY11" s="392"/>
      <c r="DZ11" s="392"/>
      <c r="EA11" s="392"/>
      <c r="EB11" s="392"/>
      <c r="EC11" s="392"/>
      <c r="ED11" s="392"/>
      <c r="EE11" s="392"/>
      <c r="EF11" s="392"/>
      <c r="EG11" s="392"/>
      <c r="EH11" s="392"/>
      <c r="EI11" s="392"/>
      <c r="EJ11" s="392"/>
      <c r="EK11" s="392"/>
      <c r="EL11" s="392"/>
      <c r="EM11" s="392"/>
      <c r="EN11" s="392"/>
      <c r="EO11" s="392"/>
      <c r="EP11" s="392"/>
      <c r="EQ11" s="392"/>
      <c r="ER11" s="392"/>
      <c r="ES11" s="392"/>
      <c r="ET11" s="392"/>
      <c r="EU11" s="392"/>
      <c r="EV11" s="392"/>
      <c r="EW11" s="392"/>
      <c r="EX11" s="392"/>
      <c r="EY11" s="392"/>
      <c r="EZ11" s="392"/>
      <c r="FA11" s="392"/>
      <c r="FB11" s="392"/>
      <c r="FC11" s="392"/>
      <c r="FD11" s="392"/>
      <c r="FE11" s="392"/>
      <c r="FF11" s="392"/>
      <c r="FG11" s="392"/>
      <c r="FH11" s="392"/>
      <c r="FI11" s="392"/>
      <c r="FJ11" s="392"/>
      <c r="FK11" s="392"/>
      <c r="FL11" s="392"/>
      <c r="FM11" s="392"/>
      <c r="FN11" s="392"/>
      <c r="FO11" s="392"/>
      <c r="FP11" s="392"/>
      <c r="FQ11" s="392"/>
      <c r="FR11" s="392"/>
      <c r="FS11" s="392"/>
      <c r="FT11" s="392"/>
      <c r="FU11" s="392"/>
      <c r="FV11" s="392"/>
      <c r="FW11" s="392"/>
      <c r="FX11" s="392"/>
      <c r="FY11" s="392"/>
      <c r="FZ11" s="392"/>
      <c r="GA11" s="392"/>
      <c r="GB11" s="392"/>
      <c r="GC11" s="392"/>
      <c r="GD11" s="392"/>
      <c r="GE11" s="392"/>
      <c r="GF11" s="392"/>
      <c r="GG11" s="392"/>
      <c r="GH11" s="392"/>
      <c r="GI11" s="392"/>
      <c r="GJ11" s="392"/>
      <c r="GK11" s="392"/>
      <c r="GL11" s="392"/>
      <c r="GM11" s="392"/>
      <c r="GN11" s="392"/>
      <c r="GO11" s="392"/>
      <c r="GP11" s="392"/>
      <c r="GQ11" s="392"/>
      <c r="GR11" s="392"/>
      <c r="GS11" s="392"/>
      <c r="GT11" s="392"/>
      <c r="GU11" s="392"/>
      <c r="GV11" s="392"/>
      <c r="GW11" s="392"/>
      <c r="GX11" s="392"/>
      <c r="GY11" s="392"/>
      <c r="GZ11" s="392"/>
      <c r="HA11" s="392"/>
      <c r="HB11" s="392"/>
      <c r="HC11" s="392"/>
      <c r="HD11" s="392"/>
      <c r="HE11" s="392"/>
      <c r="HF11" s="392"/>
      <c r="HG11" s="392"/>
      <c r="HH11" s="392"/>
      <c r="HI11" s="392"/>
      <c r="HJ11" s="392"/>
      <c r="HK11" s="392"/>
      <c r="HL11" s="392"/>
      <c r="HM11" s="392"/>
      <c r="HN11" s="392"/>
      <c r="HO11" s="392"/>
      <c r="HP11" s="392"/>
      <c r="HQ11" s="392"/>
      <c r="HR11" s="392"/>
      <c r="HS11" s="392"/>
      <c r="HT11" s="392"/>
      <c r="HU11" s="392"/>
      <c r="HV11" s="392"/>
      <c r="HW11" s="392"/>
      <c r="HX11" s="392"/>
      <c r="HY11" s="392"/>
      <c r="HZ11" s="392"/>
      <c r="IA11" s="392"/>
      <c r="IB11" s="392"/>
      <c r="IC11" s="392"/>
      <c r="ID11" s="392"/>
      <c r="IE11" s="392"/>
      <c r="IF11" s="392"/>
      <c r="IG11" s="392"/>
      <c r="IH11" s="392"/>
      <c r="II11" s="392"/>
      <c r="IJ11" s="392"/>
      <c r="IK11" s="392"/>
      <c r="IL11" s="392"/>
      <c r="IM11" s="392"/>
      <c r="IN11" s="392"/>
      <c r="IO11" s="392"/>
      <c r="IP11" s="392"/>
      <c r="IQ11" s="392"/>
      <c r="IR11" s="392"/>
      <c r="IS11" s="392"/>
      <c r="IT11" s="392"/>
      <c r="IU11" s="392"/>
      <c r="IV11" s="392"/>
      <c r="IW11" s="392"/>
      <c r="IX11" s="392"/>
      <c r="IY11" s="392"/>
      <c r="IZ11" s="392"/>
      <c r="JA11" s="392"/>
      <c r="JB11" s="392"/>
      <c r="JC11" s="392"/>
      <c r="JD11" s="392"/>
      <c r="JE11" s="392"/>
      <c r="JF11" s="392"/>
      <c r="JG11" s="392"/>
      <c r="JH11" s="392"/>
      <c r="JI11" s="392"/>
      <c r="JJ11" s="392"/>
      <c r="JK11" s="392"/>
      <c r="JL11" s="392"/>
      <c r="JM11" s="392"/>
      <c r="JN11" s="392"/>
      <c r="JO11" s="392"/>
      <c r="JP11" s="392"/>
      <c r="JQ11" s="392"/>
      <c r="JR11" s="392"/>
      <c r="JS11" s="392"/>
      <c r="JT11" s="392"/>
      <c r="JU11" s="392"/>
      <c r="JV11" s="392"/>
      <c r="JW11" s="392"/>
      <c r="JX11" s="392"/>
      <c r="JY11" s="392"/>
      <c r="JZ11" s="392"/>
      <c r="KA11" s="392"/>
      <c r="KB11" s="392"/>
      <c r="KC11" s="392"/>
      <c r="KD11" s="392"/>
      <c r="KE11" s="392"/>
      <c r="KF11" s="392"/>
      <c r="KG11" s="392"/>
      <c r="KH11" s="392"/>
      <c r="KI11" s="392"/>
      <c r="KJ11" s="392"/>
      <c r="KK11" s="392"/>
      <c r="KL11" s="392"/>
      <c r="KM11" s="392"/>
      <c r="KN11" s="392"/>
      <c r="KO11" s="392"/>
      <c r="KP11" s="392"/>
      <c r="KQ11" s="392"/>
      <c r="KR11" s="392"/>
      <c r="KS11" s="392"/>
      <c r="KT11" s="392"/>
      <c r="KU11" s="392"/>
      <c r="KV11" s="392"/>
      <c r="KW11" s="392"/>
      <c r="KX11" s="392"/>
      <c r="KY11" s="392"/>
      <c r="KZ11" s="392"/>
      <c r="LA11" s="392"/>
      <c r="LB11" s="392"/>
      <c r="LC11" s="392"/>
      <c r="LD11" s="392"/>
      <c r="LE11" s="392"/>
      <c r="LF11" s="392"/>
      <c r="LG11" s="392"/>
      <c r="LH11" s="392"/>
      <c r="LI11" s="392"/>
      <c r="LJ11" s="392"/>
      <c r="LK11" s="392"/>
      <c r="LL11" s="392"/>
      <c r="LM11" s="392"/>
      <c r="LN11" s="392"/>
      <c r="LO11" s="392"/>
      <c r="LP11" s="392"/>
      <c r="LQ11" s="392"/>
      <c r="LR11" s="392"/>
      <c r="LS11" s="392"/>
      <c r="LT11" s="392"/>
      <c r="LU11" s="392"/>
      <c r="LV11" s="392"/>
      <c r="LW11" s="392"/>
      <c r="LX11" s="392"/>
      <c r="LY11" s="392"/>
      <c r="LZ11" s="392"/>
      <c r="MA11" s="392"/>
      <c r="MB11" s="392"/>
      <c r="MC11" s="392"/>
      <c r="MD11" s="392"/>
      <c r="ME11" s="392"/>
      <c r="MF11" s="392"/>
      <c r="MG11" s="392"/>
      <c r="MH11" s="392"/>
      <c r="MI11" s="392"/>
      <c r="MJ11" s="392"/>
      <c r="MK11" s="392"/>
      <c r="ML11" s="392"/>
      <c r="MM11" s="392"/>
      <c r="MN11" s="392"/>
      <c r="MO11" s="392"/>
      <c r="MP11" s="392"/>
      <c r="MQ11" s="392"/>
      <c r="MR11" s="392"/>
      <c r="MS11" s="392"/>
      <c r="MT11" s="392"/>
      <c r="MU11" s="392"/>
      <c r="MV11" s="392"/>
      <c r="MW11" s="392"/>
      <c r="MX11" s="392"/>
      <c r="MY11" s="392"/>
      <c r="MZ11" s="392"/>
      <c r="NA11" s="392"/>
      <c r="NB11" s="392"/>
      <c r="NC11" s="392"/>
      <c r="ND11" s="392"/>
      <c r="NE11" s="392"/>
      <c r="NF11" s="392"/>
      <c r="NG11" s="392"/>
      <c r="NH11" s="392"/>
      <c r="NI11" s="392"/>
      <c r="NJ11" s="392"/>
      <c r="NK11" s="392"/>
      <c r="NL11" s="392"/>
      <c r="NM11" s="392"/>
      <c r="NN11" s="392"/>
      <c r="NO11" s="392"/>
      <c r="NP11" s="392"/>
      <c r="NQ11" s="392"/>
      <c r="NR11" s="392"/>
      <c r="NS11" s="392"/>
      <c r="NT11" s="392"/>
      <c r="NU11" s="392"/>
      <c r="NV11" s="392"/>
      <c r="NW11" s="392"/>
      <c r="NX11" s="392"/>
      <c r="NY11" s="392"/>
      <c r="NZ11" s="392"/>
      <c r="OA11" s="392"/>
      <c r="OB11" s="392"/>
      <c r="OC11" s="392"/>
      <c r="OD11" s="392"/>
      <c r="OE11" s="392"/>
      <c r="OF11" s="392"/>
      <c r="OG11" s="392"/>
      <c r="OH11" s="392"/>
      <c r="OI11" s="392"/>
      <c r="OJ11" s="392"/>
      <c r="OK11" s="392"/>
      <c r="OL11" s="392"/>
      <c r="OM11" s="392"/>
      <c r="ON11" s="392"/>
      <c r="OO11" s="392"/>
      <c r="OP11" s="392"/>
      <c r="OQ11" s="392"/>
      <c r="OR11" s="392"/>
      <c r="OS11" s="392"/>
      <c r="OT11" s="392"/>
      <c r="OU11" s="392"/>
      <c r="OV11" s="392"/>
      <c r="OW11" s="392"/>
      <c r="OX11" s="392"/>
      <c r="OY11" s="392"/>
      <c r="OZ11" s="392"/>
      <c r="PA11" s="392"/>
      <c r="PB11" s="392"/>
      <c r="PC11" s="392"/>
      <c r="PD11" s="392"/>
      <c r="PE11" s="392"/>
      <c r="PF11" s="392"/>
      <c r="PG11" s="392"/>
      <c r="PH11" s="392"/>
      <c r="PI11" s="392"/>
      <c r="PJ11" s="392"/>
      <c r="PK11" s="392"/>
      <c r="PL11" s="392"/>
      <c r="PM11" s="392"/>
      <c r="PN11" s="392"/>
      <c r="PO11" s="392"/>
      <c r="PP11" s="392"/>
      <c r="PQ11" s="392"/>
      <c r="PR11" s="392"/>
      <c r="PS11" s="392"/>
      <c r="PT11" s="392"/>
      <c r="PU11" s="392"/>
      <c r="PV11" s="392"/>
      <c r="PW11" s="392"/>
      <c r="PX11" s="392"/>
      <c r="PY11" s="392"/>
      <c r="PZ11" s="392"/>
      <c r="QA11" s="392"/>
      <c r="QB11" s="392"/>
      <c r="QC11" s="392"/>
      <c r="QD11" s="392"/>
      <c r="QE11" s="392"/>
      <c r="QF11" s="392"/>
      <c r="QG11" s="392"/>
      <c r="QH11" s="392"/>
      <c r="QI11" s="392"/>
      <c r="QJ11" s="392"/>
      <c r="QK11" s="392"/>
      <c r="QL11" s="392"/>
      <c r="QM11" s="392"/>
      <c r="QN11" s="392"/>
      <c r="QO11" s="392"/>
      <c r="QP11" s="392"/>
      <c r="QQ11" s="392"/>
      <c r="QR11" s="392"/>
      <c r="QS11" s="392"/>
      <c r="QT11" s="392"/>
      <c r="QU11" s="392"/>
      <c r="QV11" s="392"/>
      <c r="QW11" s="392"/>
      <c r="QX11" s="392"/>
      <c r="QY11" s="392"/>
      <c r="QZ11" s="392"/>
      <c r="RA11" s="392"/>
      <c r="RB11" s="392"/>
      <c r="RC11" s="392"/>
      <c r="RD11" s="392"/>
      <c r="RE11" s="392"/>
      <c r="RF11" s="392"/>
      <c r="RG11" s="392"/>
      <c r="RH11" s="392"/>
      <c r="RI11" s="392"/>
      <c r="RJ11" s="392"/>
      <c r="RK11" s="392"/>
      <c r="RL11" s="392"/>
      <c r="RM11" s="392"/>
      <c r="RN11" s="392"/>
      <c r="RO11" s="392"/>
      <c r="RP11" s="392"/>
      <c r="RQ11" s="392"/>
      <c r="RR11" s="392"/>
      <c r="RS11" s="392"/>
      <c r="RT11" s="392"/>
      <c r="RU11" s="392"/>
      <c r="RV11" s="392"/>
      <c r="RW11" s="392"/>
      <c r="RX11" s="392"/>
      <c r="RY11" s="392"/>
      <c r="RZ11" s="392"/>
      <c r="SA11" s="392"/>
      <c r="SB11" s="392"/>
      <c r="SC11" s="392"/>
      <c r="SD11" s="392"/>
      <c r="SE11" s="392"/>
    </row>
    <row r="12" spans="2:499" s="393" customFormat="1" ht="20.25" customHeight="1">
      <c r="B12" s="627" t="s">
        <v>298</v>
      </c>
      <c r="C12" s="547"/>
      <c r="D12" s="669"/>
      <c r="E12" s="672"/>
      <c r="F12" s="502"/>
      <c r="G12" s="408"/>
      <c r="H12" s="547"/>
      <c r="I12" s="523"/>
      <c r="J12" s="672"/>
      <c r="K12" s="513"/>
      <c r="L12" s="408"/>
      <c r="M12" s="547"/>
      <c r="N12" s="539"/>
      <c r="O12" s="672"/>
      <c r="P12" s="540"/>
      <c r="Q12" s="408"/>
      <c r="R12" s="480"/>
      <c r="S12" s="633"/>
      <c r="T12" s="407"/>
      <c r="U12" s="407"/>
      <c r="V12" s="408"/>
      <c r="W12" s="619"/>
      <c r="X12" s="620"/>
      <c r="Y12" s="399"/>
      <c r="Z12" s="399"/>
      <c r="AA12" s="394"/>
      <c r="AB12" s="392"/>
      <c r="AC12" s="392"/>
      <c r="AD12" s="392"/>
      <c r="AE12" s="392"/>
      <c r="AF12" s="392"/>
      <c r="AG12" s="392"/>
      <c r="AH12" s="392"/>
      <c r="AI12" s="392"/>
      <c r="AJ12" s="392"/>
      <c r="AK12" s="392"/>
      <c r="AL12" s="392"/>
      <c r="AM12" s="392"/>
      <c r="AN12" s="392"/>
      <c r="AO12" s="392"/>
      <c r="AP12" s="392"/>
      <c r="AQ12" s="392"/>
      <c r="AR12" s="392"/>
      <c r="AS12" s="392"/>
      <c r="AT12" s="392"/>
      <c r="AU12" s="392"/>
      <c r="AV12" s="392"/>
      <c r="AW12" s="392"/>
      <c r="AX12" s="392"/>
      <c r="AY12" s="392"/>
      <c r="AZ12" s="392"/>
      <c r="BA12" s="392"/>
      <c r="BB12" s="392"/>
      <c r="BC12" s="392"/>
      <c r="BD12" s="392"/>
      <c r="BE12" s="392"/>
      <c r="BF12" s="392"/>
      <c r="BG12" s="392"/>
      <c r="BH12" s="392"/>
      <c r="BI12" s="392"/>
      <c r="BJ12" s="392"/>
      <c r="BK12" s="392"/>
      <c r="BL12" s="392"/>
      <c r="BM12" s="392"/>
      <c r="BN12" s="392"/>
      <c r="BO12" s="392"/>
      <c r="BP12" s="392"/>
      <c r="BQ12" s="392"/>
      <c r="BR12" s="392"/>
      <c r="BS12" s="392"/>
      <c r="BT12" s="392"/>
      <c r="BU12" s="392"/>
      <c r="BV12" s="392"/>
      <c r="BW12" s="392"/>
      <c r="BX12" s="392"/>
      <c r="BY12" s="392"/>
      <c r="BZ12" s="392"/>
      <c r="CA12" s="392"/>
      <c r="CB12" s="392"/>
      <c r="CC12" s="392"/>
      <c r="CD12" s="392"/>
      <c r="CE12" s="392"/>
      <c r="CF12" s="392"/>
      <c r="CG12" s="392"/>
      <c r="CH12" s="392"/>
      <c r="CI12" s="392"/>
      <c r="CJ12" s="392"/>
      <c r="CK12" s="392"/>
      <c r="CL12" s="392"/>
      <c r="CM12" s="392"/>
      <c r="CN12" s="392"/>
      <c r="CO12" s="392"/>
      <c r="CP12" s="392"/>
      <c r="CQ12" s="392"/>
      <c r="CR12" s="392"/>
      <c r="CS12" s="392"/>
      <c r="CT12" s="392"/>
      <c r="CU12" s="392"/>
      <c r="CV12" s="392"/>
      <c r="CW12" s="392"/>
      <c r="CX12" s="392"/>
      <c r="CY12" s="392"/>
      <c r="CZ12" s="392"/>
      <c r="DA12" s="392"/>
      <c r="DB12" s="392"/>
      <c r="DC12" s="392"/>
      <c r="DD12" s="392"/>
      <c r="DE12" s="392"/>
      <c r="DF12" s="392"/>
      <c r="DG12" s="392"/>
      <c r="DH12" s="392"/>
      <c r="DI12" s="392"/>
      <c r="DJ12" s="392"/>
      <c r="DK12" s="392"/>
      <c r="DL12" s="392"/>
      <c r="DM12" s="392"/>
      <c r="DN12" s="392"/>
      <c r="DO12" s="392"/>
      <c r="DP12" s="392"/>
      <c r="DQ12" s="392"/>
      <c r="DR12" s="392"/>
      <c r="DS12" s="392"/>
      <c r="DT12" s="392"/>
      <c r="DU12" s="392"/>
      <c r="DV12" s="392"/>
      <c r="DW12" s="392"/>
      <c r="DX12" s="392"/>
      <c r="DY12" s="392"/>
      <c r="DZ12" s="392"/>
      <c r="EA12" s="392"/>
      <c r="EB12" s="392"/>
      <c r="EC12" s="392"/>
      <c r="ED12" s="392"/>
      <c r="EE12" s="392"/>
      <c r="EF12" s="392"/>
      <c r="EG12" s="392"/>
      <c r="EH12" s="392"/>
      <c r="EI12" s="392"/>
      <c r="EJ12" s="392"/>
      <c r="EK12" s="392"/>
      <c r="EL12" s="392"/>
      <c r="EM12" s="392"/>
      <c r="EN12" s="392"/>
      <c r="EO12" s="392"/>
      <c r="EP12" s="392"/>
      <c r="EQ12" s="392"/>
      <c r="ER12" s="392"/>
      <c r="ES12" s="392"/>
      <c r="ET12" s="392"/>
      <c r="EU12" s="392"/>
      <c r="EV12" s="392"/>
      <c r="EW12" s="392"/>
      <c r="EX12" s="392"/>
      <c r="EY12" s="392"/>
      <c r="EZ12" s="392"/>
      <c r="FA12" s="392"/>
      <c r="FB12" s="392"/>
      <c r="FC12" s="392"/>
      <c r="FD12" s="392"/>
      <c r="FE12" s="392"/>
      <c r="FF12" s="392"/>
      <c r="FG12" s="392"/>
      <c r="FH12" s="392"/>
      <c r="FI12" s="392"/>
      <c r="FJ12" s="392"/>
      <c r="FK12" s="392"/>
      <c r="FL12" s="392"/>
      <c r="FM12" s="392"/>
      <c r="FN12" s="392"/>
      <c r="FO12" s="392"/>
      <c r="FP12" s="392"/>
      <c r="FQ12" s="392"/>
      <c r="FR12" s="392"/>
      <c r="FS12" s="392"/>
      <c r="FT12" s="392"/>
      <c r="FU12" s="392"/>
      <c r="FV12" s="392"/>
      <c r="FW12" s="392"/>
      <c r="FX12" s="392"/>
      <c r="FY12" s="392"/>
      <c r="FZ12" s="392"/>
      <c r="GA12" s="392"/>
      <c r="GB12" s="392"/>
      <c r="GC12" s="392"/>
      <c r="GD12" s="392"/>
      <c r="GE12" s="392"/>
      <c r="GF12" s="392"/>
      <c r="GG12" s="392"/>
      <c r="GH12" s="392"/>
      <c r="GI12" s="392"/>
      <c r="GJ12" s="392"/>
      <c r="GK12" s="392"/>
      <c r="GL12" s="392"/>
      <c r="GM12" s="392"/>
      <c r="GN12" s="392"/>
      <c r="GO12" s="392"/>
      <c r="GP12" s="392"/>
      <c r="GQ12" s="392"/>
      <c r="GR12" s="392"/>
      <c r="GS12" s="392"/>
      <c r="GT12" s="392"/>
      <c r="GU12" s="392"/>
      <c r="GV12" s="392"/>
      <c r="GW12" s="392"/>
      <c r="GX12" s="392"/>
      <c r="GY12" s="392"/>
      <c r="GZ12" s="392"/>
      <c r="HA12" s="392"/>
      <c r="HB12" s="392"/>
      <c r="HC12" s="392"/>
      <c r="HD12" s="392"/>
      <c r="HE12" s="392"/>
      <c r="HF12" s="392"/>
      <c r="HG12" s="392"/>
      <c r="HH12" s="392"/>
      <c r="HI12" s="392"/>
      <c r="HJ12" s="392"/>
      <c r="HK12" s="392"/>
      <c r="HL12" s="392"/>
      <c r="HM12" s="392"/>
      <c r="HN12" s="392"/>
      <c r="HO12" s="392"/>
      <c r="HP12" s="392"/>
      <c r="HQ12" s="392"/>
      <c r="HR12" s="392"/>
      <c r="HS12" s="392"/>
      <c r="HT12" s="392"/>
      <c r="HU12" s="392"/>
      <c r="HV12" s="392"/>
      <c r="HW12" s="392"/>
      <c r="HX12" s="392"/>
      <c r="HY12" s="392"/>
      <c r="HZ12" s="392"/>
      <c r="IA12" s="392"/>
      <c r="IB12" s="392"/>
      <c r="IC12" s="392"/>
      <c r="ID12" s="392"/>
      <c r="IE12" s="392"/>
      <c r="IF12" s="392"/>
      <c r="IG12" s="392"/>
      <c r="IH12" s="392"/>
      <c r="II12" s="392"/>
      <c r="IJ12" s="392"/>
      <c r="IK12" s="392"/>
      <c r="IL12" s="392"/>
      <c r="IM12" s="392"/>
      <c r="IN12" s="392"/>
      <c r="IO12" s="392"/>
      <c r="IP12" s="392"/>
      <c r="IQ12" s="392"/>
      <c r="IR12" s="392"/>
      <c r="IS12" s="392"/>
      <c r="IT12" s="392"/>
      <c r="IU12" s="392"/>
      <c r="IV12" s="392"/>
      <c r="IW12" s="392"/>
      <c r="IX12" s="392"/>
      <c r="IY12" s="392"/>
      <c r="IZ12" s="392"/>
      <c r="JA12" s="392"/>
      <c r="JB12" s="392"/>
      <c r="JC12" s="392"/>
      <c r="JD12" s="392"/>
      <c r="JE12" s="392"/>
      <c r="JF12" s="392"/>
      <c r="JG12" s="392"/>
      <c r="JH12" s="392"/>
      <c r="JI12" s="392"/>
      <c r="JJ12" s="392"/>
      <c r="JK12" s="392"/>
      <c r="JL12" s="392"/>
      <c r="JM12" s="392"/>
      <c r="JN12" s="392"/>
      <c r="JO12" s="392"/>
      <c r="JP12" s="392"/>
      <c r="JQ12" s="392"/>
      <c r="JR12" s="392"/>
      <c r="JS12" s="392"/>
      <c r="JT12" s="392"/>
      <c r="JU12" s="392"/>
      <c r="JV12" s="392"/>
      <c r="JW12" s="392"/>
      <c r="JX12" s="392"/>
      <c r="JY12" s="392"/>
      <c r="JZ12" s="392"/>
      <c r="KA12" s="392"/>
      <c r="KB12" s="392"/>
      <c r="KC12" s="392"/>
      <c r="KD12" s="392"/>
      <c r="KE12" s="392"/>
      <c r="KF12" s="392"/>
      <c r="KG12" s="392"/>
      <c r="KH12" s="392"/>
      <c r="KI12" s="392"/>
      <c r="KJ12" s="392"/>
      <c r="KK12" s="392"/>
      <c r="KL12" s="392"/>
      <c r="KM12" s="392"/>
      <c r="KN12" s="392"/>
      <c r="KO12" s="392"/>
      <c r="KP12" s="392"/>
      <c r="KQ12" s="392"/>
      <c r="KR12" s="392"/>
      <c r="KS12" s="392"/>
      <c r="KT12" s="392"/>
      <c r="KU12" s="392"/>
      <c r="KV12" s="392"/>
      <c r="KW12" s="392"/>
      <c r="KX12" s="392"/>
      <c r="KY12" s="392"/>
      <c r="KZ12" s="392"/>
      <c r="LA12" s="392"/>
      <c r="LB12" s="392"/>
      <c r="LC12" s="392"/>
      <c r="LD12" s="392"/>
      <c r="LE12" s="392"/>
      <c r="LF12" s="392"/>
      <c r="LG12" s="392"/>
      <c r="LH12" s="392"/>
      <c r="LI12" s="392"/>
      <c r="LJ12" s="392"/>
      <c r="LK12" s="392"/>
      <c r="LL12" s="392"/>
      <c r="LM12" s="392"/>
      <c r="LN12" s="392"/>
      <c r="LO12" s="392"/>
      <c r="LP12" s="392"/>
      <c r="LQ12" s="392"/>
      <c r="LR12" s="392"/>
      <c r="LS12" s="392"/>
      <c r="LT12" s="392"/>
      <c r="LU12" s="392"/>
      <c r="LV12" s="392"/>
      <c r="LW12" s="392"/>
      <c r="LX12" s="392"/>
      <c r="LY12" s="392"/>
      <c r="LZ12" s="392"/>
      <c r="MA12" s="392"/>
      <c r="MB12" s="392"/>
      <c r="MC12" s="392"/>
      <c r="MD12" s="392"/>
      <c r="ME12" s="392"/>
      <c r="MF12" s="392"/>
      <c r="MG12" s="392"/>
      <c r="MH12" s="392"/>
      <c r="MI12" s="392"/>
      <c r="MJ12" s="392"/>
      <c r="MK12" s="392"/>
      <c r="ML12" s="392"/>
      <c r="MM12" s="392"/>
      <c r="MN12" s="392"/>
      <c r="MO12" s="392"/>
      <c r="MP12" s="392"/>
      <c r="MQ12" s="392"/>
      <c r="MR12" s="392"/>
      <c r="MS12" s="392"/>
      <c r="MT12" s="392"/>
      <c r="MU12" s="392"/>
      <c r="MV12" s="392"/>
      <c r="MW12" s="392"/>
      <c r="MX12" s="392"/>
      <c r="MY12" s="392"/>
      <c r="MZ12" s="392"/>
      <c r="NA12" s="392"/>
      <c r="NB12" s="392"/>
      <c r="NC12" s="392"/>
      <c r="ND12" s="392"/>
      <c r="NE12" s="392"/>
      <c r="NF12" s="392"/>
      <c r="NG12" s="392"/>
      <c r="NH12" s="392"/>
      <c r="NI12" s="392"/>
      <c r="NJ12" s="392"/>
      <c r="NK12" s="392"/>
      <c r="NL12" s="392"/>
      <c r="NM12" s="392"/>
      <c r="NN12" s="392"/>
      <c r="NO12" s="392"/>
      <c r="NP12" s="392"/>
      <c r="NQ12" s="392"/>
      <c r="NR12" s="392"/>
      <c r="NS12" s="392"/>
      <c r="NT12" s="392"/>
      <c r="NU12" s="392"/>
      <c r="NV12" s="392"/>
      <c r="NW12" s="392"/>
      <c r="NX12" s="392"/>
      <c r="NY12" s="392"/>
      <c r="NZ12" s="392"/>
      <c r="OA12" s="392"/>
      <c r="OB12" s="392"/>
      <c r="OC12" s="392"/>
      <c r="OD12" s="392"/>
      <c r="OE12" s="392"/>
      <c r="OF12" s="392"/>
      <c r="OG12" s="392"/>
      <c r="OH12" s="392"/>
      <c r="OI12" s="392"/>
      <c r="OJ12" s="392"/>
      <c r="OK12" s="392"/>
      <c r="OL12" s="392"/>
      <c r="OM12" s="392"/>
      <c r="ON12" s="392"/>
      <c r="OO12" s="392"/>
      <c r="OP12" s="392"/>
      <c r="OQ12" s="392"/>
      <c r="OR12" s="392"/>
      <c r="OS12" s="392"/>
      <c r="OT12" s="392"/>
      <c r="OU12" s="392"/>
      <c r="OV12" s="392"/>
      <c r="OW12" s="392"/>
      <c r="OX12" s="392"/>
      <c r="OY12" s="392"/>
      <c r="OZ12" s="392"/>
      <c r="PA12" s="392"/>
      <c r="PB12" s="392"/>
      <c r="PC12" s="392"/>
      <c r="PD12" s="392"/>
      <c r="PE12" s="392"/>
      <c r="PF12" s="392"/>
      <c r="PG12" s="392"/>
      <c r="PH12" s="392"/>
      <c r="PI12" s="392"/>
      <c r="PJ12" s="392"/>
      <c r="PK12" s="392"/>
      <c r="PL12" s="392"/>
      <c r="PM12" s="392"/>
      <c r="PN12" s="392"/>
      <c r="PO12" s="392"/>
      <c r="PP12" s="392"/>
      <c r="PQ12" s="392"/>
      <c r="PR12" s="392"/>
      <c r="PS12" s="392"/>
      <c r="PT12" s="392"/>
      <c r="PU12" s="392"/>
      <c r="PV12" s="392"/>
      <c r="PW12" s="392"/>
      <c r="PX12" s="392"/>
      <c r="PY12" s="392"/>
      <c r="PZ12" s="392"/>
      <c r="QA12" s="392"/>
      <c r="QB12" s="392"/>
      <c r="QC12" s="392"/>
      <c r="QD12" s="392"/>
      <c r="QE12" s="392"/>
      <c r="QF12" s="392"/>
      <c r="QG12" s="392"/>
      <c r="QH12" s="392"/>
      <c r="QI12" s="392"/>
      <c r="QJ12" s="392"/>
      <c r="QK12" s="392"/>
      <c r="QL12" s="392"/>
      <c r="QM12" s="392"/>
      <c r="QN12" s="392"/>
      <c r="QO12" s="392"/>
      <c r="QP12" s="392"/>
      <c r="QQ12" s="392"/>
      <c r="QR12" s="392"/>
      <c r="QS12" s="392"/>
      <c r="QT12" s="392"/>
      <c r="QU12" s="392"/>
      <c r="QV12" s="392"/>
      <c r="QW12" s="392"/>
      <c r="QX12" s="392"/>
      <c r="QY12" s="392"/>
      <c r="QZ12" s="392"/>
      <c r="RA12" s="392"/>
      <c r="RB12" s="392"/>
      <c r="RC12" s="392"/>
      <c r="RD12" s="392"/>
      <c r="RE12" s="392"/>
      <c r="RF12" s="392"/>
      <c r="RG12" s="392"/>
      <c r="RH12" s="392"/>
      <c r="RI12" s="392"/>
      <c r="RJ12" s="392"/>
      <c r="RK12" s="392"/>
      <c r="RL12" s="392"/>
      <c r="RM12" s="392"/>
      <c r="RN12" s="392"/>
      <c r="RO12" s="392"/>
      <c r="RP12" s="392"/>
      <c r="RQ12" s="392"/>
      <c r="RR12" s="392"/>
      <c r="RS12" s="392"/>
      <c r="RT12" s="392"/>
      <c r="RU12" s="392"/>
      <c r="RV12" s="392"/>
      <c r="RW12" s="392"/>
      <c r="RX12" s="392"/>
      <c r="RY12" s="392"/>
      <c r="RZ12" s="392"/>
      <c r="SA12" s="392"/>
      <c r="SB12" s="392"/>
      <c r="SC12" s="392"/>
      <c r="SD12" s="392"/>
      <c r="SE12" s="392"/>
    </row>
    <row r="13" spans="2:499" s="393" customFormat="1" ht="20.25" customHeight="1">
      <c r="B13" s="628" t="s">
        <v>115</v>
      </c>
      <c r="C13" s="525">
        <v>25860.5</v>
      </c>
      <c r="D13" s="670"/>
      <c r="E13" s="527">
        <v>23267.9</v>
      </c>
      <c r="F13" s="503"/>
      <c r="G13" s="508">
        <f>C13-E13</f>
        <v>2592.5999999999985</v>
      </c>
      <c r="H13" s="525">
        <v>5665.9</v>
      </c>
      <c r="I13" s="518">
        <v>2</v>
      </c>
      <c r="J13" s="527">
        <v>4677.3</v>
      </c>
      <c r="K13" s="515">
        <v>3</v>
      </c>
      <c r="L13" s="508">
        <f>H13-J13</f>
        <v>988.59999999999945</v>
      </c>
      <c r="M13" s="525">
        <v>-62.6</v>
      </c>
      <c r="N13" s="541"/>
      <c r="O13" s="527">
        <v>-62.3</v>
      </c>
      <c r="P13" s="542"/>
      <c r="Q13" s="508">
        <f>M13-O13</f>
        <v>-0.30000000000000426</v>
      </c>
      <c r="R13" s="478">
        <f>C13+H13+M13</f>
        <v>31463.800000000003</v>
      </c>
      <c r="S13" s="632"/>
      <c r="T13" s="401">
        <f>J13+O13+E13</f>
        <v>27882.9</v>
      </c>
      <c r="U13" s="401"/>
      <c r="V13" s="260">
        <f>R13-T13</f>
        <v>3580.9000000000015</v>
      </c>
      <c r="W13" s="619"/>
      <c r="X13" s="620"/>
      <c r="Y13" s="399"/>
      <c r="Z13" s="399"/>
      <c r="AA13" s="394"/>
      <c r="AB13" s="392"/>
      <c r="AC13" s="392"/>
      <c r="AD13" s="392"/>
      <c r="AE13" s="392"/>
      <c r="AF13" s="392"/>
      <c r="AG13" s="392"/>
      <c r="AH13" s="392"/>
      <c r="AI13" s="392"/>
      <c r="AJ13" s="392"/>
      <c r="AK13" s="392"/>
      <c r="AL13" s="392"/>
      <c r="AM13" s="392"/>
      <c r="AN13" s="392"/>
      <c r="AO13" s="392"/>
      <c r="AP13" s="392"/>
      <c r="AQ13" s="392"/>
      <c r="AR13" s="392"/>
      <c r="AS13" s="392"/>
      <c r="AT13" s="392"/>
      <c r="AU13" s="392"/>
      <c r="AV13" s="392"/>
      <c r="AW13" s="392"/>
      <c r="AX13" s="392"/>
      <c r="AY13" s="392"/>
      <c r="AZ13" s="392"/>
      <c r="BA13" s="392"/>
      <c r="BB13" s="392"/>
      <c r="BC13" s="392"/>
      <c r="BD13" s="392"/>
      <c r="BE13" s="392"/>
      <c r="BF13" s="392"/>
      <c r="BG13" s="392"/>
      <c r="BH13" s="392"/>
      <c r="BI13" s="392"/>
      <c r="BJ13" s="392"/>
      <c r="BK13" s="392"/>
      <c r="BL13" s="392"/>
      <c r="BM13" s="392"/>
      <c r="BN13" s="392"/>
      <c r="BO13" s="392"/>
      <c r="BP13" s="392"/>
      <c r="BQ13" s="392"/>
      <c r="BR13" s="392"/>
      <c r="BS13" s="392"/>
      <c r="BT13" s="392"/>
      <c r="BU13" s="392"/>
      <c r="BV13" s="392"/>
      <c r="BW13" s="392"/>
      <c r="BX13" s="392"/>
      <c r="BY13" s="392"/>
      <c r="BZ13" s="392"/>
      <c r="CA13" s="392"/>
      <c r="CB13" s="392"/>
      <c r="CC13" s="392"/>
      <c r="CD13" s="392"/>
      <c r="CE13" s="392"/>
      <c r="CF13" s="392"/>
      <c r="CG13" s="392"/>
      <c r="CH13" s="392"/>
      <c r="CI13" s="392"/>
      <c r="CJ13" s="392"/>
      <c r="CK13" s="392"/>
      <c r="CL13" s="392"/>
      <c r="CM13" s="392"/>
      <c r="CN13" s="392"/>
      <c r="CO13" s="392"/>
      <c r="CP13" s="392"/>
      <c r="CQ13" s="392"/>
      <c r="CR13" s="392"/>
      <c r="CS13" s="392"/>
      <c r="CT13" s="392"/>
      <c r="CU13" s="392"/>
      <c r="CV13" s="392"/>
      <c r="CW13" s="392"/>
      <c r="CX13" s="392"/>
      <c r="CY13" s="392"/>
      <c r="CZ13" s="392"/>
      <c r="DA13" s="392"/>
      <c r="DB13" s="392"/>
      <c r="DC13" s="392"/>
      <c r="DD13" s="392"/>
      <c r="DE13" s="392"/>
      <c r="DF13" s="392"/>
      <c r="DG13" s="392"/>
      <c r="DH13" s="392"/>
      <c r="DI13" s="392"/>
      <c r="DJ13" s="392"/>
      <c r="DK13" s="392"/>
      <c r="DL13" s="392"/>
      <c r="DM13" s="392"/>
      <c r="DN13" s="392"/>
      <c r="DO13" s="392"/>
      <c r="DP13" s="392"/>
      <c r="DQ13" s="392"/>
      <c r="DR13" s="392"/>
      <c r="DS13" s="392"/>
      <c r="DT13" s="392"/>
      <c r="DU13" s="392"/>
      <c r="DV13" s="392"/>
      <c r="DW13" s="392"/>
      <c r="DX13" s="392"/>
      <c r="DY13" s="392"/>
      <c r="DZ13" s="392"/>
      <c r="EA13" s="392"/>
      <c r="EB13" s="392"/>
      <c r="EC13" s="392"/>
      <c r="ED13" s="392"/>
      <c r="EE13" s="392"/>
      <c r="EF13" s="392"/>
      <c r="EG13" s="392"/>
      <c r="EH13" s="392"/>
      <c r="EI13" s="392"/>
      <c r="EJ13" s="392"/>
      <c r="EK13" s="392"/>
      <c r="EL13" s="392"/>
      <c r="EM13" s="392"/>
      <c r="EN13" s="392"/>
      <c r="EO13" s="392"/>
      <c r="EP13" s="392"/>
      <c r="EQ13" s="392"/>
      <c r="ER13" s="392"/>
      <c r="ES13" s="392"/>
      <c r="ET13" s="392"/>
      <c r="EU13" s="392"/>
      <c r="EV13" s="392"/>
      <c r="EW13" s="392"/>
      <c r="EX13" s="392"/>
      <c r="EY13" s="392"/>
      <c r="EZ13" s="392"/>
      <c r="FA13" s="392"/>
      <c r="FB13" s="392"/>
      <c r="FC13" s="392"/>
      <c r="FD13" s="392"/>
      <c r="FE13" s="392"/>
      <c r="FF13" s="392"/>
      <c r="FG13" s="392"/>
      <c r="FH13" s="392"/>
      <c r="FI13" s="392"/>
      <c r="FJ13" s="392"/>
      <c r="FK13" s="392"/>
      <c r="FL13" s="392"/>
      <c r="FM13" s="392"/>
      <c r="FN13" s="392"/>
      <c r="FO13" s="392"/>
      <c r="FP13" s="392"/>
      <c r="FQ13" s="392"/>
      <c r="FR13" s="392"/>
      <c r="FS13" s="392"/>
      <c r="FT13" s="392"/>
      <c r="FU13" s="392"/>
      <c r="FV13" s="392"/>
      <c r="FW13" s="392"/>
      <c r="FX13" s="392"/>
      <c r="FY13" s="392"/>
      <c r="FZ13" s="392"/>
      <c r="GA13" s="392"/>
      <c r="GB13" s="392"/>
      <c r="GC13" s="392"/>
      <c r="GD13" s="392"/>
      <c r="GE13" s="392"/>
      <c r="GF13" s="392"/>
      <c r="GG13" s="392"/>
      <c r="GH13" s="392"/>
      <c r="GI13" s="392"/>
      <c r="GJ13" s="392"/>
      <c r="GK13" s="392"/>
      <c r="GL13" s="392"/>
      <c r="GM13" s="392"/>
      <c r="GN13" s="392"/>
      <c r="GO13" s="392"/>
      <c r="GP13" s="392"/>
      <c r="GQ13" s="392"/>
      <c r="GR13" s="392"/>
      <c r="GS13" s="392"/>
      <c r="GT13" s="392"/>
      <c r="GU13" s="392"/>
      <c r="GV13" s="392"/>
      <c r="GW13" s="392"/>
      <c r="GX13" s="392"/>
      <c r="GY13" s="392"/>
      <c r="GZ13" s="392"/>
      <c r="HA13" s="392"/>
      <c r="HB13" s="392"/>
      <c r="HC13" s="392"/>
      <c r="HD13" s="392"/>
      <c r="HE13" s="392"/>
      <c r="HF13" s="392"/>
      <c r="HG13" s="392"/>
      <c r="HH13" s="392"/>
      <c r="HI13" s="392"/>
      <c r="HJ13" s="392"/>
      <c r="HK13" s="392"/>
      <c r="HL13" s="392"/>
      <c r="HM13" s="392"/>
      <c r="HN13" s="392"/>
      <c r="HO13" s="392"/>
      <c r="HP13" s="392"/>
      <c r="HQ13" s="392"/>
      <c r="HR13" s="392"/>
      <c r="HS13" s="392"/>
      <c r="HT13" s="392"/>
      <c r="HU13" s="392"/>
      <c r="HV13" s="392"/>
      <c r="HW13" s="392"/>
      <c r="HX13" s="392"/>
      <c r="HY13" s="392"/>
      <c r="HZ13" s="392"/>
      <c r="IA13" s="392"/>
      <c r="IB13" s="392"/>
      <c r="IC13" s="392"/>
      <c r="ID13" s="392"/>
      <c r="IE13" s="392"/>
      <c r="IF13" s="392"/>
      <c r="IG13" s="392"/>
      <c r="IH13" s="392"/>
      <c r="II13" s="392"/>
      <c r="IJ13" s="392"/>
      <c r="IK13" s="392"/>
      <c r="IL13" s="392"/>
      <c r="IM13" s="392"/>
      <c r="IN13" s="392"/>
      <c r="IO13" s="392"/>
      <c r="IP13" s="392"/>
      <c r="IQ13" s="392"/>
      <c r="IR13" s="392"/>
      <c r="IS13" s="392"/>
      <c r="IT13" s="392"/>
      <c r="IU13" s="392"/>
      <c r="IV13" s="392"/>
      <c r="IW13" s="392"/>
      <c r="IX13" s="392"/>
      <c r="IY13" s="392"/>
      <c r="IZ13" s="392"/>
      <c r="JA13" s="392"/>
      <c r="JB13" s="392"/>
      <c r="JC13" s="392"/>
      <c r="JD13" s="392"/>
      <c r="JE13" s="392"/>
      <c r="JF13" s="392"/>
      <c r="JG13" s="392"/>
      <c r="JH13" s="392"/>
      <c r="JI13" s="392"/>
      <c r="JJ13" s="392"/>
      <c r="JK13" s="392"/>
      <c r="JL13" s="392"/>
      <c r="JM13" s="392"/>
      <c r="JN13" s="392"/>
      <c r="JO13" s="392"/>
      <c r="JP13" s="392"/>
      <c r="JQ13" s="392"/>
      <c r="JR13" s="392"/>
      <c r="JS13" s="392"/>
      <c r="JT13" s="392"/>
      <c r="JU13" s="392"/>
      <c r="JV13" s="392"/>
      <c r="JW13" s="392"/>
      <c r="JX13" s="392"/>
      <c r="JY13" s="392"/>
      <c r="JZ13" s="392"/>
      <c r="KA13" s="392"/>
      <c r="KB13" s="392"/>
      <c r="KC13" s="392"/>
      <c r="KD13" s="392"/>
      <c r="KE13" s="392"/>
      <c r="KF13" s="392"/>
      <c r="KG13" s="392"/>
      <c r="KH13" s="392"/>
      <c r="KI13" s="392"/>
      <c r="KJ13" s="392"/>
      <c r="KK13" s="392"/>
      <c r="KL13" s="392"/>
      <c r="KM13" s="392"/>
      <c r="KN13" s="392"/>
      <c r="KO13" s="392"/>
      <c r="KP13" s="392"/>
      <c r="KQ13" s="392"/>
      <c r="KR13" s="392"/>
      <c r="KS13" s="392"/>
      <c r="KT13" s="392"/>
      <c r="KU13" s="392"/>
      <c r="KV13" s="392"/>
      <c r="KW13" s="392"/>
      <c r="KX13" s="392"/>
      <c r="KY13" s="392"/>
      <c r="KZ13" s="392"/>
      <c r="LA13" s="392"/>
      <c r="LB13" s="392"/>
      <c r="LC13" s="392"/>
      <c r="LD13" s="392"/>
      <c r="LE13" s="392"/>
      <c r="LF13" s="392"/>
      <c r="LG13" s="392"/>
      <c r="LH13" s="392"/>
      <c r="LI13" s="392"/>
      <c r="LJ13" s="392"/>
      <c r="LK13" s="392"/>
      <c r="LL13" s="392"/>
      <c r="LM13" s="392"/>
      <c r="LN13" s="392"/>
      <c r="LO13" s="392"/>
      <c r="LP13" s="392"/>
      <c r="LQ13" s="392"/>
      <c r="LR13" s="392"/>
      <c r="LS13" s="392"/>
      <c r="LT13" s="392"/>
      <c r="LU13" s="392"/>
      <c r="LV13" s="392"/>
      <c r="LW13" s="392"/>
      <c r="LX13" s="392"/>
      <c r="LY13" s="392"/>
      <c r="LZ13" s="392"/>
      <c r="MA13" s="392"/>
      <c r="MB13" s="392"/>
      <c r="MC13" s="392"/>
      <c r="MD13" s="392"/>
      <c r="ME13" s="392"/>
      <c r="MF13" s="392"/>
      <c r="MG13" s="392"/>
      <c r="MH13" s="392"/>
      <c r="MI13" s="392"/>
      <c r="MJ13" s="392"/>
      <c r="MK13" s="392"/>
      <c r="ML13" s="392"/>
      <c r="MM13" s="392"/>
      <c r="MN13" s="392"/>
      <c r="MO13" s="392"/>
      <c r="MP13" s="392"/>
      <c r="MQ13" s="392"/>
      <c r="MR13" s="392"/>
      <c r="MS13" s="392"/>
      <c r="MT13" s="392"/>
      <c r="MU13" s="392"/>
      <c r="MV13" s="392"/>
      <c r="MW13" s="392"/>
      <c r="MX13" s="392"/>
      <c r="MY13" s="392"/>
      <c r="MZ13" s="392"/>
      <c r="NA13" s="392"/>
      <c r="NB13" s="392"/>
      <c r="NC13" s="392"/>
      <c r="ND13" s="392"/>
      <c r="NE13" s="392"/>
      <c r="NF13" s="392"/>
      <c r="NG13" s="392"/>
      <c r="NH13" s="392"/>
      <c r="NI13" s="392"/>
      <c r="NJ13" s="392"/>
      <c r="NK13" s="392"/>
      <c r="NL13" s="392"/>
      <c r="NM13" s="392"/>
      <c r="NN13" s="392"/>
      <c r="NO13" s="392"/>
      <c r="NP13" s="392"/>
      <c r="NQ13" s="392"/>
      <c r="NR13" s="392"/>
      <c r="NS13" s="392"/>
      <c r="NT13" s="392"/>
      <c r="NU13" s="392"/>
      <c r="NV13" s="392"/>
      <c r="NW13" s="392"/>
      <c r="NX13" s="392"/>
      <c r="NY13" s="392"/>
      <c r="NZ13" s="392"/>
      <c r="OA13" s="392"/>
      <c r="OB13" s="392"/>
      <c r="OC13" s="392"/>
      <c r="OD13" s="392"/>
      <c r="OE13" s="392"/>
      <c r="OF13" s="392"/>
      <c r="OG13" s="392"/>
      <c r="OH13" s="392"/>
      <c r="OI13" s="392"/>
      <c r="OJ13" s="392"/>
      <c r="OK13" s="392"/>
      <c r="OL13" s="392"/>
      <c r="OM13" s="392"/>
      <c r="ON13" s="392"/>
      <c r="OO13" s="392"/>
      <c r="OP13" s="392"/>
      <c r="OQ13" s="392"/>
      <c r="OR13" s="392"/>
      <c r="OS13" s="392"/>
      <c r="OT13" s="392"/>
      <c r="OU13" s="392"/>
      <c r="OV13" s="392"/>
      <c r="OW13" s="392"/>
      <c r="OX13" s="392"/>
      <c r="OY13" s="392"/>
      <c r="OZ13" s="392"/>
      <c r="PA13" s="392"/>
      <c r="PB13" s="392"/>
      <c r="PC13" s="392"/>
      <c r="PD13" s="392"/>
      <c r="PE13" s="392"/>
      <c r="PF13" s="392"/>
      <c r="PG13" s="392"/>
      <c r="PH13" s="392"/>
      <c r="PI13" s="392"/>
      <c r="PJ13" s="392"/>
      <c r="PK13" s="392"/>
      <c r="PL13" s="392"/>
      <c r="PM13" s="392"/>
      <c r="PN13" s="392"/>
      <c r="PO13" s="392"/>
      <c r="PP13" s="392"/>
      <c r="PQ13" s="392"/>
      <c r="PR13" s="392"/>
      <c r="PS13" s="392"/>
      <c r="PT13" s="392"/>
      <c r="PU13" s="392"/>
      <c r="PV13" s="392"/>
      <c r="PW13" s="392"/>
      <c r="PX13" s="392"/>
      <c r="PY13" s="392"/>
      <c r="PZ13" s="392"/>
      <c r="QA13" s="392"/>
      <c r="QB13" s="392"/>
      <c r="QC13" s="392"/>
      <c r="QD13" s="392"/>
      <c r="QE13" s="392"/>
      <c r="QF13" s="392"/>
      <c r="QG13" s="392"/>
      <c r="QH13" s="392"/>
      <c r="QI13" s="392"/>
      <c r="QJ13" s="392"/>
      <c r="QK13" s="392"/>
      <c r="QL13" s="392"/>
      <c r="QM13" s="392"/>
      <c r="QN13" s="392"/>
      <c r="QO13" s="392"/>
      <c r="QP13" s="392"/>
      <c r="QQ13" s="392"/>
      <c r="QR13" s="392"/>
      <c r="QS13" s="392"/>
      <c r="QT13" s="392"/>
      <c r="QU13" s="392"/>
      <c r="QV13" s="392"/>
      <c r="QW13" s="392"/>
      <c r="QX13" s="392"/>
      <c r="QY13" s="392"/>
      <c r="QZ13" s="392"/>
      <c r="RA13" s="392"/>
      <c r="RB13" s="392"/>
      <c r="RC13" s="392"/>
      <c r="RD13" s="392"/>
      <c r="RE13" s="392"/>
      <c r="RF13" s="392"/>
      <c r="RG13" s="392"/>
      <c r="RH13" s="392"/>
      <c r="RI13" s="392"/>
      <c r="RJ13" s="392"/>
      <c r="RK13" s="392"/>
      <c r="RL13" s="392"/>
      <c r="RM13" s="392"/>
      <c r="RN13" s="392"/>
      <c r="RO13" s="392"/>
      <c r="RP13" s="392"/>
      <c r="RQ13" s="392"/>
      <c r="RR13" s="392"/>
      <c r="RS13" s="392"/>
      <c r="RT13" s="392"/>
      <c r="RU13" s="392"/>
      <c r="RV13" s="392"/>
      <c r="RW13" s="392"/>
      <c r="RX13" s="392"/>
      <c r="RY13" s="392"/>
      <c r="RZ13" s="392"/>
      <c r="SA13" s="392"/>
      <c r="SB13" s="392"/>
      <c r="SC13" s="392"/>
      <c r="SD13" s="392"/>
      <c r="SE13" s="392"/>
    </row>
    <row r="14" spans="2:499" s="393" customFormat="1" ht="31.5" customHeight="1" thickBot="1">
      <c r="B14" s="629" t="s">
        <v>116</v>
      </c>
      <c r="C14" s="544">
        <v>18</v>
      </c>
      <c r="D14" s="545"/>
      <c r="E14" s="666">
        <v>0</v>
      </c>
      <c r="F14" s="504"/>
      <c r="G14" s="514">
        <f>C14-E14</f>
        <v>18</v>
      </c>
      <c r="H14" s="544">
        <v>29.2</v>
      </c>
      <c r="I14" s="519"/>
      <c r="J14" s="666">
        <v>38.200000000000003</v>
      </c>
      <c r="K14" s="516"/>
      <c r="L14" s="514">
        <f>H14-J14</f>
        <v>-9.0000000000000036</v>
      </c>
      <c r="M14" s="544">
        <v>0</v>
      </c>
      <c r="N14" s="545"/>
      <c r="O14" s="666">
        <v>0</v>
      </c>
      <c r="P14" s="543"/>
      <c r="Q14" s="514">
        <f>M14-O14</f>
        <v>0</v>
      </c>
      <c r="R14" s="481">
        <f t="shared" si="3"/>
        <v>47.2</v>
      </c>
      <c r="S14" s="634"/>
      <c r="T14" s="409">
        <f>J14+O14+E14</f>
        <v>38.200000000000003</v>
      </c>
      <c r="U14" s="409"/>
      <c r="V14" s="261">
        <f>R14-T14</f>
        <v>9</v>
      </c>
      <c r="W14" s="619"/>
      <c r="X14" s="620"/>
      <c r="Y14" s="399"/>
      <c r="Z14" s="399"/>
      <c r="AA14" s="394"/>
      <c r="AB14" s="392"/>
      <c r="AC14" s="392"/>
      <c r="AD14" s="392"/>
      <c r="AE14" s="392"/>
      <c r="AF14" s="392"/>
      <c r="AG14" s="392"/>
      <c r="AH14" s="392"/>
      <c r="AI14" s="392"/>
      <c r="AJ14" s="392"/>
      <c r="AK14" s="392"/>
      <c r="AL14" s="392"/>
      <c r="AM14" s="392"/>
      <c r="AN14" s="392"/>
      <c r="AO14" s="392"/>
      <c r="AP14" s="392"/>
      <c r="AQ14" s="392"/>
      <c r="AR14" s="392"/>
      <c r="AS14" s="392"/>
      <c r="AT14" s="392"/>
      <c r="AU14" s="392"/>
      <c r="AV14" s="392"/>
      <c r="AW14" s="392"/>
      <c r="AX14" s="392"/>
      <c r="AY14" s="392"/>
      <c r="AZ14" s="392"/>
      <c r="BA14" s="392"/>
      <c r="BB14" s="392"/>
      <c r="BC14" s="392"/>
      <c r="BD14" s="392"/>
      <c r="BE14" s="392"/>
      <c r="BF14" s="392"/>
      <c r="BG14" s="392"/>
      <c r="BH14" s="392"/>
      <c r="BI14" s="392"/>
      <c r="BJ14" s="392"/>
      <c r="BK14" s="392"/>
      <c r="BL14" s="392"/>
      <c r="BM14" s="392"/>
      <c r="BN14" s="392"/>
      <c r="BO14" s="392"/>
      <c r="BP14" s="392"/>
      <c r="BQ14" s="392"/>
      <c r="BR14" s="392"/>
      <c r="BS14" s="392"/>
      <c r="BT14" s="392"/>
      <c r="BU14" s="392"/>
      <c r="BV14" s="392"/>
      <c r="BW14" s="392"/>
      <c r="BX14" s="392"/>
      <c r="BY14" s="392"/>
      <c r="BZ14" s="392"/>
      <c r="CA14" s="392"/>
      <c r="CB14" s="392"/>
      <c r="CC14" s="392"/>
      <c r="CD14" s="392"/>
      <c r="CE14" s="392"/>
      <c r="CF14" s="392"/>
      <c r="CG14" s="392"/>
      <c r="CH14" s="392"/>
      <c r="CI14" s="392"/>
      <c r="CJ14" s="392"/>
      <c r="CK14" s="392"/>
      <c r="CL14" s="392"/>
      <c r="CM14" s="392"/>
      <c r="CN14" s="392"/>
      <c r="CO14" s="392"/>
      <c r="CP14" s="392"/>
      <c r="CQ14" s="392"/>
      <c r="CR14" s="392"/>
      <c r="CS14" s="392"/>
      <c r="CT14" s="392"/>
      <c r="CU14" s="392"/>
      <c r="CV14" s="392"/>
      <c r="CW14" s="392"/>
      <c r="CX14" s="392"/>
      <c r="CY14" s="392"/>
      <c r="CZ14" s="392"/>
      <c r="DA14" s="392"/>
      <c r="DB14" s="392"/>
      <c r="DC14" s="392"/>
      <c r="DD14" s="392"/>
      <c r="DE14" s="392"/>
      <c r="DF14" s="392"/>
      <c r="DG14" s="392"/>
      <c r="DH14" s="392"/>
      <c r="DI14" s="392"/>
      <c r="DJ14" s="392"/>
      <c r="DK14" s="392"/>
      <c r="DL14" s="392"/>
      <c r="DM14" s="392"/>
      <c r="DN14" s="392"/>
      <c r="DO14" s="392"/>
      <c r="DP14" s="392"/>
      <c r="DQ14" s="392"/>
      <c r="DR14" s="392"/>
      <c r="DS14" s="392"/>
      <c r="DT14" s="392"/>
      <c r="DU14" s="392"/>
      <c r="DV14" s="392"/>
      <c r="DW14" s="392"/>
      <c r="DX14" s="392"/>
      <c r="DY14" s="392"/>
      <c r="DZ14" s="392"/>
      <c r="EA14" s="392"/>
      <c r="EB14" s="392"/>
      <c r="EC14" s="392"/>
      <c r="ED14" s="392"/>
      <c r="EE14" s="392"/>
      <c r="EF14" s="392"/>
      <c r="EG14" s="392"/>
      <c r="EH14" s="392"/>
      <c r="EI14" s="392"/>
      <c r="EJ14" s="392"/>
      <c r="EK14" s="392"/>
      <c r="EL14" s="392"/>
      <c r="EM14" s="392"/>
      <c r="EN14" s="392"/>
      <c r="EO14" s="392"/>
      <c r="EP14" s="392"/>
      <c r="EQ14" s="392"/>
      <c r="ER14" s="392"/>
      <c r="ES14" s="392"/>
      <c r="ET14" s="392"/>
      <c r="EU14" s="392"/>
      <c r="EV14" s="392"/>
      <c r="EW14" s="392"/>
      <c r="EX14" s="392"/>
      <c r="EY14" s="392"/>
      <c r="EZ14" s="392"/>
      <c r="FA14" s="392"/>
      <c r="FB14" s="392"/>
      <c r="FC14" s="392"/>
      <c r="FD14" s="392"/>
      <c r="FE14" s="392"/>
      <c r="FF14" s="392"/>
      <c r="FG14" s="392"/>
      <c r="FH14" s="392"/>
      <c r="FI14" s="392"/>
      <c r="FJ14" s="392"/>
      <c r="FK14" s="392"/>
      <c r="FL14" s="392"/>
      <c r="FM14" s="392"/>
      <c r="FN14" s="392"/>
      <c r="FO14" s="392"/>
      <c r="FP14" s="392"/>
      <c r="FQ14" s="392"/>
      <c r="FR14" s="392"/>
      <c r="FS14" s="392"/>
      <c r="FT14" s="392"/>
      <c r="FU14" s="392"/>
      <c r="FV14" s="392"/>
      <c r="FW14" s="392"/>
      <c r="FX14" s="392"/>
      <c r="FY14" s="392"/>
      <c r="FZ14" s="392"/>
      <c r="GA14" s="392"/>
      <c r="GB14" s="392"/>
      <c r="GC14" s="392"/>
      <c r="GD14" s="392"/>
      <c r="GE14" s="392"/>
      <c r="GF14" s="392"/>
      <c r="GG14" s="392"/>
      <c r="GH14" s="392"/>
      <c r="GI14" s="392"/>
      <c r="GJ14" s="392"/>
      <c r="GK14" s="392"/>
      <c r="GL14" s="392"/>
      <c r="GM14" s="392"/>
      <c r="GN14" s="392"/>
      <c r="GO14" s="392"/>
      <c r="GP14" s="392"/>
      <c r="GQ14" s="392"/>
      <c r="GR14" s="392"/>
      <c r="GS14" s="392"/>
      <c r="GT14" s="392"/>
      <c r="GU14" s="392"/>
      <c r="GV14" s="392"/>
      <c r="GW14" s="392"/>
      <c r="GX14" s="392"/>
      <c r="GY14" s="392"/>
      <c r="GZ14" s="392"/>
      <c r="HA14" s="392"/>
      <c r="HB14" s="392"/>
      <c r="HC14" s="392"/>
      <c r="HD14" s="392"/>
      <c r="HE14" s="392"/>
      <c r="HF14" s="392"/>
      <c r="HG14" s="392"/>
      <c r="HH14" s="392"/>
      <c r="HI14" s="392"/>
      <c r="HJ14" s="392"/>
      <c r="HK14" s="392"/>
      <c r="HL14" s="392"/>
      <c r="HM14" s="392"/>
      <c r="HN14" s="392"/>
      <c r="HO14" s="392"/>
      <c r="HP14" s="392"/>
      <c r="HQ14" s="392"/>
      <c r="HR14" s="392"/>
      <c r="HS14" s="392"/>
      <c r="HT14" s="392"/>
      <c r="HU14" s="392"/>
      <c r="HV14" s="392"/>
      <c r="HW14" s="392"/>
      <c r="HX14" s="392"/>
      <c r="HY14" s="392"/>
      <c r="HZ14" s="392"/>
      <c r="IA14" s="392"/>
      <c r="IB14" s="392"/>
      <c r="IC14" s="392"/>
      <c r="ID14" s="392"/>
      <c r="IE14" s="392"/>
      <c r="IF14" s="392"/>
      <c r="IG14" s="392"/>
      <c r="IH14" s="392"/>
      <c r="II14" s="392"/>
      <c r="IJ14" s="392"/>
      <c r="IK14" s="392"/>
      <c r="IL14" s="392"/>
      <c r="IM14" s="392"/>
      <c r="IN14" s="392"/>
      <c r="IO14" s="392"/>
      <c r="IP14" s="392"/>
      <c r="IQ14" s="392"/>
      <c r="IR14" s="392"/>
      <c r="IS14" s="392"/>
      <c r="IT14" s="392"/>
      <c r="IU14" s="392"/>
      <c r="IV14" s="392"/>
      <c r="IW14" s="392"/>
      <c r="IX14" s="392"/>
      <c r="IY14" s="392"/>
      <c r="IZ14" s="392"/>
      <c r="JA14" s="392"/>
      <c r="JB14" s="392"/>
      <c r="JC14" s="392"/>
      <c r="JD14" s="392"/>
      <c r="JE14" s="392"/>
      <c r="JF14" s="392"/>
      <c r="JG14" s="392"/>
      <c r="JH14" s="392"/>
      <c r="JI14" s="392"/>
      <c r="JJ14" s="392"/>
      <c r="JK14" s="392"/>
      <c r="JL14" s="392"/>
      <c r="JM14" s="392"/>
      <c r="JN14" s="392"/>
      <c r="JO14" s="392"/>
      <c r="JP14" s="392"/>
      <c r="JQ14" s="392"/>
      <c r="JR14" s="392"/>
      <c r="JS14" s="392"/>
      <c r="JT14" s="392"/>
      <c r="JU14" s="392"/>
      <c r="JV14" s="392"/>
      <c r="JW14" s="392"/>
      <c r="JX14" s="392"/>
      <c r="JY14" s="392"/>
      <c r="JZ14" s="392"/>
      <c r="KA14" s="392"/>
      <c r="KB14" s="392"/>
      <c r="KC14" s="392"/>
      <c r="KD14" s="392"/>
      <c r="KE14" s="392"/>
      <c r="KF14" s="392"/>
      <c r="KG14" s="392"/>
      <c r="KH14" s="392"/>
      <c r="KI14" s="392"/>
      <c r="KJ14" s="392"/>
      <c r="KK14" s="392"/>
      <c r="KL14" s="392"/>
      <c r="KM14" s="392"/>
      <c r="KN14" s="392"/>
      <c r="KO14" s="392"/>
      <c r="KP14" s="392"/>
      <c r="KQ14" s="392"/>
      <c r="KR14" s="392"/>
      <c r="KS14" s="392"/>
      <c r="KT14" s="392"/>
      <c r="KU14" s="392"/>
      <c r="KV14" s="392"/>
      <c r="KW14" s="392"/>
      <c r="KX14" s="392"/>
      <c r="KY14" s="392"/>
      <c r="KZ14" s="392"/>
      <c r="LA14" s="392"/>
      <c r="LB14" s="392"/>
      <c r="LC14" s="392"/>
      <c r="LD14" s="392"/>
      <c r="LE14" s="392"/>
      <c r="LF14" s="392"/>
      <c r="LG14" s="392"/>
      <c r="LH14" s="392"/>
      <c r="LI14" s="392"/>
      <c r="LJ14" s="392"/>
      <c r="LK14" s="392"/>
      <c r="LL14" s="392"/>
      <c r="LM14" s="392"/>
      <c r="LN14" s="392"/>
      <c r="LO14" s="392"/>
      <c r="LP14" s="392"/>
      <c r="LQ14" s="392"/>
      <c r="LR14" s="392"/>
      <c r="LS14" s="392"/>
      <c r="LT14" s="392"/>
      <c r="LU14" s="392"/>
      <c r="LV14" s="392"/>
      <c r="LW14" s="392"/>
      <c r="LX14" s="392"/>
      <c r="LY14" s="392"/>
      <c r="LZ14" s="392"/>
      <c r="MA14" s="392"/>
      <c r="MB14" s="392"/>
      <c r="MC14" s="392"/>
      <c r="MD14" s="392"/>
      <c r="ME14" s="392"/>
      <c r="MF14" s="392"/>
      <c r="MG14" s="392"/>
      <c r="MH14" s="392"/>
      <c r="MI14" s="392"/>
      <c r="MJ14" s="392"/>
      <c r="MK14" s="392"/>
      <c r="ML14" s="392"/>
      <c r="MM14" s="392"/>
      <c r="MN14" s="392"/>
      <c r="MO14" s="392"/>
      <c r="MP14" s="392"/>
      <c r="MQ14" s="392"/>
      <c r="MR14" s="392"/>
      <c r="MS14" s="392"/>
      <c r="MT14" s="392"/>
      <c r="MU14" s="392"/>
      <c r="MV14" s="392"/>
      <c r="MW14" s="392"/>
      <c r="MX14" s="392"/>
      <c r="MY14" s="392"/>
      <c r="MZ14" s="392"/>
      <c r="NA14" s="392"/>
      <c r="NB14" s="392"/>
      <c r="NC14" s="392"/>
      <c r="ND14" s="392"/>
      <c r="NE14" s="392"/>
      <c r="NF14" s="392"/>
      <c r="NG14" s="392"/>
      <c r="NH14" s="392"/>
      <c r="NI14" s="392"/>
      <c r="NJ14" s="392"/>
      <c r="NK14" s="392"/>
      <c r="NL14" s="392"/>
      <c r="NM14" s="392"/>
      <c r="NN14" s="392"/>
      <c r="NO14" s="392"/>
      <c r="NP14" s="392"/>
      <c r="NQ14" s="392"/>
      <c r="NR14" s="392"/>
      <c r="NS14" s="392"/>
      <c r="NT14" s="392"/>
      <c r="NU14" s="392"/>
      <c r="NV14" s="392"/>
      <c r="NW14" s="392"/>
      <c r="NX14" s="392"/>
      <c r="NY14" s="392"/>
      <c r="NZ14" s="392"/>
      <c r="OA14" s="392"/>
      <c r="OB14" s="392"/>
      <c r="OC14" s="392"/>
      <c r="OD14" s="392"/>
      <c r="OE14" s="392"/>
      <c r="OF14" s="392"/>
      <c r="OG14" s="392"/>
      <c r="OH14" s="392"/>
      <c r="OI14" s="392"/>
      <c r="OJ14" s="392"/>
      <c r="OK14" s="392"/>
      <c r="OL14" s="392"/>
      <c r="OM14" s="392"/>
      <c r="ON14" s="392"/>
      <c r="OO14" s="392"/>
      <c r="OP14" s="392"/>
      <c r="OQ14" s="392"/>
      <c r="OR14" s="392"/>
      <c r="OS14" s="392"/>
      <c r="OT14" s="392"/>
      <c r="OU14" s="392"/>
      <c r="OV14" s="392"/>
      <c r="OW14" s="392"/>
      <c r="OX14" s="392"/>
      <c r="OY14" s="392"/>
      <c r="OZ14" s="392"/>
      <c r="PA14" s="392"/>
      <c r="PB14" s="392"/>
      <c r="PC14" s="392"/>
      <c r="PD14" s="392"/>
      <c r="PE14" s="392"/>
      <c r="PF14" s="392"/>
      <c r="PG14" s="392"/>
      <c r="PH14" s="392"/>
      <c r="PI14" s="392"/>
      <c r="PJ14" s="392"/>
      <c r="PK14" s="392"/>
      <c r="PL14" s="392"/>
      <c r="PM14" s="392"/>
      <c r="PN14" s="392"/>
      <c r="PO14" s="392"/>
      <c r="PP14" s="392"/>
      <c r="PQ14" s="392"/>
      <c r="PR14" s="392"/>
      <c r="PS14" s="392"/>
      <c r="PT14" s="392"/>
      <c r="PU14" s="392"/>
      <c r="PV14" s="392"/>
      <c r="PW14" s="392"/>
      <c r="PX14" s="392"/>
      <c r="PY14" s="392"/>
      <c r="PZ14" s="392"/>
      <c r="QA14" s="392"/>
      <c r="QB14" s="392"/>
      <c r="QC14" s="392"/>
      <c r="QD14" s="392"/>
      <c r="QE14" s="392"/>
      <c r="QF14" s="392"/>
      <c r="QG14" s="392"/>
      <c r="QH14" s="392"/>
      <c r="QI14" s="392"/>
      <c r="QJ14" s="392"/>
      <c r="QK14" s="392"/>
      <c r="QL14" s="392"/>
      <c r="QM14" s="392"/>
      <c r="QN14" s="392"/>
      <c r="QO14" s="392"/>
      <c r="QP14" s="392"/>
      <c r="QQ14" s="392"/>
      <c r="QR14" s="392"/>
      <c r="QS14" s="392"/>
      <c r="QT14" s="392"/>
      <c r="QU14" s="392"/>
      <c r="QV14" s="392"/>
      <c r="QW14" s="392"/>
      <c r="QX14" s="392"/>
      <c r="QY14" s="392"/>
      <c r="QZ14" s="392"/>
      <c r="RA14" s="392"/>
      <c r="RB14" s="392"/>
      <c r="RC14" s="392"/>
      <c r="RD14" s="392"/>
      <c r="RE14" s="392"/>
      <c r="RF14" s="392"/>
      <c r="RG14" s="392"/>
      <c r="RH14" s="392"/>
      <c r="RI14" s="392"/>
      <c r="RJ14" s="392"/>
      <c r="RK14" s="392"/>
      <c r="RL14" s="392"/>
      <c r="RM14" s="392"/>
      <c r="RN14" s="392"/>
      <c r="RO14" s="392"/>
      <c r="RP14" s="392"/>
      <c r="RQ14" s="392"/>
      <c r="RR14" s="392"/>
      <c r="RS14" s="392"/>
      <c r="RT14" s="392"/>
      <c r="RU14" s="392"/>
      <c r="RV14" s="392"/>
      <c r="RW14" s="392"/>
      <c r="RX14" s="392"/>
      <c r="RY14" s="392"/>
      <c r="RZ14" s="392"/>
      <c r="SA14" s="392"/>
      <c r="SB14" s="392"/>
      <c r="SC14" s="392"/>
      <c r="SD14" s="392"/>
      <c r="SE14" s="392"/>
    </row>
    <row r="15" spans="2:499" s="392" customFormat="1" ht="14.45" customHeight="1">
      <c r="B15" s="695" t="s">
        <v>299</v>
      </c>
      <c r="C15" s="695"/>
      <c r="D15" s="695"/>
      <c r="E15" s="695"/>
      <c r="F15" s="695"/>
      <c r="G15" s="695"/>
      <c r="H15" s="390"/>
      <c r="I15" s="390"/>
      <c r="J15" s="23"/>
      <c r="K15" s="23"/>
      <c r="L15" s="23"/>
      <c r="M15" s="390"/>
      <c r="N15" s="390"/>
      <c r="O15" s="390"/>
      <c r="P15" s="390"/>
      <c r="Q15" s="390"/>
      <c r="R15" s="390"/>
      <c r="S15" s="390"/>
      <c r="T15" s="390"/>
      <c r="U15" s="390"/>
      <c r="V15" s="390"/>
      <c r="W15" s="615"/>
      <c r="X15" s="621"/>
      <c r="Y15" s="394"/>
      <c r="Z15" s="394"/>
      <c r="AA15" s="394"/>
    </row>
    <row r="16" spans="2:499" s="390" customFormat="1">
      <c r="B16" s="24" t="s">
        <v>300</v>
      </c>
      <c r="C16" s="24"/>
      <c r="D16" s="24"/>
      <c r="E16" s="24"/>
      <c r="F16" s="24"/>
      <c r="G16" s="24"/>
      <c r="J16" s="23"/>
      <c r="K16" s="23"/>
      <c r="L16" s="23"/>
      <c r="W16" s="614"/>
      <c r="X16" s="614"/>
    </row>
    <row r="17" spans="2:27" s="392" customFormat="1" ht="15" customHeight="1">
      <c r="B17" s="24" t="s">
        <v>301</v>
      </c>
      <c r="C17" s="389"/>
      <c r="D17" s="389"/>
      <c r="E17" s="389"/>
      <c r="F17" s="389"/>
      <c r="G17" s="389"/>
      <c r="H17" s="390"/>
      <c r="I17" s="390"/>
      <c r="J17" s="23"/>
      <c r="K17" s="23"/>
      <c r="L17" s="23"/>
      <c r="M17" s="390"/>
      <c r="N17" s="390"/>
      <c r="O17" s="390"/>
      <c r="P17" s="390"/>
      <c r="Q17" s="390"/>
      <c r="R17" s="390"/>
      <c r="S17" s="390"/>
      <c r="T17" s="390"/>
      <c r="U17" s="390"/>
      <c r="V17" s="390"/>
      <c r="W17" s="615"/>
      <c r="X17" s="616"/>
      <c r="Y17" s="394"/>
      <c r="Z17" s="394"/>
      <c r="AA17" s="394"/>
    </row>
    <row r="18" spans="2:27" s="390" customFormat="1">
      <c r="B18" s="389"/>
      <c r="C18" s="24"/>
      <c r="D18" s="24"/>
      <c r="E18" s="24"/>
      <c r="F18" s="24"/>
      <c r="G18" s="24"/>
      <c r="J18" s="23"/>
      <c r="K18" s="23"/>
      <c r="L18" s="23"/>
      <c r="W18" s="614"/>
      <c r="X18" s="614"/>
    </row>
    <row r="19" spans="2:27" s="390" customFormat="1">
      <c r="B19" s="24"/>
      <c r="G19" s="25"/>
      <c r="J19" s="25"/>
      <c r="K19" s="25"/>
      <c r="L19" s="25"/>
      <c r="W19" s="614"/>
      <c r="X19" s="614"/>
    </row>
    <row r="20" spans="2:27" s="390" customFormat="1">
      <c r="G20" s="26"/>
      <c r="J20" s="26"/>
      <c r="K20" s="26"/>
      <c r="L20" s="26"/>
      <c r="W20" s="614"/>
      <c r="X20" s="614"/>
    </row>
    <row r="21" spans="2:27" s="390" customFormat="1">
      <c r="G21" s="25"/>
      <c r="J21" s="25"/>
      <c r="K21" s="25"/>
      <c r="L21" s="25"/>
      <c r="W21" s="614"/>
      <c r="X21" s="614"/>
    </row>
    <row r="22" spans="2:27" s="390" customFormat="1">
      <c r="W22" s="614"/>
      <c r="X22" s="614"/>
    </row>
    <row r="23" spans="2:27" s="390" customFormat="1">
      <c r="W23" s="614"/>
      <c r="X23" s="614"/>
    </row>
    <row r="24" spans="2:27" s="390" customFormat="1">
      <c r="W24" s="614"/>
      <c r="X24" s="614"/>
    </row>
    <row r="25" spans="2:27" s="390" customFormat="1">
      <c r="W25" s="614"/>
      <c r="X25" s="614"/>
    </row>
    <row r="26" spans="2:27" s="390" customFormat="1">
      <c r="W26" s="614"/>
      <c r="X26" s="614"/>
    </row>
    <row r="27" spans="2:27" s="390" customFormat="1">
      <c r="W27" s="614"/>
      <c r="X27" s="614"/>
    </row>
    <row r="28" spans="2:27" s="390" customFormat="1">
      <c r="W28" s="614"/>
      <c r="X28" s="614"/>
    </row>
    <row r="29" spans="2:27" s="390" customFormat="1">
      <c r="W29" s="614"/>
      <c r="X29" s="614"/>
    </row>
    <row r="30" spans="2:27" s="390" customFormat="1">
      <c r="W30" s="614"/>
      <c r="X30" s="614"/>
    </row>
    <row r="31" spans="2:27" s="390" customFormat="1">
      <c r="W31" s="614"/>
      <c r="X31" s="614"/>
    </row>
    <row r="32" spans="2:27" s="390" customFormat="1">
      <c r="W32" s="614"/>
      <c r="X32" s="614"/>
    </row>
    <row r="33" spans="23:24" s="390" customFormat="1">
      <c r="W33" s="614"/>
      <c r="X33" s="614"/>
    </row>
    <row r="34" spans="23:24" s="390" customFormat="1">
      <c r="W34" s="614"/>
      <c r="X34" s="614"/>
    </row>
    <row r="35" spans="23:24" s="390" customFormat="1">
      <c r="W35" s="614"/>
      <c r="X35" s="614"/>
    </row>
    <row r="36" spans="23:24" s="390" customFormat="1">
      <c r="W36" s="614"/>
      <c r="X36" s="614"/>
    </row>
    <row r="37" spans="23:24" s="390" customFormat="1">
      <c r="W37" s="614"/>
      <c r="X37" s="614"/>
    </row>
    <row r="38" spans="23:24" s="390" customFormat="1">
      <c r="W38" s="614"/>
      <c r="X38" s="614"/>
    </row>
    <row r="39" spans="23:24" s="390" customFormat="1">
      <c r="W39" s="614"/>
      <c r="X39" s="614"/>
    </row>
    <row r="40" spans="23:24" s="390" customFormat="1">
      <c r="W40" s="614"/>
      <c r="X40" s="614"/>
    </row>
    <row r="41" spans="23:24" s="390" customFormat="1">
      <c r="W41" s="614"/>
      <c r="X41" s="614"/>
    </row>
    <row r="42" spans="23:24" s="390" customFormat="1">
      <c r="W42" s="614"/>
      <c r="X42" s="614"/>
    </row>
    <row r="43" spans="23:24" s="390" customFormat="1">
      <c r="W43" s="614"/>
      <c r="X43" s="614"/>
    </row>
    <row r="44" spans="23:24" s="390" customFormat="1">
      <c r="W44" s="614"/>
      <c r="X44" s="614"/>
    </row>
    <row r="45" spans="23:24" s="390" customFormat="1">
      <c r="W45" s="614"/>
      <c r="X45" s="614"/>
    </row>
    <row r="46" spans="23:24" s="390" customFormat="1">
      <c r="W46" s="614"/>
      <c r="X46" s="614"/>
    </row>
    <row r="47" spans="23:24" s="390" customFormat="1">
      <c r="W47" s="614"/>
      <c r="X47" s="614"/>
    </row>
    <row r="48" spans="23:24" s="390" customFormat="1">
      <c r="W48" s="614"/>
      <c r="X48" s="614"/>
    </row>
    <row r="49" spans="23:24" s="390" customFormat="1">
      <c r="W49" s="614"/>
      <c r="X49" s="614"/>
    </row>
    <row r="50" spans="23:24" s="390" customFormat="1">
      <c r="W50" s="614"/>
      <c r="X50" s="614"/>
    </row>
    <row r="51" spans="23:24" s="390" customFormat="1">
      <c r="W51" s="614"/>
      <c r="X51" s="614"/>
    </row>
    <row r="52" spans="23:24" s="390" customFormat="1">
      <c r="W52" s="614"/>
      <c r="X52" s="614"/>
    </row>
    <row r="53" spans="23:24" s="390" customFormat="1">
      <c r="W53" s="614"/>
      <c r="X53" s="614"/>
    </row>
    <row r="54" spans="23:24" s="390" customFormat="1">
      <c r="W54" s="614"/>
      <c r="X54" s="614"/>
    </row>
    <row r="55" spans="23:24" s="390" customFormat="1">
      <c r="W55" s="614"/>
      <c r="X55" s="614"/>
    </row>
    <row r="56" spans="23:24" s="390" customFormat="1">
      <c r="W56" s="614"/>
      <c r="X56" s="614"/>
    </row>
    <row r="57" spans="23:24" s="390" customFormat="1">
      <c r="W57" s="614"/>
      <c r="X57" s="614"/>
    </row>
    <row r="58" spans="23:24" s="390" customFormat="1">
      <c r="W58" s="614"/>
      <c r="X58" s="614"/>
    </row>
    <row r="59" spans="23:24" s="390" customFormat="1">
      <c r="W59" s="614"/>
      <c r="X59" s="614"/>
    </row>
    <row r="60" spans="23:24" s="390" customFormat="1">
      <c r="W60" s="614"/>
      <c r="X60" s="614"/>
    </row>
    <row r="61" spans="23:24" s="390" customFormat="1">
      <c r="W61" s="614"/>
      <c r="X61" s="614"/>
    </row>
    <row r="62" spans="23:24" s="390" customFormat="1">
      <c r="W62" s="614"/>
      <c r="X62" s="614"/>
    </row>
    <row r="63" spans="23:24" s="390" customFormat="1">
      <c r="W63" s="614"/>
      <c r="X63" s="614"/>
    </row>
    <row r="64" spans="23:24" s="390" customFormat="1">
      <c r="W64" s="614"/>
      <c r="X64" s="614"/>
    </row>
    <row r="65" spans="23:24" s="390" customFormat="1">
      <c r="W65" s="614"/>
      <c r="X65" s="614"/>
    </row>
    <row r="66" spans="23:24" s="390" customFormat="1">
      <c r="W66" s="614"/>
      <c r="X66" s="614"/>
    </row>
    <row r="67" spans="23:24" s="390" customFormat="1">
      <c r="W67" s="614"/>
      <c r="X67" s="614"/>
    </row>
    <row r="68" spans="23:24" s="390" customFormat="1">
      <c r="W68" s="614"/>
      <c r="X68" s="614"/>
    </row>
    <row r="69" spans="23:24" s="390" customFormat="1">
      <c r="W69" s="614"/>
      <c r="X69" s="614"/>
    </row>
    <row r="70" spans="23:24" s="390" customFormat="1">
      <c r="W70" s="614"/>
      <c r="X70" s="614"/>
    </row>
    <row r="71" spans="23:24" s="390" customFormat="1">
      <c r="W71" s="614"/>
      <c r="X71" s="614"/>
    </row>
    <row r="72" spans="23:24" s="390" customFormat="1">
      <c r="W72" s="614"/>
      <c r="X72" s="614"/>
    </row>
    <row r="73" spans="23:24" s="390" customFormat="1">
      <c r="W73" s="614"/>
      <c r="X73" s="614"/>
    </row>
    <row r="74" spans="23:24" s="390" customFormat="1">
      <c r="W74" s="614"/>
      <c r="X74" s="614"/>
    </row>
    <row r="75" spans="23:24" s="390" customFormat="1">
      <c r="W75" s="614"/>
      <c r="X75" s="614"/>
    </row>
    <row r="76" spans="23:24" s="390" customFormat="1">
      <c r="W76" s="614"/>
      <c r="X76" s="614"/>
    </row>
    <row r="77" spans="23:24" s="390" customFormat="1">
      <c r="W77" s="614"/>
      <c r="X77" s="614"/>
    </row>
    <row r="78" spans="23:24" s="390" customFormat="1">
      <c r="W78" s="614"/>
      <c r="X78" s="614"/>
    </row>
    <row r="79" spans="23:24" s="390" customFormat="1">
      <c r="W79" s="614"/>
      <c r="X79" s="614"/>
    </row>
    <row r="80" spans="23:24" s="390" customFormat="1">
      <c r="W80" s="614"/>
      <c r="X80" s="614"/>
    </row>
    <row r="81" spans="23:24" s="390" customFormat="1">
      <c r="W81" s="614"/>
      <c r="X81" s="614"/>
    </row>
    <row r="82" spans="23:24" s="390" customFormat="1">
      <c r="W82" s="614"/>
      <c r="X82" s="614"/>
    </row>
    <row r="83" spans="23:24" s="390" customFormat="1">
      <c r="W83" s="614"/>
      <c r="X83" s="614"/>
    </row>
    <row r="84" spans="23:24" s="390" customFormat="1">
      <c r="W84" s="614"/>
      <c r="X84" s="614"/>
    </row>
    <row r="85" spans="23:24" s="390" customFormat="1">
      <c r="W85" s="614"/>
      <c r="X85" s="614"/>
    </row>
    <row r="86" spans="23:24" s="390" customFormat="1">
      <c r="W86" s="614"/>
      <c r="X86" s="614"/>
    </row>
    <row r="87" spans="23:24" s="390" customFormat="1">
      <c r="W87" s="614"/>
      <c r="X87" s="614"/>
    </row>
    <row r="88" spans="23:24" s="390" customFormat="1">
      <c r="W88" s="614"/>
      <c r="X88" s="614"/>
    </row>
    <row r="89" spans="23:24" s="390" customFormat="1">
      <c r="W89" s="614"/>
      <c r="X89" s="614"/>
    </row>
    <row r="90" spans="23:24" s="390" customFormat="1">
      <c r="W90" s="614"/>
      <c r="X90" s="614"/>
    </row>
    <row r="91" spans="23:24" s="390" customFormat="1">
      <c r="W91" s="614"/>
      <c r="X91" s="614"/>
    </row>
    <row r="92" spans="23:24" s="390" customFormat="1">
      <c r="W92" s="614"/>
      <c r="X92" s="614"/>
    </row>
    <row r="93" spans="23:24" s="390" customFormat="1">
      <c r="W93" s="614"/>
      <c r="X93" s="614"/>
    </row>
    <row r="94" spans="23:24" s="390" customFormat="1">
      <c r="W94" s="614"/>
      <c r="X94" s="614"/>
    </row>
    <row r="95" spans="23:24" s="390" customFormat="1">
      <c r="W95" s="614"/>
      <c r="X95" s="614"/>
    </row>
    <row r="96" spans="23:24" s="390" customFormat="1">
      <c r="W96" s="614"/>
      <c r="X96" s="614"/>
    </row>
    <row r="97" spans="23:24" s="390" customFormat="1">
      <c r="W97" s="614"/>
      <c r="X97" s="614"/>
    </row>
    <row r="98" spans="23:24" s="390" customFormat="1">
      <c r="W98" s="614"/>
      <c r="X98" s="614"/>
    </row>
    <row r="99" spans="23:24" s="390" customFormat="1">
      <c r="W99" s="614"/>
      <c r="X99" s="614"/>
    </row>
    <row r="100" spans="23:24" s="390" customFormat="1">
      <c r="W100" s="614"/>
      <c r="X100" s="614"/>
    </row>
    <row r="101" spans="23:24" s="390" customFormat="1">
      <c r="W101" s="614"/>
      <c r="X101" s="614"/>
    </row>
    <row r="102" spans="23:24" s="390" customFormat="1">
      <c r="W102" s="614"/>
      <c r="X102" s="614"/>
    </row>
    <row r="103" spans="23:24" s="390" customFormat="1">
      <c r="W103" s="614"/>
      <c r="X103" s="614"/>
    </row>
    <row r="104" spans="23:24" s="390" customFormat="1">
      <c r="W104" s="614"/>
      <c r="X104" s="614"/>
    </row>
    <row r="105" spans="23:24" s="390" customFormat="1">
      <c r="W105" s="614"/>
      <c r="X105" s="614"/>
    </row>
    <row r="106" spans="23:24" s="390" customFormat="1">
      <c r="W106" s="614"/>
      <c r="X106" s="614"/>
    </row>
    <row r="107" spans="23:24" s="390" customFormat="1">
      <c r="W107" s="614"/>
      <c r="X107" s="614"/>
    </row>
    <row r="108" spans="23:24" s="390" customFormat="1">
      <c r="W108" s="614"/>
      <c r="X108" s="614"/>
    </row>
    <row r="109" spans="23:24" s="390" customFormat="1">
      <c r="W109" s="614"/>
      <c r="X109" s="614"/>
    </row>
    <row r="110" spans="23:24" s="390" customFormat="1">
      <c r="W110" s="614"/>
      <c r="X110" s="614"/>
    </row>
    <row r="111" spans="23:24" s="390" customFormat="1">
      <c r="W111" s="614"/>
      <c r="X111" s="614"/>
    </row>
    <row r="112" spans="23:24" s="390" customFormat="1">
      <c r="W112" s="614"/>
      <c r="X112" s="614"/>
    </row>
    <row r="113" spans="23:24" s="390" customFormat="1">
      <c r="W113" s="614"/>
      <c r="X113" s="614"/>
    </row>
    <row r="114" spans="23:24" s="390" customFormat="1">
      <c r="W114" s="614"/>
      <c r="X114" s="614"/>
    </row>
    <row r="115" spans="23:24" s="390" customFormat="1">
      <c r="W115" s="614"/>
      <c r="X115" s="614"/>
    </row>
    <row r="116" spans="23:24" s="390" customFormat="1">
      <c r="W116" s="614"/>
      <c r="X116" s="614"/>
    </row>
    <row r="117" spans="23:24" s="390" customFormat="1">
      <c r="W117" s="614"/>
      <c r="X117" s="614"/>
    </row>
    <row r="118" spans="23:24" s="390" customFormat="1">
      <c r="W118" s="614"/>
      <c r="X118" s="614"/>
    </row>
    <row r="119" spans="23:24" s="390" customFormat="1">
      <c r="W119" s="614"/>
      <c r="X119" s="614"/>
    </row>
    <row r="120" spans="23:24" s="390" customFormat="1">
      <c r="W120" s="614"/>
      <c r="X120" s="614"/>
    </row>
    <row r="121" spans="23:24" s="390" customFormat="1">
      <c r="W121" s="614"/>
      <c r="X121" s="614"/>
    </row>
    <row r="122" spans="23:24" s="390" customFormat="1">
      <c r="W122" s="614"/>
      <c r="X122" s="614"/>
    </row>
    <row r="123" spans="23:24" s="390" customFormat="1">
      <c r="W123" s="614"/>
      <c r="X123" s="614"/>
    </row>
    <row r="124" spans="23:24" s="390" customFormat="1">
      <c r="W124" s="614"/>
      <c r="X124" s="614"/>
    </row>
    <row r="125" spans="23:24" s="390" customFormat="1">
      <c r="W125" s="614"/>
      <c r="X125" s="614"/>
    </row>
    <row r="126" spans="23:24" s="390" customFormat="1">
      <c r="W126" s="614"/>
      <c r="X126" s="614"/>
    </row>
    <row r="127" spans="23:24" s="390" customFormat="1">
      <c r="W127" s="614"/>
      <c r="X127" s="614"/>
    </row>
    <row r="128" spans="23:24" s="390" customFormat="1">
      <c r="W128" s="614"/>
      <c r="X128" s="614"/>
    </row>
    <row r="129" spans="23:24" s="390" customFormat="1">
      <c r="W129" s="614"/>
      <c r="X129" s="614"/>
    </row>
    <row r="130" spans="23:24" s="390" customFormat="1">
      <c r="W130" s="614"/>
      <c r="X130" s="614"/>
    </row>
    <row r="131" spans="23:24" s="390" customFormat="1">
      <c r="W131" s="614"/>
      <c r="X131" s="614"/>
    </row>
    <row r="132" spans="23:24" s="390" customFormat="1">
      <c r="W132" s="614"/>
      <c r="X132" s="614"/>
    </row>
    <row r="133" spans="23:24" s="390" customFormat="1">
      <c r="W133" s="614"/>
      <c r="X133" s="614"/>
    </row>
    <row r="134" spans="23:24" s="390" customFormat="1">
      <c r="W134" s="614"/>
      <c r="X134" s="614"/>
    </row>
    <row r="135" spans="23:24" s="390" customFormat="1">
      <c r="W135" s="614"/>
      <c r="X135" s="614"/>
    </row>
    <row r="136" spans="23:24" s="390" customFormat="1">
      <c r="W136" s="614"/>
      <c r="X136" s="614"/>
    </row>
    <row r="137" spans="23:24" s="390" customFormat="1">
      <c r="W137" s="614"/>
      <c r="X137" s="614"/>
    </row>
    <row r="138" spans="23:24" s="390" customFormat="1">
      <c r="W138" s="614"/>
      <c r="X138" s="614"/>
    </row>
    <row r="139" spans="23:24" s="390" customFormat="1">
      <c r="W139" s="614"/>
      <c r="X139" s="614"/>
    </row>
    <row r="140" spans="23:24" s="390" customFormat="1">
      <c r="W140" s="614"/>
      <c r="X140" s="614"/>
    </row>
    <row r="141" spans="23:24" s="390" customFormat="1">
      <c r="W141" s="614"/>
      <c r="X141" s="614"/>
    </row>
    <row r="142" spans="23:24" s="390" customFormat="1">
      <c r="W142" s="614"/>
      <c r="X142" s="614"/>
    </row>
    <row r="143" spans="23:24" s="390" customFormat="1">
      <c r="W143" s="614"/>
      <c r="X143" s="614"/>
    </row>
    <row r="144" spans="23:24" s="390" customFormat="1">
      <c r="W144" s="614"/>
      <c r="X144" s="614"/>
    </row>
    <row r="145" spans="23:24" s="390" customFormat="1">
      <c r="W145" s="614"/>
      <c r="X145" s="614"/>
    </row>
    <row r="146" spans="23:24" s="390" customFormat="1">
      <c r="W146" s="614"/>
      <c r="X146" s="614"/>
    </row>
    <row r="147" spans="23:24" s="390" customFormat="1">
      <c r="W147" s="614"/>
      <c r="X147" s="614"/>
    </row>
    <row r="148" spans="23:24" s="390" customFormat="1">
      <c r="W148" s="614"/>
      <c r="X148" s="614"/>
    </row>
    <row r="149" spans="23:24" s="390" customFormat="1">
      <c r="W149" s="614"/>
      <c r="X149" s="614"/>
    </row>
    <row r="150" spans="23:24" s="390" customFormat="1">
      <c r="W150" s="614"/>
      <c r="X150" s="614"/>
    </row>
    <row r="151" spans="23:24" s="390" customFormat="1">
      <c r="W151" s="614"/>
      <c r="X151" s="614"/>
    </row>
    <row r="152" spans="23:24" s="390" customFormat="1">
      <c r="W152" s="614"/>
      <c r="X152" s="614"/>
    </row>
    <row r="153" spans="23:24" s="390" customFormat="1">
      <c r="W153" s="614"/>
      <c r="X153" s="614"/>
    </row>
    <row r="154" spans="23:24" s="390" customFormat="1">
      <c r="W154" s="614"/>
      <c r="X154" s="614"/>
    </row>
    <row r="155" spans="23:24" s="390" customFormat="1">
      <c r="W155" s="614"/>
      <c r="X155" s="614"/>
    </row>
    <row r="156" spans="23:24" s="390" customFormat="1">
      <c r="W156" s="614"/>
      <c r="X156" s="614"/>
    </row>
    <row r="157" spans="23:24" s="390" customFormat="1">
      <c r="W157" s="614"/>
      <c r="X157" s="614"/>
    </row>
    <row r="158" spans="23:24" s="390" customFormat="1">
      <c r="W158" s="614"/>
      <c r="X158" s="614"/>
    </row>
    <row r="159" spans="23:24" s="390" customFormat="1">
      <c r="W159" s="614"/>
      <c r="X159" s="614"/>
    </row>
    <row r="160" spans="23:24" s="390" customFormat="1">
      <c r="W160" s="614"/>
      <c r="X160" s="614"/>
    </row>
    <row r="161" spans="23:24" s="390" customFormat="1">
      <c r="W161" s="614"/>
      <c r="X161" s="614"/>
    </row>
    <row r="162" spans="23:24" s="390" customFormat="1">
      <c r="W162" s="614"/>
      <c r="X162" s="614"/>
    </row>
    <row r="163" spans="23:24" s="390" customFormat="1">
      <c r="W163" s="614"/>
      <c r="X163" s="614"/>
    </row>
    <row r="164" spans="23:24" s="390" customFormat="1">
      <c r="W164" s="614"/>
      <c r="X164" s="614"/>
    </row>
    <row r="165" spans="23:24" s="390" customFormat="1">
      <c r="W165" s="614"/>
      <c r="X165" s="614"/>
    </row>
    <row r="166" spans="23:24" s="390" customFormat="1">
      <c r="W166" s="614"/>
      <c r="X166" s="614"/>
    </row>
    <row r="167" spans="23:24" s="390" customFormat="1">
      <c r="W167" s="614"/>
      <c r="X167" s="614"/>
    </row>
    <row r="168" spans="23:24" s="390" customFormat="1">
      <c r="W168" s="614"/>
      <c r="X168" s="614"/>
    </row>
    <row r="169" spans="23:24" s="390" customFormat="1">
      <c r="W169" s="614"/>
      <c r="X169" s="614"/>
    </row>
    <row r="170" spans="23:24" s="390" customFormat="1">
      <c r="W170" s="614"/>
      <c r="X170" s="614"/>
    </row>
    <row r="171" spans="23:24" s="390" customFormat="1">
      <c r="W171" s="614"/>
      <c r="X171" s="614"/>
    </row>
    <row r="172" spans="23:24" s="390" customFormat="1">
      <c r="W172" s="614"/>
      <c r="X172" s="614"/>
    </row>
    <row r="173" spans="23:24" s="390" customFormat="1">
      <c r="W173" s="614"/>
      <c r="X173" s="614"/>
    </row>
    <row r="174" spans="23:24" s="390" customFormat="1">
      <c r="W174" s="614"/>
      <c r="X174" s="614"/>
    </row>
    <row r="175" spans="23:24" s="390" customFormat="1">
      <c r="W175" s="614"/>
      <c r="X175" s="614"/>
    </row>
    <row r="176" spans="23:24" s="390" customFormat="1">
      <c r="W176" s="614"/>
      <c r="X176" s="614"/>
    </row>
    <row r="177" spans="23:24" s="390" customFormat="1">
      <c r="W177" s="614"/>
      <c r="X177" s="614"/>
    </row>
    <row r="178" spans="23:24" s="390" customFormat="1">
      <c r="W178" s="614"/>
      <c r="X178" s="614"/>
    </row>
    <row r="179" spans="23:24" s="390" customFormat="1">
      <c r="W179" s="614"/>
      <c r="X179" s="614"/>
    </row>
    <row r="180" spans="23:24" s="390" customFormat="1">
      <c r="W180" s="614"/>
      <c r="X180" s="614"/>
    </row>
    <row r="181" spans="23:24" s="390" customFormat="1">
      <c r="W181" s="614"/>
      <c r="X181" s="614"/>
    </row>
    <row r="182" spans="23:24" s="390" customFormat="1">
      <c r="W182" s="614"/>
      <c r="X182" s="614"/>
    </row>
    <row r="183" spans="23:24" s="390" customFormat="1">
      <c r="W183" s="614"/>
      <c r="X183" s="614"/>
    </row>
    <row r="184" spans="23:24" s="390" customFormat="1">
      <c r="W184" s="614"/>
      <c r="X184" s="614"/>
    </row>
    <row r="185" spans="23:24" s="390" customFormat="1">
      <c r="W185" s="614"/>
      <c r="X185" s="614"/>
    </row>
    <row r="186" spans="23:24" s="390" customFormat="1">
      <c r="W186" s="614"/>
      <c r="X186" s="614"/>
    </row>
    <row r="187" spans="23:24" s="390" customFormat="1">
      <c r="W187" s="614"/>
      <c r="X187" s="614"/>
    </row>
    <row r="188" spans="23:24" s="390" customFormat="1">
      <c r="W188" s="614"/>
      <c r="X188" s="614"/>
    </row>
    <row r="189" spans="23:24" s="390" customFormat="1">
      <c r="W189" s="614"/>
      <c r="X189" s="614"/>
    </row>
    <row r="190" spans="23:24" s="390" customFormat="1">
      <c r="W190" s="614"/>
      <c r="X190" s="614"/>
    </row>
    <row r="191" spans="23:24" s="390" customFormat="1">
      <c r="W191" s="614"/>
      <c r="X191" s="614"/>
    </row>
    <row r="192" spans="23:24" s="390" customFormat="1">
      <c r="W192" s="614"/>
      <c r="X192" s="614"/>
    </row>
    <row r="193" spans="23:24" s="390" customFormat="1">
      <c r="W193" s="614"/>
      <c r="X193" s="614"/>
    </row>
    <row r="194" spans="23:24" s="390" customFormat="1">
      <c r="W194" s="614"/>
      <c r="X194" s="614"/>
    </row>
    <row r="195" spans="23:24" s="390" customFormat="1">
      <c r="W195" s="614"/>
      <c r="X195" s="614"/>
    </row>
    <row r="196" spans="23:24" s="390" customFormat="1">
      <c r="W196" s="614"/>
      <c r="X196" s="614"/>
    </row>
    <row r="197" spans="23:24" s="390" customFormat="1">
      <c r="W197" s="614"/>
      <c r="X197" s="614"/>
    </row>
    <row r="198" spans="23:24" s="390" customFormat="1">
      <c r="W198" s="614"/>
      <c r="X198" s="614"/>
    </row>
    <row r="199" spans="23:24" s="390" customFormat="1">
      <c r="W199" s="614"/>
      <c r="X199" s="614"/>
    </row>
    <row r="200" spans="23:24" s="390" customFormat="1">
      <c r="W200" s="614"/>
      <c r="X200" s="614"/>
    </row>
    <row r="201" spans="23:24" s="390" customFormat="1">
      <c r="W201" s="614"/>
      <c r="X201" s="614"/>
    </row>
    <row r="202" spans="23:24" s="390" customFormat="1">
      <c r="W202" s="614"/>
      <c r="X202" s="614"/>
    </row>
    <row r="203" spans="23:24" s="390" customFormat="1">
      <c r="W203" s="614"/>
      <c r="X203" s="614"/>
    </row>
    <row r="204" spans="23:24" s="390" customFormat="1">
      <c r="W204" s="614"/>
      <c r="X204" s="614"/>
    </row>
    <row r="205" spans="23:24" s="390" customFormat="1">
      <c r="W205" s="614"/>
      <c r="X205" s="614"/>
    </row>
    <row r="206" spans="23:24" s="390" customFormat="1">
      <c r="W206" s="614"/>
      <c r="X206" s="614"/>
    </row>
    <row r="207" spans="23:24" s="390" customFormat="1">
      <c r="W207" s="614"/>
      <c r="X207" s="614"/>
    </row>
    <row r="208" spans="23:24" s="390" customFormat="1">
      <c r="W208" s="614"/>
      <c r="X208" s="614"/>
    </row>
    <row r="209" spans="23:24" s="390" customFormat="1">
      <c r="W209" s="614"/>
      <c r="X209" s="614"/>
    </row>
    <row r="210" spans="23:24" s="390" customFormat="1">
      <c r="W210" s="614"/>
      <c r="X210" s="614"/>
    </row>
    <row r="211" spans="23:24" s="390" customFormat="1">
      <c r="W211" s="614"/>
      <c r="X211" s="614"/>
    </row>
    <row r="212" spans="23:24" s="390" customFormat="1">
      <c r="W212" s="614"/>
      <c r="X212" s="614"/>
    </row>
    <row r="213" spans="23:24" s="390" customFormat="1">
      <c r="W213" s="614"/>
      <c r="X213" s="614"/>
    </row>
    <row r="214" spans="23:24" s="390" customFormat="1">
      <c r="W214" s="614"/>
      <c r="X214" s="614"/>
    </row>
    <row r="215" spans="23:24" s="390" customFormat="1">
      <c r="W215" s="614"/>
      <c r="X215" s="614"/>
    </row>
    <row r="216" spans="23:24" s="390" customFormat="1">
      <c r="W216" s="614"/>
      <c r="X216" s="614"/>
    </row>
    <row r="217" spans="23:24" s="390" customFormat="1">
      <c r="W217" s="614"/>
      <c r="X217" s="614"/>
    </row>
    <row r="218" spans="23:24" s="390" customFormat="1">
      <c r="W218" s="614"/>
      <c r="X218" s="614"/>
    </row>
    <row r="219" spans="23:24" s="390" customFormat="1">
      <c r="W219" s="614"/>
      <c r="X219" s="614"/>
    </row>
    <row r="220" spans="23:24" s="390" customFormat="1">
      <c r="W220" s="614"/>
      <c r="X220" s="614"/>
    </row>
    <row r="221" spans="23:24" s="390" customFormat="1">
      <c r="W221" s="614"/>
      <c r="X221" s="614"/>
    </row>
    <row r="222" spans="23:24" s="390" customFormat="1">
      <c r="W222" s="614"/>
      <c r="X222" s="614"/>
    </row>
    <row r="223" spans="23:24" s="390" customFormat="1">
      <c r="W223" s="614"/>
      <c r="X223" s="614"/>
    </row>
    <row r="224" spans="23:24" s="390" customFormat="1">
      <c r="W224" s="614"/>
      <c r="X224" s="614"/>
    </row>
    <row r="225" spans="23:24" s="390" customFormat="1">
      <c r="W225" s="614"/>
      <c r="X225" s="614"/>
    </row>
    <row r="226" spans="23:24" s="390" customFormat="1">
      <c r="W226" s="614"/>
      <c r="X226" s="614"/>
    </row>
    <row r="227" spans="23:24" s="390" customFormat="1">
      <c r="W227" s="614"/>
      <c r="X227" s="614"/>
    </row>
    <row r="228" spans="23:24" s="390" customFormat="1">
      <c r="W228" s="614"/>
      <c r="X228" s="614"/>
    </row>
    <row r="229" spans="23:24" s="390" customFormat="1">
      <c r="W229" s="614"/>
      <c r="X229" s="614"/>
    </row>
    <row r="230" spans="23:24" s="390" customFormat="1">
      <c r="W230" s="614"/>
      <c r="X230" s="614"/>
    </row>
    <row r="231" spans="23:24" s="390" customFormat="1">
      <c r="W231" s="614"/>
      <c r="X231" s="614"/>
    </row>
    <row r="232" spans="23:24" s="390" customFormat="1">
      <c r="W232" s="614"/>
      <c r="X232" s="614"/>
    </row>
    <row r="233" spans="23:24" s="390" customFormat="1">
      <c r="W233" s="614"/>
      <c r="X233" s="614"/>
    </row>
    <row r="234" spans="23:24" s="390" customFormat="1">
      <c r="W234" s="614"/>
      <c r="X234" s="614"/>
    </row>
    <row r="235" spans="23:24" s="390" customFormat="1">
      <c r="W235" s="614"/>
      <c r="X235" s="614"/>
    </row>
    <row r="236" spans="23:24" s="390" customFormat="1">
      <c r="W236" s="614"/>
      <c r="X236" s="614"/>
    </row>
    <row r="237" spans="23:24" s="390" customFormat="1">
      <c r="W237" s="614"/>
      <c r="X237" s="614"/>
    </row>
    <row r="238" spans="23:24" s="390" customFormat="1">
      <c r="W238" s="614"/>
      <c r="X238" s="614"/>
    </row>
    <row r="239" spans="23:24" s="390" customFormat="1">
      <c r="W239" s="614"/>
      <c r="X239" s="614"/>
    </row>
    <row r="240" spans="23:24" s="390" customFormat="1">
      <c r="W240" s="614"/>
      <c r="X240" s="614"/>
    </row>
    <row r="241" spans="23:24" s="390" customFormat="1">
      <c r="W241" s="614"/>
      <c r="X241" s="614"/>
    </row>
    <row r="242" spans="23:24" s="390" customFormat="1">
      <c r="W242" s="614"/>
      <c r="X242" s="614"/>
    </row>
    <row r="243" spans="23:24" s="390" customFormat="1">
      <c r="W243" s="614"/>
      <c r="X243" s="614"/>
    </row>
    <row r="244" spans="23:24" s="390" customFormat="1">
      <c r="W244" s="614"/>
      <c r="X244" s="614"/>
    </row>
    <row r="245" spans="23:24" s="390" customFormat="1">
      <c r="W245" s="614"/>
      <c r="X245" s="614"/>
    </row>
    <row r="246" spans="23:24" s="390" customFormat="1">
      <c r="W246" s="614"/>
      <c r="X246" s="614"/>
    </row>
    <row r="247" spans="23:24" s="390" customFormat="1">
      <c r="W247" s="614"/>
      <c r="X247" s="614"/>
    </row>
    <row r="248" spans="23:24" s="390" customFormat="1">
      <c r="W248" s="614"/>
      <c r="X248" s="614"/>
    </row>
    <row r="249" spans="23:24" s="390" customFormat="1">
      <c r="W249" s="614"/>
      <c r="X249" s="614"/>
    </row>
    <row r="250" spans="23:24" s="390" customFormat="1">
      <c r="W250" s="614"/>
      <c r="X250" s="614"/>
    </row>
    <row r="251" spans="23:24" s="390" customFormat="1">
      <c r="W251" s="614"/>
      <c r="X251" s="614"/>
    </row>
    <row r="252" spans="23:24" s="390" customFormat="1">
      <c r="W252" s="614"/>
      <c r="X252" s="614"/>
    </row>
    <row r="253" spans="23:24" s="390" customFormat="1">
      <c r="W253" s="614"/>
      <c r="X253" s="614"/>
    </row>
    <row r="254" spans="23:24" s="390" customFormat="1">
      <c r="W254" s="614"/>
      <c r="X254" s="614"/>
    </row>
    <row r="255" spans="23:24" s="390" customFormat="1">
      <c r="W255" s="614"/>
      <c r="X255" s="614"/>
    </row>
    <row r="256" spans="23:24" s="390" customFormat="1">
      <c r="W256" s="614"/>
      <c r="X256" s="614"/>
    </row>
    <row r="257" spans="23:24" s="390" customFormat="1">
      <c r="W257" s="614"/>
      <c r="X257" s="614"/>
    </row>
    <row r="258" spans="23:24" s="390" customFormat="1">
      <c r="W258" s="614"/>
      <c r="X258" s="614"/>
    </row>
    <row r="259" spans="23:24" s="390" customFormat="1">
      <c r="W259" s="614"/>
      <c r="X259" s="614"/>
    </row>
    <row r="260" spans="23:24" s="390" customFormat="1">
      <c r="W260" s="614"/>
      <c r="X260" s="614"/>
    </row>
    <row r="261" spans="23:24" s="390" customFormat="1">
      <c r="W261" s="614"/>
      <c r="X261" s="614"/>
    </row>
    <row r="262" spans="23:24" s="390" customFormat="1">
      <c r="W262" s="614"/>
      <c r="X262" s="614"/>
    </row>
    <row r="263" spans="23:24" s="390" customFormat="1">
      <c r="W263" s="614"/>
      <c r="X263" s="614"/>
    </row>
    <row r="264" spans="23:24" s="390" customFormat="1">
      <c r="W264" s="614"/>
      <c r="X264" s="614"/>
    </row>
    <row r="265" spans="23:24" s="390" customFormat="1">
      <c r="W265" s="614"/>
      <c r="X265" s="614"/>
    </row>
    <row r="266" spans="23:24" s="390" customFormat="1">
      <c r="W266" s="614"/>
      <c r="X266" s="614"/>
    </row>
    <row r="267" spans="23:24" s="390" customFormat="1">
      <c r="W267" s="614"/>
      <c r="X267" s="614"/>
    </row>
    <row r="268" spans="23:24" s="390" customFormat="1">
      <c r="W268" s="614"/>
      <c r="X268" s="614"/>
    </row>
    <row r="269" spans="23:24" s="390" customFormat="1">
      <c r="W269" s="614"/>
      <c r="X269" s="614"/>
    </row>
    <row r="270" spans="23:24" s="390" customFormat="1">
      <c r="W270" s="614"/>
      <c r="X270" s="614"/>
    </row>
    <row r="271" spans="23:24" s="390" customFormat="1">
      <c r="W271" s="614"/>
      <c r="X271" s="614"/>
    </row>
    <row r="272" spans="23:24" s="390" customFormat="1">
      <c r="W272" s="614"/>
      <c r="X272" s="614"/>
    </row>
    <row r="273" spans="23:24" s="390" customFormat="1">
      <c r="W273" s="614"/>
      <c r="X273" s="614"/>
    </row>
    <row r="274" spans="23:24" s="390" customFormat="1">
      <c r="W274" s="614"/>
      <c r="X274" s="614"/>
    </row>
    <row r="275" spans="23:24" s="390" customFormat="1">
      <c r="W275" s="614"/>
      <c r="X275" s="614"/>
    </row>
    <row r="276" spans="23:24" s="390" customFormat="1">
      <c r="W276" s="614"/>
      <c r="X276" s="614"/>
    </row>
    <row r="277" spans="23:24" s="390" customFormat="1">
      <c r="W277" s="614"/>
      <c r="X277" s="614"/>
    </row>
    <row r="278" spans="23:24" s="390" customFormat="1">
      <c r="W278" s="614"/>
      <c r="X278" s="614"/>
    </row>
    <row r="279" spans="23:24" s="390" customFormat="1">
      <c r="W279" s="614"/>
      <c r="X279" s="614"/>
    </row>
    <row r="280" spans="23:24" s="390" customFormat="1">
      <c r="W280" s="614"/>
      <c r="X280" s="614"/>
    </row>
    <row r="281" spans="23:24" s="390" customFormat="1">
      <c r="W281" s="614"/>
      <c r="X281" s="614"/>
    </row>
    <row r="282" spans="23:24" s="390" customFormat="1">
      <c r="W282" s="614"/>
      <c r="X282" s="614"/>
    </row>
    <row r="283" spans="23:24" s="390" customFormat="1">
      <c r="W283" s="614"/>
      <c r="X283" s="614"/>
    </row>
    <row r="284" spans="23:24" s="390" customFormat="1">
      <c r="W284" s="614"/>
      <c r="X284" s="614"/>
    </row>
    <row r="285" spans="23:24" s="390" customFormat="1">
      <c r="W285" s="614"/>
      <c r="X285" s="614"/>
    </row>
    <row r="286" spans="23:24" s="390" customFormat="1">
      <c r="W286" s="614"/>
      <c r="X286" s="614"/>
    </row>
    <row r="287" spans="23:24" s="390" customFormat="1">
      <c r="W287" s="614"/>
      <c r="X287" s="614"/>
    </row>
    <row r="288" spans="23:24" s="390" customFormat="1">
      <c r="W288" s="614"/>
      <c r="X288" s="614"/>
    </row>
    <row r="289" spans="23:24" s="390" customFormat="1">
      <c r="W289" s="614"/>
      <c r="X289" s="614"/>
    </row>
    <row r="290" spans="23:24" s="390" customFormat="1">
      <c r="W290" s="614"/>
      <c r="X290" s="614"/>
    </row>
    <row r="291" spans="23:24" s="390" customFormat="1">
      <c r="W291" s="614"/>
      <c r="X291" s="614"/>
    </row>
    <row r="292" spans="23:24" s="390" customFormat="1">
      <c r="W292" s="614"/>
      <c r="X292" s="614"/>
    </row>
    <row r="293" spans="23:24" s="390" customFormat="1">
      <c r="W293" s="614"/>
      <c r="X293" s="614"/>
    </row>
    <row r="294" spans="23:24" s="390" customFormat="1">
      <c r="W294" s="614"/>
      <c r="X294" s="614"/>
    </row>
    <row r="295" spans="23:24" s="390" customFormat="1">
      <c r="W295" s="614"/>
      <c r="X295" s="614"/>
    </row>
    <row r="296" spans="23:24" s="390" customFormat="1">
      <c r="W296" s="614"/>
      <c r="X296" s="614"/>
    </row>
    <row r="297" spans="23:24" s="390" customFormat="1">
      <c r="W297" s="614"/>
      <c r="X297" s="614"/>
    </row>
    <row r="298" spans="23:24" s="390" customFormat="1">
      <c r="W298" s="614"/>
      <c r="X298" s="614"/>
    </row>
    <row r="299" spans="23:24" s="390" customFormat="1">
      <c r="W299" s="614"/>
      <c r="X299" s="614"/>
    </row>
    <row r="300" spans="23:24" s="390" customFormat="1">
      <c r="W300" s="614"/>
      <c r="X300" s="614"/>
    </row>
    <row r="301" spans="23:24" s="390" customFormat="1">
      <c r="W301" s="614"/>
      <c r="X301" s="614"/>
    </row>
    <row r="302" spans="23:24" s="390" customFormat="1">
      <c r="W302" s="614"/>
      <c r="X302" s="614"/>
    </row>
    <row r="303" spans="23:24" s="390" customFormat="1">
      <c r="W303" s="614"/>
      <c r="X303" s="614"/>
    </row>
    <row r="304" spans="23:24" s="390" customFormat="1">
      <c r="W304" s="614"/>
      <c r="X304" s="614"/>
    </row>
    <row r="305" spans="23:24" s="390" customFormat="1">
      <c r="W305" s="614"/>
      <c r="X305" s="614"/>
    </row>
    <row r="306" spans="23:24" s="390" customFormat="1">
      <c r="W306" s="614"/>
      <c r="X306" s="614"/>
    </row>
    <row r="307" spans="23:24" s="390" customFormat="1">
      <c r="W307" s="614"/>
      <c r="X307" s="614"/>
    </row>
    <row r="308" spans="23:24" s="390" customFormat="1">
      <c r="W308" s="614"/>
      <c r="X308" s="614"/>
    </row>
    <row r="309" spans="23:24" s="390" customFormat="1">
      <c r="W309" s="614"/>
      <c r="X309" s="614"/>
    </row>
    <row r="310" spans="23:24" s="390" customFormat="1">
      <c r="W310" s="614"/>
      <c r="X310" s="614"/>
    </row>
    <row r="311" spans="23:24" s="390" customFormat="1">
      <c r="W311" s="614"/>
      <c r="X311" s="614"/>
    </row>
    <row r="312" spans="23:24" s="390" customFormat="1">
      <c r="W312" s="614"/>
      <c r="X312" s="614"/>
    </row>
    <row r="313" spans="23:24" s="390" customFormat="1">
      <c r="W313" s="614"/>
      <c r="X313" s="614"/>
    </row>
    <row r="314" spans="23:24" s="390" customFormat="1">
      <c r="W314" s="614"/>
      <c r="X314" s="614"/>
    </row>
    <row r="315" spans="23:24" s="390" customFormat="1">
      <c r="W315" s="614"/>
      <c r="X315" s="614"/>
    </row>
    <row r="316" spans="23:24" s="390" customFormat="1">
      <c r="W316" s="614"/>
      <c r="X316" s="614"/>
    </row>
    <row r="317" spans="23:24" s="390" customFormat="1">
      <c r="W317" s="614"/>
      <c r="X317" s="614"/>
    </row>
    <row r="318" spans="23:24" s="390" customFormat="1">
      <c r="W318" s="614"/>
      <c r="X318" s="614"/>
    </row>
    <row r="319" spans="23:24" s="390" customFormat="1">
      <c r="W319" s="614"/>
      <c r="X319" s="614"/>
    </row>
    <row r="320" spans="23:24" s="390" customFormat="1">
      <c r="W320" s="614"/>
      <c r="X320" s="614"/>
    </row>
    <row r="321" spans="23:24" s="390" customFormat="1">
      <c r="W321" s="614"/>
      <c r="X321" s="614"/>
    </row>
    <row r="322" spans="23:24" s="390" customFormat="1">
      <c r="W322" s="614"/>
      <c r="X322" s="614"/>
    </row>
    <row r="323" spans="23:24" s="390" customFormat="1">
      <c r="W323" s="614"/>
      <c r="X323" s="614"/>
    </row>
    <row r="324" spans="23:24" s="390" customFormat="1">
      <c r="W324" s="614"/>
      <c r="X324" s="614"/>
    </row>
    <row r="325" spans="23:24" s="390" customFormat="1">
      <c r="W325" s="614"/>
      <c r="X325" s="614"/>
    </row>
    <row r="326" spans="23:24" s="390" customFormat="1">
      <c r="W326" s="614"/>
      <c r="X326" s="614"/>
    </row>
    <row r="327" spans="23:24" s="390" customFormat="1">
      <c r="W327" s="614"/>
      <c r="X327" s="614"/>
    </row>
    <row r="328" spans="23:24" s="390" customFormat="1">
      <c r="W328" s="614"/>
      <c r="X328" s="614"/>
    </row>
    <row r="329" spans="23:24" s="390" customFormat="1">
      <c r="W329" s="614"/>
      <c r="X329" s="614"/>
    </row>
    <row r="330" spans="23:24" s="390" customFormat="1">
      <c r="W330" s="614"/>
      <c r="X330" s="614"/>
    </row>
    <row r="331" spans="23:24" s="390" customFormat="1">
      <c r="W331" s="614"/>
      <c r="X331" s="614"/>
    </row>
    <row r="332" spans="23:24" s="390" customFormat="1">
      <c r="W332" s="614"/>
      <c r="X332" s="614"/>
    </row>
    <row r="333" spans="23:24" s="390" customFormat="1">
      <c r="W333" s="614"/>
      <c r="X333" s="614"/>
    </row>
    <row r="334" spans="23:24" s="390" customFormat="1">
      <c r="W334" s="614"/>
      <c r="X334" s="614"/>
    </row>
    <row r="335" spans="23:24" s="390" customFormat="1">
      <c r="W335" s="614"/>
      <c r="X335" s="614"/>
    </row>
    <row r="336" spans="23:24" s="390" customFormat="1">
      <c r="W336" s="614"/>
      <c r="X336" s="614"/>
    </row>
    <row r="337" spans="23:24" s="390" customFormat="1">
      <c r="W337" s="614"/>
      <c r="X337" s="614"/>
    </row>
    <row r="338" spans="23:24" s="390" customFormat="1">
      <c r="W338" s="614"/>
      <c r="X338" s="614"/>
    </row>
    <row r="339" spans="23:24" s="390" customFormat="1">
      <c r="W339" s="614"/>
      <c r="X339" s="614"/>
    </row>
    <row r="340" spans="23:24" s="390" customFormat="1">
      <c r="W340" s="614"/>
      <c r="X340" s="614"/>
    </row>
    <row r="341" spans="23:24" s="390" customFormat="1">
      <c r="W341" s="614"/>
      <c r="X341" s="614"/>
    </row>
    <row r="342" spans="23:24" s="390" customFormat="1">
      <c r="W342" s="614"/>
      <c r="X342" s="614"/>
    </row>
    <row r="343" spans="23:24" s="390" customFormat="1">
      <c r="W343" s="614"/>
      <c r="X343" s="614"/>
    </row>
    <row r="344" spans="23:24" s="390" customFormat="1">
      <c r="W344" s="614"/>
      <c r="X344" s="614"/>
    </row>
    <row r="345" spans="23:24" s="390" customFormat="1">
      <c r="W345" s="614"/>
      <c r="X345" s="614"/>
    </row>
    <row r="346" spans="23:24" s="390" customFormat="1">
      <c r="W346" s="614"/>
      <c r="X346" s="614"/>
    </row>
    <row r="347" spans="23:24" s="390" customFormat="1">
      <c r="W347" s="614"/>
      <c r="X347" s="614"/>
    </row>
    <row r="348" spans="23:24" s="390" customFormat="1">
      <c r="W348" s="614"/>
      <c r="X348" s="614"/>
    </row>
    <row r="349" spans="23:24" s="390" customFormat="1">
      <c r="W349" s="614"/>
      <c r="X349" s="614"/>
    </row>
    <row r="350" spans="23:24" s="390" customFormat="1">
      <c r="W350" s="614"/>
      <c r="X350" s="614"/>
    </row>
    <row r="351" spans="23:24" s="390" customFormat="1">
      <c r="W351" s="614"/>
      <c r="X351" s="614"/>
    </row>
    <row r="352" spans="23:24" s="390" customFormat="1">
      <c r="W352" s="614"/>
      <c r="X352" s="614"/>
    </row>
    <row r="353" spans="23:24" s="390" customFormat="1">
      <c r="W353" s="614"/>
      <c r="X353" s="614"/>
    </row>
    <row r="354" spans="23:24" s="390" customFormat="1">
      <c r="W354" s="614"/>
      <c r="X354" s="614"/>
    </row>
    <row r="355" spans="23:24" s="390" customFormat="1">
      <c r="W355" s="614"/>
      <c r="X355" s="614"/>
    </row>
    <row r="356" spans="23:24" s="390" customFormat="1">
      <c r="W356" s="614"/>
      <c r="X356" s="614"/>
    </row>
    <row r="357" spans="23:24" s="390" customFormat="1">
      <c r="W357" s="614"/>
      <c r="X357" s="614"/>
    </row>
    <row r="358" spans="23:24" s="390" customFormat="1">
      <c r="W358" s="614"/>
      <c r="X358" s="614"/>
    </row>
    <row r="359" spans="23:24" s="390" customFormat="1">
      <c r="W359" s="614"/>
      <c r="X359" s="614"/>
    </row>
    <row r="360" spans="23:24" s="390" customFormat="1">
      <c r="W360" s="614"/>
      <c r="X360" s="614"/>
    </row>
    <row r="361" spans="23:24" s="390" customFormat="1">
      <c r="W361" s="614"/>
      <c r="X361" s="614"/>
    </row>
    <row r="362" spans="23:24" s="390" customFormat="1">
      <c r="W362" s="614"/>
      <c r="X362" s="614"/>
    </row>
    <row r="363" spans="23:24" s="390" customFormat="1">
      <c r="W363" s="614"/>
      <c r="X363" s="614"/>
    </row>
    <row r="364" spans="23:24" s="390" customFormat="1">
      <c r="W364" s="614"/>
      <c r="X364" s="614"/>
    </row>
    <row r="365" spans="23:24" s="390" customFormat="1">
      <c r="W365" s="614"/>
      <c r="X365" s="614"/>
    </row>
    <row r="366" spans="23:24" s="390" customFormat="1">
      <c r="W366" s="614"/>
      <c r="X366" s="614"/>
    </row>
    <row r="367" spans="23:24" s="390" customFormat="1">
      <c r="W367" s="614"/>
      <c r="X367" s="614"/>
    </row>
    <row r="368" spans="23:24" s="390" customFormat="1">
      <c r="W368" s="614"/>
      <c r="X368" s="614"/>
    </row>
    <row r="369" spans="23:24" s="390" customFormat="1">
      <c r="W369" s="614"/>
      <c r="X369" s="614"/>
    </row>
    <row r="370" spans="23:24" s="390" customFormat="1">
      <c r="W370" s="614"/>
      <c r="X370" s="614"/>
    </row>
    <row r="371" spans="23:24" s="390" customFormat="1">
      <c r="W371" s="614"/>
      <c r="X371" s="614"/>
    </row>
    <row r="372" spans="23:24" s="390" customFormat="1">
      <c r="W372" s="614"/>
      <c r="X372" s="614"/>
    </row>
    <row r="373" spans="23:24" s="390" customFormat="1">
      <c r="W373" s="614"/>
      <c r="X373" s="614"/>
    </row>
    <row r="374" spans="23:24" s="390" customFormat="1">
      <c r="W374" s="614"/>
      <c r="X374" s="614"/>
    </row>
    <row r="375" spans="23:24" s="390" customFormat="1">
      <c r="W375" s="614"/>
      <c r="X375" s="614"/>
    </row>
    <row r="376" spans="23:24" s="390" customFormat="1">
      <c r="W376" s="614"/>
      <c r="X376" s="614"/>
    </row>
    <row r="377" spans="23:24" s="390" customFormat="1">
      <c r="W377" s="614"/>
      <c r="X377" s="614"/>
    </row>
    <row r="378" spans="23:24" s="390" customFormat="1">
      <c r="W378" s="614"/>
      <c r="X378" s="614"/>
    </row>
    <row r="379" spans="23:24" s="390" customFormat="1">
      <c r="W379" s="614"/>
      <c r="X379" s="614"/>
    </row>
    <row r="380" spans="23:24" s="390" customFormat="1">
      <c r="W380" s="614"/>
      <c r="X380" s="614"/>
    </row>
    <row r="381" spans="23:24" s="390" customFormat="1">
      <c r="W381" s="614"/>
      <c r="X381" s="614"/>
    </row>
    <row r="382" spans="23:24" s="390" customFormat="1">
      <c r="W382" s="614"/>
      <c r="X382" s="614"/>
    </row>
    <row r="383" spans="23:24" s="390" customFormat="1">
      <c r="W383" s="614"/>
      <c r="X383" s="614"/>
    </row>
    <row r="384" spans="23:24" s="390" customFormat="1">
      <c r="W384" s="614"/>
      <c r="X384" s="614"/>
    </row>
    <row r="385" spans="23:24" s="390" customFormat="1">
      <c r="W385" s="614"/>
      <c r="X385" s="614"/>
    </row>
    <row r="386" spans="23:24" s="390" customFormat="1">
      <c r="W386" s="614"/>
      <c r="X386" s="614"/>
    </row>
    <row r="387" spans="23:24" s="390" customFormat="1">
      <c r="W387" s="614"/>
      <c r="X387" s="614"/>
    </row>
    <row r="388" spans="23:24" s="390" customFormat="1">
      <c r="W388" s="614"/>
      <c r="X388" s="614"/>
    </row>
    <row r="389" spans="23:24" s="390" customFormat="1">
      <c r="W389" s="614"/>
      <c r="X389" s="614"/>
    </row>
    <row r="390" spans="23:24" s="390" customFormat="1">
      <c r="W390" s="614"/>
      <c r="X390" s="614"/>
    </row>
    <row r="391" spans="23:24" s="390" customFormat="1">
      <c r="W391" s="614"/>
      <c r="X391" s="614"/>
    </row>
    <row r="392" spans="23:24" s="390" customFormat="1">
      <c r="W392" s="614"/>
      <c r="X392" s="614"/>
    </row>
    <row r="393" spans="23:24" s="390" customFormat="1">
      <c r="W393" s="614"/>
      <c r="X393" s="614"/>
    </row>
    <row r="394" spans="23:24" s="390" customFormat="1">
      <c r="W394" s="614"/>
      <c r="X394" s="614"/>
    </row>
    <row r="395" spans="23:24" s="390" customFormat="1">
      <c r="W395" s="614"/>
      <c r="X395" s="614"/>
    </row>
    <row r="396" spans="23:24" s="390" customFormat="1">
      <c r="W396" s="614"/>
      <c r="X396" s="614"/>
    </row>
    <row r="397" spans="23:24" s="390" customFormat="1">
      <c r="W397" s="614"/>
      <c r="X397" s="614"/>
    </row>
    <row r="398" spans="23:24" s="390" customFormat="1">
      <c r="W398" s="614"/>
      <c r="X398" s="614"/>
    </row>
    <row r="399" spans="23:24" s="390" customFormat="1">
      <c r="W399" s="614"/>
      <c r="X399" s="614"/>
    </row>
    <row r="400" spans="23:24" s="390" customFormat="1">
      <c r="W400" s="614"/>
      <c r="X400" s="614"/>
    </row>
    <row r="401" spans="23:24" s="390" customFormat="1">
      <c r="W401" s="614"/>
      <c r="X401" s="614"/>
    </row>
    <row r="402" spans="23:24" s="390" customFormat="1">
      <c r="W402" s="614"/>
      <c r="X402" s="614"/>
    </row>
    <row r="403" spans="23:24" s="390" customFormat="1">
      <c r="W403" s="614"/>
      <c r="X403" s="614"/>
    </row>
    <row r="404" spans="23:24" s="390" customFormat="1">
      <c r="W404" s="614"/>
      <c r="X404" s="614"/>
    </row>
    <row r="405" spans="23:24" s="390" customFormat="1">
      <c r="W405" s="614"/>
      <c r="X405" s="614"/>
    </row>
    <row r="406" spans="23:24" s="390" customFormat="1">
      <c r="W406" s="614"/>
      <c r="X406" s="614"/>
    </row>
    <row r="407" spans="23:24" s="390" customFormat="1">
      <c r="W407" s="614"/>
      <c r="X407" s="614"/>
    </row>
    <row r="408" spans="23:24" s="390" customFormat="1">
      <c r="W408" s="614"/>
      <c r="X408" s="614"/>
    </row>
    <row r="409" spans="23:24" s="390" customFormat="1">
      <c r="W409" s="614"/>
      <c r="X409" s="614"/>
    </row>
    <row r="410" spans="23:24" s="390" customFormat="1">
      <c r="W410" s="614"/>
      <c r="X410" s="614"/>
    </row>
    <row r="411" spans="23:24" s="390" customFormat="1">
      <c r="W411" s="614"/>
      <c r="X411" s="614"/>
    </row>
    <row r="412" spans="23:24" s="390" customFormat="1">
      <c r="W412" s="614"/>
      <c r="X412" s="614"/>
    </row>
    <row r="413" spans="23:24" s="390" customFormat="1">
      <c r="W413" s="614"/>
      <c r="X413" s="614"/>
    </row>
    <row r="414" spans="23:24" s="390" customFormat="1">
      <c r="W414" s="614"/>
      <c r="X414" s="614"/>
    </row>
    <row r="415" spans="23:24" s="390" customFormat="1">
      <c r="W415" s="614"/>
      <c r="X415" s="614"/>
    </row>
    <row r="416" spans="23:24" s="390" customFormat="1">
      <c r="W416" s="614"/>
      <c r="X416" s="614"/>
    </row>
    <row r="417" spans="23:24" s="390" customFormat="1">
      <c r="W417" s="614"/>
      <c r="X417" s="614"/>
    </row>
    <row r="418" spans="23:24" s="390" customFormat="1">
      <c r="W418" s="614"/>
      <c r="X418" s="614"/>
    </row>
    <row r="419" spans="23:24" s="390" customFormat="1">
      <c r="W419" s="614"/>
      <c r="X419" s="614"/>
    </row>
    <row r="420" spans="23:24" s="390" customFormat="1">
      <c r="W420" s="614"/>
      <c r="X420" s="614"/>
    </row>
    <row r="421" spans="23:24" s="390" customFormat="1">
      <c r="W421" s="614"/>
      <c r="X421" s="614"/>
    </row>
    <row r="422" spans="23:24" s="390" customFormat="1">
      <c r="W422" s="614"/>
      <c r="X422" s="614"/>
    </row>
    <row r="423" spans="23:24" s="390" customFormat="1">
      <c r="W423" s="614"/>
      <c r="X423" s="614"/>
    </row>
    <row r="424" spans="23:24" s="390" customFormat="1">
      <c r="W424" s="614"/>
      <c r="X424" s="614"/>
    </row>
    <row r="425" spans="23:24" s="390" customFormat="1">
      <c r="W425" s="614"/>
      <c r="X425" s="614"/>
    </row>
    <row r="426" spans="23:24" s="390" customFormat="1">
      <c r="W426" s="614"/>
      <c r="X426" s="614"/>
    </row>
    <row r="427" spans="23:24" s="390" customFormat="1">
      <c r="W427" s="614"/>
      <c r="X427" s="614"/>
    </row>
    <row r="428" spans="23:24" s="390" customFormat="1">
      <c r="W428" s="614"/>
      <c r="X428" s="614"/>
    </row>
    <row r="429" spans="23:24" s="390" customFormat="1">
      <c r="W429" s="614"/>
      <c r="X429" s="614"/>
    </row>
    <row r="430" spans="23:24" s="390" customFormat="1">
      <c r="W430" s="614"/>
      <c r="X430" s="614"/>
    </row>
    <row r="431" spans="23:24" s="390" customFormat="1">
      <c r="W431" s="614"/>
      <c r="X431" s="614"/>
    </row>
    <row r="432" spans="23:24" s="390" customFormat="1">
      <c r="W432" s="614"/>
      <c r="X432" s="614"/>
    </row>
    <row r="433" spans="23:24" s="390" customFormat="1">
      <c r="W433" s="614"/>
      <c r="X433" s="614"/>
    </row>
    <row r="434" spans="23:24" s="390" customFormat="1">
      <c r="W434" s="614"/>
      <c r="X434" s="614"/>
    </row>
    <row r="435" spans="23:24" s="390" customFormat="1">
      <c r="W435" s="614"/>
      <c r="X435" s="614"/>
    </row>
    <row r="436" spans="23:24" s="390" customFormat="1">
      <c r="W436" s="614"/>
      <c r="X436" s="614"/>
    </row>
    <row r="437" spans="23:24" s="390" customFormat="1">
      <c r="W437" s="614"/>
      <c r="X437" s="614"/>
    </row>
    <row r="438" spans="23:24" s="390" customFormat="1">
      <c r="W438" s="614"/>
      <c r="X438" s="614"/>
    </row>
    <row r="439" spans="23:24" s="390" customFormat="1">
      <c r="W439" s="614"/>
      <c r="X439" s="614"/>
    </row>
    <row r="440" spans="23:24" s="390" customFormat="1">
      <c r="W440" s="614"/>
      <c r="X440" s="614"/>
    </row>
    <row r="441" spans="23:24" s="390" customFormat="1">
      <c r="W441" s="614"/>
      <c r="X441" s="614"/>
    </row>
    <row r="442" spans="23:24" s="390" customFormat="1">
      <c r="W442" s="614"/>
      <c r="X442" s="614"/>
    </row>
    <row r="443" spans="23:24" s="390" customFormat="1">
      <c r="W443" s="614"/>
      <c r="X443" s="614"/>
    </row>
    <row r="444" spans="23:24" s="390" customFormat="1">
      <c r="W444" s="614"/>
      <c r="X444" s="614"/>
    </row>
    <row r="445" spans="23:24" s="390" customFormat="1">
      <c r="W445" s="614"/>
      <c r="X445" s="614"/>
    </row>
    <row r="446" spans="23:24" s="390" customFormat="1">
      <c r="W446" s="614"/>
      <c r="X446" s="614"/>
    </row>
    <row r="447" spans="23:24" s="390" customFormat="1">
      <c r="W447" s="614"/>
      <c r="X447" s="614"/>
    </row>
    <row r="448" spans="23:24" s="390" customFormat="1">
      <c r="W448" s="614"/>
      <c r="X448" s="614"/>
    </row>
    <row r="449" spans="23:24" s="390" customFormat="1">
      <c r="W449" s="614"/>
      <c r="X449" s="614"/>
    </row>
    <row r="450" spans="23:24" s="390" customFormat="1">
      <c r="W450" s="614"/>
      <c r="X450" s="614"/>
    </row>
    <row r="451" spans="23:24" s="390" customFormat="1">
      <c r="W451" s="614"/>
      <c r="X451" s="614"/>
    </row>
    <row r="452" spans="23:24" s="390" customFormat="1">
      <c r="W452" s="614"/>
      <c r="X452" s="614"/>
    </row>
    <row r="453" spans="23:24" s="390" customFormat="1">
      <c r="W453" s="614"/>
      <c r="X453" s="614"/>
    </row>
    <row r="454" spans="23:24" s="390" customFormat="1">
      <c r="W454" s="614"/>
      <c r="X454" s="614"/>
    </row>
    <row r="455" spans="23:24" s="390" customFormat="1">
      <c r="W455" s="614"/>
      <c r="X455" s="614"/>
    </row>
    <row r="456" spans="23:24" s="390" customFormat="1">
      <c r="W456" s="614"/>
      <c r="X456" s="614"/>
    </row>
    <row r="457" spans="23:24" s="390" customFormat="1">
      <c r="W457" s="614"/>
      <c r="X457" s="614"/>
    </row>
    <row r="458" spans="23:24" s="390" customFormat="1">
      <c r="W458" s="614"/>
      <c r="X458" s="614"/>
    </row>
    <row r="459" spans="23:24" s="390" customFormat="1">
      <c r="W459" s="614"/>
      <c r="X459" s="614"/>
    </row>
    <row r="460" spans="23:24" s="390" customFormat="1">
      <c r="W460" s="614"/>
      <c r="X460" s="614"/>
    </row>
    <row r="461" spans="23:24" s="390" customFormat="1">
      <c r="W461" s="614"/>
      <c r="X461" s="614"/>
    </row>
    <row r="462" spans="23:24" s="390" customFormat="1">
      <c r="W462" s="614"/>
      <c r="X462" s="614"/>
    </row>
    <row r="463" spans="23:24" s="390" customFormat="1">
      <c r="W463" s="614"/>
      <c r="X463" s="614"/>
    </row>
    <row r="464" spans="23:24" s="390" customFormat="1">
      <c r="W464" s="614"/>
      <c r="X464" s="614"/>
    </row>
    <row r="465" spans="23:24" s="390" customFormat="1">
      <c r="W465" s="614"/>
      <c r="X465" s="614"/>
    </row>
    <row r="466" spans="23:24" s="390" customFormat="1">
      <c r="W466" s="614"/>
      <c r="X466" s="614"/>
    </row>
    <row r="467" spans="23:24" s="390" customFormat="1">
      <c r="W467" s="614"/>
      <c r="X467" s="614"/>
    </row>
    <row r="468" spans="23:24" s="390" customFormat="1">
      <c r="W468" s="614"/>
      <c r="X468" s="614"/>
    </row>
    <row r="469" spans="23:24" s="390" customFormat="1">
      <c r="W469" s="614"/>
      <c r="X469" s="614"/>
    </row>
    <row r="470" spans="23:24" s="390" customFormat="1">
      <c r="W470" s="614"/>
      <c r="X470" s="614"/>
    </row>
    <row r="471" spans="23:24" s="390" customFormat="1">
      <c r="W471" s="614"/>
      <c r="X471" s="614"/>
    </row>
    <row r="472" spans="23:24" s="390" customFormat="1">
      <c r="W472" s="614"/>
      <c r="X472" s="614"/>
    </row>
    <row r="473" spans="23:24" s="390" customFormat="1">
      <c r="W473" s="614"/>
      <c r="X473" s="614"/>
    </row>
    <row r="474" spans="23:24" s="390" customFormat="1">
      <c r="W474" s="614"/>
      <c r="X474" s="614"/>
    </row>
    <row r="475" spans="23:24" s="390" customFormat="1">
      <c r="W475" s="614"/>
      <c r="X475" s="614"/>
    </row>
    <row r="476" spans="23:24" s="390" customFormat="1">
      <c r="W476" s="614"/>
      <c r="X476" s="614"/>
    </row>
    <row r="477" spans="23:24" s="390" customFormat="1">
      <c r="W477" s="614"/>
      <c r="X477" s="614"/>
    </row>
    <row r="478" spans="23:24" s="390" customFormat="1">
      <c r="W478" s="614"/>
      <c r="X478" s="614"/>
    </row>
    <row r="479" spans="23:24" s="390" customFormat="1">
      <c r="W479" s="614"/>
      <c r="X479" s="614"/>
    </row>
    <row r="480" spans="23:24" s="390" customFormat="1">
      <c r="W480" s="614"/>
      <c r="X480" s="614"/>
    </row>
    <row r="481" spans="23:24" s="390" customFormat="1">
      <c r="W481" s="614"/>
      <c r="X481" s="614"/>
    </row>
    <row r="482" spans="23:24" s="390" customFormat="1">
      <c r="W482" s="614"/>
      <c r="X482" s="614"/>
    </row>
    <row r="483" spans="23:24" s="390" customFormat="1">
      <c r="W483" s="614"/>
      <c r="X483" s="614"/>
    </row>
    <row r="484" spans="23:24" s="390" customFormat="1">
      <c r="W484" s="614"/>
      <c r="X484" s="614"/>
    </row>
    <row r="485" spans="23:24" s="390" customFormat="1">
      <c r="W485" s="614"/>
      <c r="X485" s="614"/>
    </row>
    <row r="486" spans="23:24" s="390" customFormat="1">
      <c r="W486" s="614"/>
      <c r="X486" s="614"/>
    </row>
    <row r="487" spans="23:24" s="390" customFormat="1">
      <c r="W487" s="614"/>
      <c r="X487" s="614"/>
    </row>
    <row r="488" spans="23:24" s="390" customFormat="1">
      <c r="W488" s="614"/>
      <c r="X488" s="614"/>
    </row>
    <row r="489" spans="23:24" s="390" customFormat="1">
      <c r="W489" s="614"/>
      <c r="X489" s="614"/>
    </row>
    <row r="490" spans="23:24" s="390" customFormat="1">
      <c r="W490" s="614"/>
      <c r="X490" s="614"/>
    </row>
    <row r="491" spans="23:24" s="390" customFormat="1">
      <c r="W491" s="614"/>
      <c r="X491" s="614"/>
    </row>
    <row r="492" spans="23:24" s="390" customFormat="1">
      <c r="W492" s="614"/>
      <c r="X492" s="614"/>
    </row>
    <row r="493" spans="23:24" s="390" customFormat="1">
      <c r="W493" s="614"/>
      <c r="X493" s="614"/>
    </row>
    <row r="494" spans="23:24" s="390" customFormat="1">
      <c r="W494" s="614"/>
      <c r="X494" s="614"/>
    </row>
    <row r="495" spans="23:24" s="390" customFormat="1">
      <c r="W495" s="614"/>
      <c r="X495" s="614"/>
    </row>
    <row r="496" spans="23:24" s="390" customFormat="1">
      <c r="W496" s="614"/>
      <c r="X496" s="614"/>
    </row>
    <row r="497" spans="23:24" s="390" customFormat="1">
      <c r="W497" s="614"/>
      <c r="X497" s="614"/>
    </row>
    <row r="498" spans="23:24" s="390" customFormat="1">
      <c r="W498" s="614"/>
      <c r="X498" s="614"/>
    </row>
    <row r="499" spans="23:24" s="390" customFormat="1">
      <c r="W499" s="614"/>
      <c r="X499" s="614"/>
    </row>
    <row r="500" spans="23:24" s="390" customFormat="1">
      <c r="W500" s="614"/>
      <c r="X500" s="614"/>
    </row>
    <row r="501" spans="23:24" s="390" customFormat="1">
      <c r="W501" s="614"/>
      <c r="X501" s="614"/>
    </row>
    <row r="502" spans="23:24" s="390" customFormat="1">
      <c r="W502" s="614"/>
      <c r="X502" s="614"/>
    </row>
    <row r="503" spans="23:24" s="390" customFormat="1">
      <c r="W503" s="614"/>
      <c r="X503" s="614"/>
    </row>
    <row r="504" spans="23:24" s="390" customFormat="1">
      <c r="W504" s="614"/>
      <c r="X504" s="614"/>
    </row>
    <row r="505" spans="23:24" s="390" customFormat="1">
      <c r="W505" s="614"/>
      <c r="X505" s="614"/>
    </row>
    <row r="506" spans="23:24" s="390" customFormat="1">
      <c r="W506" s="614"/>
      <c r="X506" s="614"/>
    </row>
    <row r="507" spans="23:24" s="390" customFormat="1">
      <c r="W507" s="614"/>
      <c r="X507" s="614"/>
    </row>
    <row r="508" spans="23:24" s="390" customFormat="1">
      <c r="W508" s="614"/>
      <c r="X508" s="614"/>
    </row>
    <row r="509" spans="23:24" s="390" customFormat="1">
      <c r="W509" s="614"/>
      <c r="X509" s="614"/>
    </row>
    <row r="510" spans="23:24" s="390" customFormat="1">
      <c r="W510" s="614"/>
      <c r="X510" s="614"/>
    </row>
    <row r="511" spans="23:24" s="390" customFormat="1">
      <c r="W511" s="614"/>
      <c r="X511" s="614"/>
    </row>
    <row r="512" spans="23:24" s="390" customFormat="1">
      <c r="W512" s="614"/>
      <c r="X512" s="614"/>
    </row>
    <row r="513" spans="23:24" s="390" customFormat="1">
      <c r="W513" s="614"/>
      <c r="X513" s="614"/>
    </row>
    <row r="514" spans="23:24" s="390" customFormat="1">
      <c r="W514" s="614"/>
      <c r="X514" s="614"/>
    </row>
    <row r="515" spans="23:24" s="390" customFormat="1">
      <c r="W515" s="614"/>
      <c r="X515" s="614"/>
    </row>
    <row r="516" spans="23:24" s="390" customFormat="1">
      <c r="W516" s="614"/>
      <c r="X516" s="614"/>
    </row>
    <row r="517" spans="23:24" s="390" customFormat="1">
      <c r="W517" s="614"/>
      <c r="X517" s="614"/>
    </row>
    <row r="518" spans="23:24" s="390" customFormat="1">
      <c r="W518" s="614"/>
      <c r="X518" s="614"/>
    </row>
    <row r="519" spans="23:24" s="390" customFormat="1">
      <c r="W519" s="614"/>
      <c r="X519" s="614"/>
    </row>
    <row r="520" spans="23:24" s="390" customFormat="1">
      <c r="W520" s="614"/>
      <c r="X520" s="614"/>
    </row>
    <row r="521" spans="23:24" s="390" customFormat="1">
      <c r="W521" s="614"/>
      <c r="X521" s="614"/>
    </row>
    <row r="522" spans="23:24" s="390" customFormat="1">
      <c r="W522" s="614"/>
      <c r="X522" s="614"/>
    </row>
    <row r="523" spans="23:24" s="390" customFormat="1">
      <c r="W523" s="614"/>
      <c r="X523" s="614"/>
    </row>
    <row r="524" spans="23:24" s="390" customFormat="1">
      <c r="W524" s="614"/>
      <c r="X524" s="614"/>
    </row>
    <row r="525" spans="23:24" s="390" customFormat="1">
      <c r="W525" s="614"/>
      <c r="X525" s="614"/>
    </row>
    <row r="526" spans="23:24" s="390" customFormat="1">
      <c r="W526" s="614"/>
      <c r="X526" s="614"/>
    </row>
    <row r="527" spans="23:24" s="390" customFormat="1">
      <c r="W527" s="614"/>
      <c r="X527" s="614"/>
    </row>
    <row r="528" spans="23:24" s="390" customFormat="1">
      <c r="W528" s="614"/>
      <c r="X528" s="614"/>
    </row>
    <row r="529" spans="23:24" s="390" customFormat="1">
      <c r="W529" s="614"/>
      <c r="X529" s="614"/>
    </row>
    <row r="530" spans="23:24" s="390" customFormat="1">
      <c r="W530" s="614"/>
      <c r="X530" s="614"/>
    </row>
    <row r="531" spans="23:24" s="390" customFormat="1">
      <c r="W531" s="614"/>
      <c r="X531" s="614"/>
    </row>
    <row r="532" spans="23:24" s="390" customFormat="1">
      <c r="W532" s="614"/>
      <c r="X532" s="614"/>
    </row>
    <row r="533" spans="23:24" s="390" customFormat="1">
      <c r="W533" s="614"/>
      <c r="X533" s="614"/>
    </row>
    <row r="534" spans="23:24" s="390" customFormat="1">
      <c r="W534" s="614"/>
      <c r="X534" s="614"/>
    </row>
    <row r="535" spans="23:24" s="390" customFormat="1">
      <c r="W535" s="614"/>
      <c r="X535" s="614"/>
    </row>
    <row r="536" spans="23:24" s="390" customFormat="1">
      <c r="W536" s="614"/>
      <c r="X536" s="614"/>
    </row>
    <row r="537" spans="23:24" s="390" customFormat="1">
      <c r="W537" s="614"/>
      <c r="X537" s="614"/>
    </row>
    <row r="538" spans="23:24" s="390" customFormat="1">
      <c r="W538" s="614"/>
      <c r="X538" s="614"/>
    </row>
    <row r="539" spans="23:24" s="390" customFormat="1">
      <c r="W539" s="614"/>
      <c r="X539" s="614"/>
    </row>
    <row r="540" spans="23:24" s="390" customFormat="1">
      <c r="W540" s="614"/>
      <c r="X540" s="614"/>
    </row>
    <row r="541" spans="23:24" s="390" customFormat="1">
      <c r="W541" s="614"/>
      <c r="X541" s="614"/>
    </row>
    <row r="542" spans="23:24" s="390" customFormat="1">
      <c r="W542" s="614"/>
      <c r="X542" s="614"/>
    </row>
    <row r="543" spans="23:24" s="390" customFormat="1">
      <c r="W543" s="614"/>
      <c r="X543" s="614"/>
    </row>
    <row r="544" spans="23:24" s="390" customFormat="1">
      <c r="W544" s="614"/>
      <c r="X544" s="614"/>
    </row>
    <row r="545" spans="23:24" s="390" customFormat="1">
      <c r="W545" s="614"/>
      <c r="X545" s="614"/>
    </row>
    <row r="546" spans="23:24" s="390" customFormat="1">
      <c r="W546" s="614"/>
      <c r="X546" s="614"/>
    </row>
    <row r="547" spans="23:24" s="390" customFormat="1">
      <c r="W547" s="614"/>
      <c r="X547" s="614"/>
    </row>
    <row r="548" spans="23:24" s="390" customFormat="1">
      <c r="W548" s="614"/>
      <c r="X548" s="614"/>
    </row>
    <row r="549" spans="23:24" s="390" customFormat="1">
      <c r="W549" s="614"/>
      <c r="X549" s="614"/>
    </row>
    <row r="550" spans="23:24" s="390" customFormat="1">
      <c r="W550" s="614"/>
      <c r="X550" s="614"/>
    </row>
    <row r="551" spans="23:24" s="390" customFormat="1">
      <c r="W551" s="614"/>
      <c r="X551" s="614"/>
    </row>
    <row r="552" spans="23:24" s="390" customFormat="1">
      <c r="W552" s="614"/>
      <c r="X552" s="614"/>
    </row>
    <row r="553" spans="23:24" s="390" customFormat="1">
      <c r="W553" s="614"/>
      <c r="X553" s="614"/>
    </row>
    <row r="554" spans="23:24" s="390" customFormat="1">
      <c r="W554" s="614"/>
      <c r="X554" s="614"/>
    </row>
    <row r="555" spans="23:24" s="390" customFormat="1">
      <c r="W555" s="614"/>
      <c r="X555" s="614"/>
    </row>
    <row r="556" spans="23:24" s="390" customFormat="1">
      <c r="W556" s="614"/>
      <c r="X556" s="614"/>
    </row>
    <row r="557" spans="23:24" s="390" customFormat="1">
      <c r="W557" s="614"/>
      <c r="X557" s="614"/>
    </row>
    <row r="558" spans="23:24" s="390" customFormat="1">
      <c r="W558" s="614"/>
      <c r="X558" s="614"/>
    </row>
    <row r="559" spans="23:24" s="390" customFormat="1">
      <c r="W559" s="614"/>
      <c r="X559" s="614"/>
    </row>
    <row r="560" spans="23:24" s="390" customFormat="1">
      <c r="W560" s="614"/>
      <c r="X560" s="614"/>
    </row>
    <row r="561" spans="23:24" s="390" customFormat="1">
      <c r="W561" s="614"/>
      <c r="X561" s="614"/>
    </row>
    <row r="562" spans="23:24" s="390" customFormat="1">
      <c r="W562" s="614"/>
      <c r="X562" s="614"/>
    </row>
    <row r="563" spans="23:24" s="390" customFormat="1">
      <c r="W563" s="614"/>
      <c r="X563" s="614"/>
    </row>
    <row r="564" spans="23:24" s="390" customFormat="1">
      <c r="W564" s="614"/>
      <c r="X564" s="614"/>
    </row>
    <row r="565" spans="23:24" s="390" customFormat="1">
      <c r="W565" s="614"/>
      <c r="X565" s="614"/>
    </row>
    <row r="566" spans="23:24" s="390" customFormat="1">
      <c r="W566" s="614"/>
      <c r="X566" s="614"/>
    </row>
    <row r="567" spans="23:24" s="390" customFormat="1">
      <c r="W567" s="614"/>
      <c r="X567" s="614"/>
    </row>
    <row r="568" spans="23:24" s="390" customFormat="1">
      <c r="W568" s="614"/>
      <c r="X568" s="614"/>
    </row>
    <row r="569" spans="23:24" s="390" customFormat="1">
      <c r="W569" s="614"/>
      <c r="X569" s="614"/>
    </row>
    <row r="570" spans="23:24" s="390" customFormat="1">
      <c r="W570" s="614"/>
      <c r="X570" s="614"/>
    </row>
    <row r="571" spans="23:24" s="390" customFormat="1">
      <c r="W571" s="614"/>
      <c r="X571" s="614"/>
    </row>
    <row r="572" spans="23:24" s="390" customFormat="1">
      <c r="W572" s="614"/>
      <c r="X572" s="614"/>
    </row>
    <row r="573" spans="23:24" s="390" customFormat="1">
      <c r="W573" s="614"/>
      <c r="X573" s="614"/>
    </row>
    <row r="574" spans="23:24" s="390" customFormat="1">
      <c r="W574" s="614"/>
      <c r="X574" s="614"/>
    </row>
    <row r="575" spans="23:24" s="390" customFormat="1">
      <c r="W575" s="614"/>
      <c r="X575" s="614"/>
    </row>
    <row r="576" spans="23:24" s="390" customFormat="1">
      <c r="W576" s="614"/>
      <c r="X576" s="614"/>
    </row>
    <row r="577" spans="23:24" s="390" customFormat="1">
      <c r="W577" s="614"/>
      <c r="X577" s="614"/>
    </row>
    <row r="578" spans="23:24" s="390" customFormat="1">
      <c r="W578" s="614"/>
      <c r="X578" s="614"/>
    </row>
    <row r="579" spans="23:24" s="390" customFormat="1">
      <c r="W579" s="614"/>
      <c r="X579" s="614"/>
    </row>
    <row r="580" spans="23:24" s="390" customFormat="1">
      <c r="W580" s="614"/>
      <c r="X580" s="614"/>
    </row>
    <row r="581" spans="23:24" s="390" customFormat="1">
      <c r="W581" s="614"/>
      <c r="X581" s="614"/>
    </row>
    <row r="582" spans="23:24" s="390" customFormat="1">
      <c r="W582" s="614"/>
      <c r="X582" s="614"/>
    </row>
    <row r="583" spans="23:24" s="390" customFormat="1">
      <c r="W583" s="614"/>
      <c r="X583" s="614"/>
    </row>
    <row r="584" spans="23:24" s="390" customFormat="1">
      <c r="W584" s="614"/>
      <c r="X584" s="614"/>
    </row>
    <row r="585" spans="23:24" s="390" customFormat="1">
      <c r="W585" s="614"/>
      <c r="X585" s="614"/>
    </row>
    <row r="586" spans="23:24" s="390" customFormat="1">
      <c r="W586" s="614"/>
      <c r="X586" s="614"/>
    </row>
    <row r="587" spans="23:24" s="390" customFormat="1">
      <c r="W587" s="614"/>
      <c r="X587" s="614"/>
    </row>
    <row r="588" spans="23:24" s="390" customFormat="1">
      <c r="W588" s="614"/>
      <c r="X588" s="614"/>
    </row>
    <row r="589" spans="23:24" s="390" customFormat="1">
      <c r="W589" s="614"/>
      <c r="X589" s="614"/>
    </row>
    <row r="590" spans="23:24" s="390" customFormat="1">
      <c r="W590" s="614"/>
      <c r="X590" s="614"/>
    </row>
    <row r="591" spans="23:24" s="390" customFormat="1">
      <c r="W591" s="614"/>
      <c r="X591" s="614"/>
    </row>
    <row r="592" spans="23:24" s="390" customFormat="1">
      <c r="W592" s="614"/>
      <c r="X592" s="614"/>
    </row>
    <row r="593" spans="23:24" s="390" customFormat="1">
      <c r="W593" s="614"/>
      <c r="X593" s="614"/>
    </row>
    <row r="594" spans="23:24" s="390" customFormat="1">
      <c r="W594" s="614"/>
      <c r="X594" s="614"/>
    </row>
    <row r="595" spans="23:24" s="390" customFormat="1">
      <c r="W595" s="614"/>
      <c r="X595" s="614"/>
    </row>
    <row r="596" spans="23:24" s="390" customFormat="1">
      <c r="W596" s="614"/>
      <c r="X596" s="614"/>
    </row>
    <row r="597" spans="23:24" s="390" customFormat="1">
      <c r="W597" s="614"/>
      <c r="X597" s="614"/>
    </row>
    <row r="598" spans="23:24" s="390" customFormat="1">
      <c r="W598" s="614"/>
      <c r="X598" s="614"/>
    </row>
    <row r="599" spans="23:24" s="390" customFormat="1">
      <c r="W599" s="614"/>
      <c r="X599" s="614"/>
    </row>
    <row r="600" spans="23:24" s="390" customFormat="1">
      <c r="W600" s="614"/>
      <c r="X600" s="614"/>
    </row>
    <row r="601" spans="23:24" s="390" customFormat="1">
      <c r="W601" s="614"/>
      <c r="X601" s="614"/>
    </row>
    <row r="602" spans="23:24" s="390" customFormat="1">
      <c r="W602" s="614"/>
      <c r="X602" s="614"/>
    </row>
    <row r="603" spans="23:24" s="390" customFormat="1">
      <c r="W603" s="614"/>
      <c r="X603" s="614"/>
    </row>
    <row r="604" spans="23:24" s="390" customFormat="1">
      <c r="W604" s="614"/>
      <c r="X604" s="614"/>
    </row>
    <row r="605" spans="23:24" s="390" customFormat="1">
      <c r="W605" s="614"/>
      <c r="X605" s="614"/>
    </row>
    <row r="606" spans="23:24" s="390" customFormat="1">
      <c r="W606" s="614"/>
      <c r="X606" s="614"/>
    </row>
    <row r="607" spans="23:24" s="390" customFormat="1">
      <c r="W607" s="614"/>
      <c r="X607" s="614"/>
    </row>
    <row r="608" spans="23:24" s="390" customFormat="1">
      <c r="W608" s="614"/>
      <c r="X608" s="614"/>
    </row>
    <row r="609" spans="23:24" s="390" customFormat="1">
      <c r="W609" s="614"/>
      <c r="X609" s="614"/>
    </row>
    <row r="610" spans="23:24" s="390" customFormat="1">
      <c r="W610" s="614"/>
      <c r="X610" s="614"/>
    </row>
    <row r="611" spans="23:24" s="390" customFormat="1">
      <c r="W611" s="614"/>
      <c r="X611" s="614"/>
    </row>
    <row r="612" spans="23:24" s="390" customFormat="1">
      <c r="W612" s="614"/>
      <c r="X612" s="614"/>
    </row>
    <row r="613" spans="23:24" s="390" customFormat="1">
      <c r="W613" s="614"/>
      <c r="X613" s="614"/>
    </row>
    <row r="614" spans="23:24" s="390" customFormat="1">
      <c r="W614" s="614"/>
      <c r="X614" s="614"/>
    </row>
    <row r="615" spans="23:24" s="390" customFormat="1">
      <c r="W615" s="614"/>
      <c r="X615" s="614"/>
    </row>
    <row r="616" spans="23:24" s="390" customFormat="1">
      <c r="W616" s="614"/>
      <c r="X616" s="614"/>
    </row>
    <row r="617" spans="23:24" s="390" customFormat="1">
      <c r="W617" s="614"/>
      <c r="X617" s="614"/>
    </row>
    <row r="618" spans="23:24" s="390" customFormat="1">
      <c r="W618" s="614"/>
      <c r="X618" s="614"/>
    </row>
    <row r="619" spans="23:24" s="390" customFormat="1">
      <c r="W619" s="614"/>
      <c r="X619" s="614"/>
    </row>
    <row r="620" spans="23:24" s="390" customFormat="1">
      <c r="W620" s="614"/>
      <c r="X620" s="614"/>
    </row>
    <row r="621" spans="23:24" s="390" customFormat="1">
      <c r="W621" s="614"/>
      <c r="X621" s="614"/>
    </row>
    <row r="622" spans="23:24" s="390" customFormat="1">
      <c r="W622" s="614"/>
      <c r="X622" s="614"/>
    </row>
    <row r="623" spans="23:24" s="390" customFormat="1">
      <c r="W623" s="614"/>
      <c r="X623" s="614"/>
    </row>
    <row r="624" spans="23:24" s="390" customFormat="1">
      <c r="W624" s="614"/>
      <c r="X624" s="614"/>
    </row>
    <row r="625" spans="23:24" s="390" customFormat="1">
      <c r="W625" s="614"/>
      <c r="X625" s="614"/>
    </row>
    <row r="626" spans="23:24" s="390" customFormat="1">
      <c r="W626" s="614"/>
      <c r="X626" s="614"/>
    </row>
    <row r="627" spans="23:24" s="390" customFormat="1">
      <c r="W627" s="614"/>
      <c r="X627" s="614"/>
    </row>
    <row r="628" spans="23:24" s="390" customFormat="1">
      <c r="W628" s="614"/>
      <c r="X628" s="614"/>
    </row>
    <row r="629" spans="23:24" s="390" customFormat="1">
      <c r="W629" s="614"/>
      <c r="X629" s="614"/>
    </row>
    <row r="630" spans="23:24" s="390" customFormat="1">
      <c r="W630" s="614"/>
      <c r="X630" s="614"/>
    </row>
    <row r="631" spans="23:24" s="390" customFormat="1">
      <c r="W631" s="614"/>
      <c r="X631" s="614"/>
    </row>
    <row r="632" spans="23:24" s="390" customFormat="1">
      <c r="W632" s="614"/>
      <c r="X632" s="614"/>
    </row>
    <row r="633" spans="23:24" s="390" customFormat="1">
      <c r="W633" s="614"/>
      <c r="X633" s="614"/>
    </row>
    <row r="634" spans="23:24" s="390" customFormat="1">
      <c r="W634" s="614"/>
      <c r="X634" s="614"/>
    </row>
    <row r="635" spans="23:24" s="390" customFormat="1">
      <c r="W635" s="614"/>
      <c r="X635" s="614"/>
    </row>
    <row r="636" spans="23:24" s="390" customFormat="1">
      <c r="W636" s="614"/>
      <c r="X636" s="614"/>
    </row>
    <row r="637" spans="23:24" s="390" customFormat="1">
      <c r="W637" s="614"/>
      <c r="X637" s="614"/>
    </row>
    <row r="638" spans="23:24" s="390" customFormat="1">
      <c r="W638" s="614"/>
      <c r="X638" s="614"/>
    </row>
    <row r="639" spans="23:24" s="390" customFormat="1">
      <c r="W639" s="614"/>
      <c r="X639" s="614"/>
    </row>
    <row r="640" spans="23:24" s="390" customFormat="1">
      <c r="W640" s="614"/>
      <c r="X640" s="614"/>
    </row>
    <row r="641" spans="23:24" s="390" customFormat="1">
      <c r="W641" s="614"/>
      <c r="X641" s="614"/>
    </row>
    <row r="642" spans="23:24" s="390" customFormat="1">
      <c r="W642" s="614"/>
      <c r="X642" s="614"/>
    </row>
    <row r="643" spans="23:24" s="390" customFormat="1">
      <c r="W643" s="614"/>
      <c r="X643" s="614"/>
    </row>
    <row r="644" spans="23:24" s="390" customFormat="1">
      <c r="W644" s="614"/>
      <c r="X644" s="614"/>
    </row>
    <row r="645" spans="23:24" s="390" customFormat="1">
      <c r="W645" s="614"/>
      <c r="X645" s="614"/>
    </row>
    <row r="646" spans="23:24" s="390" customFormat="1">
      <c r="W646" s="614"/>
      <c r="X646" s="614"/>
    </row>
    <row r="647" spans="23:24" s="390" customFormat="1">
      <c r="W647" s="614"/>
      <c r="X647" s="614"/>
    </row>
    <row r="648" spans="23:24" s="390" customFormat="1">
      <c r="W648" s="614"/>
      <c r="X648" s="614"/>
    </row>
    <row r="649" spans="23:24" s="390" customFormat="1">
      <c r="W649" s="614"/>
      <c r="X649" s="614"/>
    </row>
    <row r="650" spans="23:24" s="390" customFormat="1">
      <c r="W650" s="614"/>
      <c r="X650" s="614"/>
    </row>
    <row r="651" spans="23:24" s="390" customFormat="1">
      <c r="W651" s="614"/>
      <c r="X651" s="614"/>
    </row>
    <row r="652" spans="23:24" s="390" customFormat="1">
      <c r="W652" s="614"/>
      <c r="X652" s="614"/>
    </row>
    <row r="653" spans="23:24" s="390" customFormat="1">
      <c r="W653" s="614"/>
      <c r="X653" s="614"/>
    </row>
    <row r="654" spans="23:24" s="390" customFormat="1">
      <c r="W654" s="614"/>
      <c r="X654" s="614"/>
    </row>
    <row r="655" spans="23:24" s="390" customFormat="1">
      <c r="W655" s="614"/>
      <c r="X655" s="614"/>
    </row>
    <row r="656" spans="23:24" s="390" customFormat="1">
      <c r="W656" s="614"/>
      <c r="X656" s="614"/>
    </row>
    <row r="657" spans="23:24" s="390" customFormat="1">
      <c r="W657" s="614"/>
      <c r="X657" s="614"/>
    </row>
    <row r="658" spans="23:24" s="390" customFormat="1">
      <c r="W658" s="614"/>
      <c r="X658" s="614"/>
    </row>
    <row r="659" spans="23:24" s="390" customFormat="1">
      <c r="W659" s="614"/>
      <c r="X659" s="614"/>
    </row>
    <row r="660" spans="23:24" s="390" customFormat="1">
      <c r="W660" s="614"/>
      <c r="X660" s="614"/>
    </row>
    <row r="661" spans="23:24" s="390" customFormat="1">
      <c r="W661" s="614"/>
      <c r="X661" s="614"/>
    </row>
    <row r="662" spans="23:24" s="390" customFormat="1">
      <c r="W662" s="614"/>
      <c r="X662" s="614"/>
    </row>
    <row r="663" spans="23:24" s="390" customFormat="1">
      <c r="W663" s="614"/>
      <c r="X663" s="614"/>
    </row>
    <row r="664" spans="23:24" s="390" customFormat="1">
      <c r="W664" s="614"/>
      <c r="X664" s="614"/>
    </row>
    <row r="665" spans="23:24" s="390" customFormat="1">
      <c r="W665" s="614"/>
      <c r="X665" s="614"/>
    </row>
    <row r="666" spans="23:24" s="390" customFormat="1">
      <c r="W666" s="614"/>
      <c r="X666" s="614"/>
    </row>
    <row r="667" spans="23:24" s="390" customFormat="1">
      <c r="W667" s="614"/>
      <c r="X667" s="614"/>
    </row>
    <row r="668" spans="23:24" s="390" customFormat="1">
      <c r="W668" s="614"/>
      <c r="X668" s="614"/>
    </row>
    <row r="669" spans="23:24" s="390" customFormat="1">
      <c r="W669" s="614"/>
      <c r="X669" s="614"/>
    </row>
    <row r="670" spans="23:24" s="390" customFormat="1">
      <c r="W670" s="614"/>
      <c r="X670" s="614"/>
    </row>
    <row r="671" spans="23:24" s="390" customFormat="1">
      <c r="W671" s="614"/>
      <c r="X671" s="614"/>
    </row>
    <row r="672" spans="23:24" s="390" customFormat="1">
      <c r="W672" s="614"/>
      <c r="X672" s="614"/>
    </row>
    <row r="673" spans="23:24" s="390" customFormat="1">
      <c r="W673" s="614"/>
      <c r="X673" s="614"/>
    </row>
    <row r="674" spans="23:24" s="390" customFormat="1">
      <c r="W674" s="614"/>
      <c r="X674" s="614"/>
    </row>
    <row r="675" spans="23:24" s="390" customFormat="1">
      <c r="W675" s="614"/>
      <c r="X675" s="614"/>
    </row>
    <row r="676" spans="23:24" s="390" customFormat="1">
      <c r="W676" s="614"/>
      <c r="X676" s="614"/>
    </row>
    <row r="677" spans="23:24" s="390" customFormat="1">
      <c r="W677" s="614"/>
      <c r="X677" s="614"/>
    </row>
    <row r="678" spans="23:24" s="390" customFormat="1">
      <c r="W678" s="614"/>
      <c r="X678" s="614"/>
    </row>
    <row r="679" spans="23:24" s="390" customFormat="1">
      <c r="W679" s="614"/>
      <c r="X679" s="614"/>
    </row>
    <row r="680" spans="23:24" s="390" customFormat="1">
      <c r="W680" s="614"/>
      <c r="X680" s="614"/>
    </row>
    <row r="681" spans="23:24" s="390" customFormat="1">
      <c r="W681" s="614"/>
      <c r="X681" s="614"/>
    </row>
    <row r="682" spans="23:24" s="390" customFormat="1">
      <c r="W682" s="614"/>
      <c r="X682" s="614"/>
    </row>
    <row r="683" spans="23:24" s="390" customFormat="1">
      <c r="W683" s="614"/>
      <c r="X683" s="614"/>
    </row>
    <row r="684" spans="23:24" s="390" customFormat="1">
      <c r="W684" s="614"/>
      <c r="X684" s="614"/>
    </row>
    <row r="685" spans="23:24" s="390" customFormat="1">
      <c r="W685" s="614"/>
      <c r="X685" s="614"/>
    </row>
    <row r="686" spans="23:24" s="390" customFormat="1">
      <c r="W686" s="614"/>
      <c r="X686" s="614"/>
    </row>
    <row r="687" spans="23:24" s="390" customFormat="1">
      <c r="W687" s="614"/>
      <c r="X687" s="614"/>
    </row>
    <row r="688" spans="23:24" s="390" customFormat="1">
      <c r="W688" s="614"/>
      <c r="X688" s="614"/>
    </row>
    <row r="689" spans="23:24" s="390" customFormat="1">
      <c r="W689" s="614"/>
      <c r="X689" s="614"/>
    </row>
    <row r="690" spans="23:24" s="390" customFormat="1">
      <c r="W690" s="614"/>
      <c r="X690" s="614"/>
    </row>
    <row r="691" spans="23:24" s="390" customFormat="1">
      <c r="W691" s="614"/>
      <c r="X691" s="614"/>
    </row>
    <row r="692" spans="23:24" s="390" customFormat="1">
      <c r="W692" s="614"/>
      <c r="X692" s="614"/>
    </row>
    <row r="693" spans="23:24" s="390" customFormat="1">
      <c r="W693" s="614"/>
      <c r="X693" s="614"/>
    </row>
    <row r="694" spans="23:24" s="390" customFormat="1">
      <c r="W694" s="614"/>
      <c r="X694" s="614"/>
    </row>
    <row r="695" spans="23:24" s="390" customFormat="1">
      <c r="W695" s="614"/>
      <c r="X695" s="614"/>
    </row>
    <row r="696" spans="23:24" s="390" customFormat="1">
      <c r="W696" s="614"/>
      <c r="X696" s="614"/>
    </row>
    <row r="697" spans="23:24" s="390" customFormat="1">
      <c r="W697" s="614"/>
      <c r="X697" s="614"/>
    </row>
    <row r="698" spans="23:24" s="390" customFormat="1">
      <c r="W698" s="614"/>
      <c r="X698" s="614"/>
    </row>
    <row r="699" spans="23:24" s="390" customFormat="1">
      <c r="W699" s="614"/>
      <c r="X699" s="614"/>
    </row>
    <row r="700" spans="23:24" s="390" customFormat="1">
      <c r="W700" s="614"/>
      <c r="X700" s="614"/>
    </row>
    <row r="701" spans="23:24" s="390" customFormat="1">
      <c r="W701" s="614"/>
      <c r="X701" s="614"/>
    </row>
    <row r="702" spans="23:24" s="390" customFormat="1">
      <c r="W702" s="614"/>
      <c r="X702" s="614"/>
    </row>
    <row r="703" spans="23:24" s="390" customFormat="1">
      <c r="W703" s="614"/>
      <c r="X703" s="614"/>
    </row>
    <row r="704" spans="23:24" s="390" customFormat="1">
      <c r="W704" s="614"/>
      <c r="X704" s="614"/>
    </row>
    <row r="705" spans="23:24" s="390" customFormat="1">
      <c r="W705" s="614"/>
      <c r="X705" s="614"/>
    </row>
    <row r="706" spans="23:24" s="390" customFormat="1">
      <c r="W706" s="614"/>
      <c r="X706" s="614"/>
    </row>
    <row r="707" spans="23:24" s="390" customFormat="1">
      <c r="W707" s="614"/>
      <c r="X707" s="614"/>
    </row>
    <row r="708" spans="23:24" s="390" customFormat="1">
      <c r="W708" s="614"/>
      <c r="X708" s="614"/>
    </row>
    <row r="709" spans="23:24" s="390" customFormat="1">
      <c r="W709" s="614"/>
      <c r="X709" s="614"/>
    </row>
    <row r="710" spans="23:24" s="390" customFormat="1">
      <c r="W710" s="614"/>
      <c r="X710" s="614"/>
    </row>
    <row r="711" spans="23:24" s="390" customFormat="1">
      <c r="W711" s="614"/>
      <c r="X711" s="614"/>
    </row>
    <row r="712" spans="23:24" s="390" customFormat="1">
      <c r="W712" s="614"/>
      <c r="X712" s="614"/>
    </row>
    <row r="713" spans="23:24" s="390" customFormat="1">
      <c r="W713" s="614"/>
      <c r="X713" s="614"/>
    </row>
    <row r="714" spans="23:24" s="390" customFormat="1">
      <c r="W714" s="614"/>
      <c r="X714" s="614"/>
    </row>
    <row r="715" spans="23:24" s="390" customFormat="1">
      <c r="W715" s="614"/>
      <c r="X715" s="614"/>
    </row>
    <row r="716" spans="23:24" s="390" customFormat="1">
      <c r="W716" s="614"/>
      <c r="X716" s="614"/>
    </row>
    <row r="717" spans="23:24" s="390" customFormat="1">
      <c r="W717" s="614"/>
      <c r="X717" s="614"/>
    </row>
    <row r="718" spans="23:24" s="390" customFormat="1">
      <c r="W718" s="614"/>
      <c r="X718" s="614"/>
    </row>
    <row r="719" spans="23:24" s="390" customFormat="1">
      <c r="W719" s="614"/>
      <c r="X719" s="614"/>
    </row>
    <row r="720" spans="23:24" s="390" customFormat="1">
      <c r="W720" s="614"/>
      <c r="X720" s="614"/>
    </row>
    <row r="721" spans="23:24" s="390" customFormat="1">
      <c r="W721" s="614"/>
      <c r="X721" s="614"/>
    </row>
    <row r="722" spans="23:24" s="390" customFormat="1">
      <c r="W722" s="614"/>
      <c r="X722" s="614"/>
    </row>
    <row r="723" spans="23:24" s="390" customFormat="1">
      <c r="W723" s="614"/>
      <c r="X723" s="614"/>
    </row>
    <row r="724" spans="23:24" s="390" customFormat="1">
      <c r="W724" s="614"/>
      <c r="X724" s="614"/>
    </row>
    <row r="725" spans="23:24" s="390" customFormat="1">
      <c r="W725" s="614"/>
      <c r="X725" s="614"/>
    </row>
    <row r="726" spans="23:24" s="390" customFormat="1">
      <c r="W726" s="614"/>
      <c r="X726" s="614"/>
    </row>
    <row r="727" spans="23:24" s="390" customFormat="1">
      <c r="W727" s="614"/>
      <c r="X727" s="614"/>
    </row>
    <row r="728" spans="23:24" s="390" customFormat="1">
      <c r="W728" s="614"/>
      <c r="X728" s="614"/>
    </row>
  </sheetData>
  <mergeCells count="10">
    <mergeCell ref="B15:G15"/>
    <mergeCell ref="B2:B4"/>
    <mergeCell ref="C2:G2"/>
    <mergeCell ref="H2:L2"/>
    <mergeCell ref="M2:Q2"/>
    <mergeCell ref="R2:V2"/>
    <mergeCell ref="C3:G3"/>
    <mergeCell ref="H3:L3"/>
    <mergeCell ref="M3:Q3"/>
    <mergeCell ref="R3:V3"/>
  </mergeCells>
  <pageMargins left="0.7" right="0.7" top="0.75" bottom="0.75" header="0.3" footer="0.3"/>
  <pageSetup paperSize="9" scale="46" orientation="portrait"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RV76"/>
  <sheetViews>
    <sheetView showGridLines="0" zoomScaleNormal="100" zoomScaleSheetLayoutView="85" workbookViewId="0">
      <pane xSplit="1" ySplit="3" topLeftCell="Z19" activePane="bottomRight" state="frozen"/>
      <selection pane="topRight" activeCell="B1" sqref="B1"/>
      <selection pane="bottomLeft" activeCell="A4" sqref="A4"/>
      <selection pane="bottomRight" activeCell="AD33" sqref="AD33"/>
    </sheetView>
  </sheetViews>
  <sheetFormatPr defaultColWidth="9" defaultRowHeight="12.75"/>
  <cols>
    <col min="1" max="1" width="53" style="6" customWidth="1"/>
    <col min="2" max="2" width="11.5" style="7" bestFit="1" customWidth="1"/>
    <col min="3" max="3" width="12.375" style="7" bestFit="1" customWidth="1"/>
    <col min="4" max="4" width="13.625" style="7" customWidth="1"/>
    <col min="5" max="5" width="12.125" style="7" bestFit="1" customWidth="1"/>
    <col min="6" max="8" width="13.625" style="7" customWidth="1"/>
    <col min="9" max="9" width="12.125" style="7" customWidth="1"/>
    <col min="10" max="10" width="13.625" style="7" customWidth="1"/>
    <col min="11" max="12" width="13.625" style="31" customWidth="1"/>
    <col min="13" max="13" width="12.125" style="7" customWidth="1"/>
    <col min="14" max="15" width="13.625" style="7" customWidth="1"/>
    <col min="16" max="16" width="13.625" style="31" customWidth="1"/>
    <col min="17" max="33" width="13.625" style="7" customWidth="1"/>
    <col min="34" max="16384" width="9" style="7"/>
  </cols>
  <sheetData>
    <row r="1" spans="1:490" s="28" customFormat="1" ht="50.25" customHeight="1" thickBot="1">
      <c r="A1" s="5" t="s">
        <v>172</v>
      </c>
      <c r="B1" s="5"/>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c r="IV1" s="27"/>
      <c r="IW1" s="27"/>
      <c r="IX1" s="27"/>
      <c r="IY1" s="27"/>
      <c r="IZ1" s="27"/>
      <c r="JA1" s="27"/>
      <c r="JB1" s="27"/>
      <c r="JC1" s="27"/>
      <c r="JD1" s="27"/>
      <c r="JE1" s="27"/>
      <c r="JF1" s="27"/>
      <c r="JG1" s="27"/>
      <c r="JH1" s="27"/>
      <c r="JI1" s="27"/>
      <c r="JJ1" s="27"/>
      <c r="JK1" s="27"/>
      <c r="JL1" s="27"/>
      <c r="JM1" s="27"/>
      <c r="JN1" s="27"/>
      <c r="JO1" s="27"/>
      <c r="JP1" s="27"/>
      <c r="JQ1" s="27"/>
      <c r="JR1" s="27"/>
      <c r="JS1" s="27"/>
      <c r="JT1" s="27"/>
      <c r="JU1" s="27"/>
      <c r="JV1" s="27"/>
      <c r="JW1" s="27"/>
      <c r="JX1" s="27"/>
      <c r="JY1" s="27"/>
      <c r="JZ1" s="27"/>
      <c r="KA1" s="27"/>
      <c r="KB1" s="27"/>
      <c r="KC1" s="27"/>
      <c r="KD1" s="27"/>
      <c r="KE1" s="27"/>
      <c r="KF1" s="27"/>
      <c r="KG1" s="27"/>
      <c r="KH1" s="27"/>
      <c r="KI1" s="27"/>
      <c r="KJ1" s="27"/>
      <c r="KK1" s="27"/>
      <c r="KL1" s="27"/>
      <c r="KM1" s="27"/>
      <c r="KN1" s="27"/>
      <c r="KO1" s="27"/>
      <c r="KP1" s="27"/>
      <c r="KQ1" s="27"/>
      <c r="KR1" s="27"/>
      <c r="KS1" s="27"/>
      <c r="KT1" s="27"/>
      <c r="KU1" s="27"/>
      <c r="KV1" s="27"/>
      <c r="KW1" s="27"/>
      <c r="KX1" s="27"/>
      <c r="KY1" s="27"/>
      <c r="KZ1" s="27"/>
      <c r="LA1" s="27"/>
      <c r="LB1" s="27"/>
      <c r="LC1" s="27"/>
      <c r="LD1" s="27"/>
      <c r="LE1" s="27"/>
      <c r="LF1" s="27"/>
      <c r="LG1" s="27"/>
      <c r="LH1" s="27"/>
      <c r="LI1" s="27"/>
      <c r="LJ1" s="27"/>
      <c r="LK1" s="27"/>
      <c r="LL1" s="27"/>
      <c r="LM1" s="27"/>
      <c r="LN1" s="27"/>
      <c r="LO1" s="27"/>
      <c r="LP1" s="27"/>
      <c r="LQ1" s="27"/>
      <c r="LR1" s="27"/>
      <c r="LS1" s="27"/>
      <c r="LT1" s="27"/>
      <c r="LU1" s="27"/>
      <c r="LV1" s="27"/>
      <c r="LW1" s="27"/>
      <c r="LX1" s="27"/>
      <c r="LY1" s="27"/>
      <c r="LZ1" s="27"/>
      <c r="MA1" s="27"/>
      <c r="MB1" s="27"/>
      <c r="MC1" s="27"/>
      <c r="MD1" s="27"/>
      <c r="ME1" s="27"/>
      <c r="MF1" s="27"/>
      <c r="MG1" s="27"/>
      <c r="MH1" s="27"/>
      <c r="MI1" s="27"/>
      <c r="MJ1" s="27"/>
      <c r="MK1" s="27"/>
      <c r="ML1" s="27"/>
      <c r="MM1" s="27"/>
      <c r="MN1" s="27"/>
      <c r="MO1" s="27"/>
      <c r="MP1" s="27"/>
      <c r="MQ1" s="27"/>
      <c r="MR1" s="27"/>
      <c r="MS1" s="27"/>
      <c r="MT1" s="27"/>
      <c r="MU1" s="27"/>
      <c r="MV1" s="27"/>
      <c r="MW1" s="27"/>
      <c r="MX1" s="27"/>
      <c r="MY1" s="27"/>
      <c r="MZ1" s="27"/>
      <c r="NA1" s="27"/>
      <c r="NB1" s="27"/>
      <c r="NC1" s="27"/>
      <c r="ND1" s="27"/>
      <c r="NE1" s="27"/>
      <c r="NF1" s="27"/>
      <c r="NG1" s="27"/>
      <c r="NH1" s="27"/>
      <c r="NI1" s="27"/>
      <c r="NJ1" s="27"/>
      <c r="NK1" s="27"/>
      <c r="NL1" s="27"/>
      <c r="NM1" s="27"/>
      <c r="NN1" s="27"/>
      <c r="NO1" s="27"/>
      <c r="NP1" s="27"/>
      <c r="NQ1" s="27"/>
      <c r="NR1" s="27"/>
      <c r="NS1" s="27"/>
      <c r="NT1" s="27"/>
      <c r="NU1" s="27"/>
      <c r="NV1" s="27"/>
      <c r="NW1" s="27"/>
      <c r="NX1" s="27"/>
      <c r="NY1" s="27"/>
      <c r="NZ1" s="27"/>
      <c r="OA1" s="27"/>
      <c r="OB1" s="27"/>
      <c r="OC1" s="27"/>
      <c r="OD1" s="27"/>
      <c r="OE1" s="27"/>
      <c r="OF1" s="27"/>
      <c r="OG1" s="27"/>
      <c r="OH1" s="27"/>
      <c r="OI1" s="27"/>
      <c r="OJ1" s="27"/>
      <c r="OK1" s="27"/>
      <c r="OL1" s="27"/>
      <c r="OM1" s="27"/>
      <c r="ON1" s="27"/>
      <c r="OO1" s="27"/>
      <c r="OP1" s="27"/>
      <c r="OQ1" s="27"/>
      <c r="OR1" s="27"/>
      <c r="OS1" s="27"/>
      <c r="OT1" s="27"/>
      <c r="OU1" s="27"/>
      <c r="OV1" s="27"/>
      <c r="OW1" s="27"/>
      <c r="OX1" s="27"/>
      <c r="OY1" s="27"/>
      <c r="OZ1" s="27"/>
      <c r="PA1" s="27"/>
      <c r="PB1" s="27"/>
      <c r="PC1" s="27"/>
      <c r="PD1" s="27"/>
      <c r="PE1" s="27"/>
      <c r="PF1" s="27"/>
      <c r="PG1" s="27"/>
      <c r="PH1" s="27"/>
      <c r="PI1" s="27"/>
      <c r="PJ1" s="27"/>
      <c r="PK1" s="27"/>
      <c r="PL1" s="27"/>
      <c r="PM1" s="27"/>
      <c r="PN1" s="27"/>
      <c r="PO1" s="27"/>
      <c r="PP1" s="27"/>
      <c r="PQ1" s="27"/>
      <c r="PR1" s="27"/>
      <c r="PS1" s="27"/>
      <c r="PT1" s="27"/>
      <c r="PU1" s="27"/>
      <c r="PV1" s="27"/>
      <c r="PW1" s="27"/>
      <c r="PX1" s="27"/>
      <c r="PY1" s="27"/>
      <c r="PZ1" s="27"/>
      <c r="QA1" s="27"/>
      <c r="QB1" s="27"/>
      <c r="QC1" s="27"/>
      <c r="QD1" s="27"/>
      <c r="QE1" s="27"/>
      <c r="QF1" s="27"/>
      <c r="QG1" s="27"/>
      <c r="QH1" s="27"/>
      <c r="QI1" s="27"/>
      <c r="QJ1" s="27"/>
      <c r="QK1" s="27"/>
      <c r="QL1" s="27"/>
      <c r="QM1" s="27"/>
      <c r="QN1" s="27"/>
      <c r="QO1" s="27"/>
      <c r="QP1" s="27"/>
      <c r="QQ1" s="27"/>
      <c r="QR1" s="27"/>
      <c r="QS1" s="27"/>
      <c r="QT1" s="27"/>
      <c r="QU1" s="27"/>
      <c r="QV1" s="27"/>
      <c r="QW1" s="27"/>
      <c r="QX1" s="27"/>
      <c r="QY1" s="27"/>
      <c r="QZ1" s="27"/>
      <c r="RA1" s="27"/>
      <c r="RB1" s="27"/>
      <c r="RC1" s="27"/>
      <c r="RD1" s="27"/>
      <c r="RE1" s="27"/>
      <c r="RF1" s="27"/>
      <c r="RG1" s="27"/>
      <c r="RH1" s="27"/>
      <c r="RI1" s="27"/>
      <c r="RJ1" s="27"/>
      <c r="RK1" s="27"/>
      <c r="RL1" s="27"/>
      <c r="RM1" s="27"/>
      <c r="RN1" s="27"/>
      <c r="RO1" s="27"/>
      <c r="RP1" s="27"/>
      <c r="RQ1" s="27"/>
      <c r="RR1" s="27"/>
      <c r="RS1" s="27"/>
      <c r="RT1" s="27"/>
      <c r="RU1" s="27"/>
      <c r="RV1" s="27"/>
    </row>
    <row r="2" spans="1:490" s="28" customFormat="1" ht="24.95" customHeight="1">
      <c r="A2" s="8" t="s">
        <v>117</v>
      </c>
      <c r="B2" s="702">
        <v>2012</v>
      </c>
      <c r="C2" s="702"/>
      <c r="D2" s="702"/>
      <c r="E2" s="703"/>
      <c r="F2" s="702">
        <v>2013</v>
      </c>
      <c r="G2" s="702"/>
      <c r="H2" s="702"/>
      <c r="I2" s="702"/>
      <c r="J2" s="699">
        <v>2014</v>
      </c>
      <c r="K2" s="702"/>
      <c r="L2" s="702"/>
      <c r="M2" s="703"/>
      <c r="N2" s="704">
        <v>2015</v>
      </c>
      <c r="O2" s="704"/>
      <c r="P2" s="704"/>
      <c r="Q2" s="705"/>
      <c r="R2" s="699">
        <v>2016</v>
      </c>
      <c r="S2" s="702"/>
      <c r="T2" s="702"/>
      <c r="U2" s="703"/>
      <c r="V2" s="699" t="s">
        <v>253</v>
      </c>
      <c r="W2" s="702"/>
      <c r="X2" s="702"/>
      <c r="Y2" s="703"/>
      <c r="Z2" s="699" t="s">
        <v>272</v>
      </c>
      <c r="AA2" s="702"/>
      <c r="AB2" s="702"/>
      <c r="AC2" s="703"/>
      <c r="AD2" s="699" t="s">
        <v>307</v>
      </c>
      <c r="AE2" s="700"/>
      <c r="AF2" s="700"/>
      <c r="AG2" s="701"/>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c r="IW2" s="27"/>
      <c r="IX2" s="27"/>
      <c r="IY2" s="27"/>
      <c r="IZ2" s="27"/>
      <c r="JA2" s="27"/>
      <c r="JB2" s="27"/>
      <c r="JC2" s="27"/>
      <c r="JD2" s="27"/>
      <c r="JE2" s="27"/>
      <c r="JF2" s="27"/>
      <c r="JG2" s="27"/>
      <c r="JH2" s="27"/>
      <c r="JI2" s="27"/>
      <c r="JJ2" s="27"/>
      <c r="JK2" s="27"/>
      <c r="JL2" s="27"/>
      <c r="JM2" s="27"/>
      <c r="JN2" s="27"/>
      <c r="JO2" s="27"/>
      <c r="JP2" s="27"/>
      <c r="JQ2" s="27"/>
      <c r="JR2" s="27"/>
      <c r="JS2" s="27"/>
      <c r="JT2" s="27"/>
      <c r="JU2" s="27"/>
      <c r="JV2" s="27"/>
      <c r="JW2" s="27"/>
      <c r="JX2" s="27"/>
      <c r="JY2" s="27"/>
      <c r="JZ2" s="27"/>
      <c r="KA2" s="27"/>
      <c r="KB2" s="27"/>
      <c r="KC2" s="27"/>
      <c r="KD2" s="27"/>
      <c r="KE2" s="27"/>
      <c r="KF2" s="27"/>
      <c r="KG2" s="27"/>
      <c r="KH2" s="27"/>
      <c r="KI2" s="27"/>
      <c r="KJ2" s="27"/>
      <c r="KK2" s="27"/>
      <c r="KL2" s="27"/>
      <c r="KM2" s="27"/>
      <c r="KN2" s="27"/>
      <c r="KO2" s="27"/>
      <c r="KP2" s="27"/>
      <c r="KQ2" s="27"/>
      <c r="KR2" s="27"/>
      <c r="KS2" s="27"/>
      <c r="KT2" s="27"/>
      <c r="KU2" s="27"/>
      <c r="KV2" s="27"/>
      <c r="KW2" s="27"/>
      <c r="KX2" s="27"/>
      <c r="KY2" s="27"/>
      <c r="KZ2" s="27"/>
      <c r="LA2" s="27"/>
      <c r="LB2" s="27"/>
      <c r="LC2" s="27"/>
      <c r="LD2" s="27"/>
      <c r="LE2" s="27"/>
      <c r="LF2" s="27"/>
      <c r="LG2" s="27"/>
      <c r="LH2" s="27"/>
      <c r="LI2" s="27"/>
      <c r="LJ2" s="27"/>
      <c r="LK2" s="27"/>
      <c r="LL2" s="27"/>
      <c r="LM2" s="27"/>
      <c r="LN2" s="27"/>
      <c r="LO2" s="27"/>
      <c r="LP2" s="27"/>
      <c r="LQ2" s="27"/>
      <c r="LR2" s="27"/>
      <c r="LS2" s="27"/>
      <c r="LT2" s="27"/>
      <c r="LU2" s="27"/>
      <c r="LV2" s="27"/>
      <c r="LW2" s="27"/>
      <c r="LX2" s="27"/>
      <c r="LY2" s="27"/>
      <c r="LZ2" s="27"/>
      <c r="MA2" s="27"/>
      <c r="MB2" s="27"/>
      <c r="MC2" s="27"/>
      <c r="MD2" s="27"/>
      <c r="ME2" s="27"/>
      <c r="MF2" s="27"/>
      <c r="MG2" s="27"/>
      <c r="MH2" s="27"/>
      <c r="MI2" s="27"/>
      <c r="MJ2" s="27"/>
      <c r="MK2" s="27"/>
      <c r="ML2" s="27"/>
      <c r="MM2" s="27"/>
      <c r="MN2" s="27"/>
      <c r="MO2" s="27"/>
      <c r="MP2" s="27"/>
      <c r="MQ2" s="27"/>
      <c r="MR2" s="27"/>
      <c r="MS2" s="27"/>
      <c r="MT2" s="27"/>
      <c r="MU2" s="27"/>
      <c r="MV2" s="27"/>
      <c r="MW2" s="27"/>
      <c r="MX2" s="27"/>
      <c r="MY2" s="27"/>
      <c r="MZ2" s="27"/>
      <c r="NA2" s="27"/>
      <c r="NB2" s="27"/>
      <c r="NC2" s="27"/>
      <c r="ND2" s="27"/>
      <c r="NE2" s="27"/>
      <c r="NF2" s="27"/>
      <c r="NG2" s="27"/>
      <c r="NH2" s="27"/>
      <c r="NI2" s="27"/>
      <c r="NJ2" s="27"/>
      <c r="NK2" s="27"/>
      <c r="NL2" s="27"/>
      <c r="NM2" s="27"/>
      <c r="NN2" s="27"/>
      <c r="NO2" s="27"/>
      <c r="NP2" s="27"/>
      <c r="NQ2" s="27"/>
      <c r="NR2" s="27"/>
      <c r="NS2" s="27"/>
      <c r="NT2" s="27"/>
      <c r="NU2" s="27"/>
      <c r="NV2" s="27"/>
      <c r="NW2" s="27"/>
      <c r="NX2" s="27"/>
      <c r="NY2" s="27"/>
      <c r="NZ2" s="27"/>
      <c r="OA2" s="27"/>
      <c r="OB2" s="27"/>
      <c r="OC2" s="27"/>
      <c r="OD2" s="27"/>
      <c r="OE2" s="27"/>
      <c r="OF2" s="27"/>
      <c r="OG2" s="27"/>
      <c r="OH2" s="27"/>
      <c r="OI2" s="27"/>
      <c r="OJ2" s="27"/>
      <c r="OK2" s="27"/>
      <c r="OL2" s="27"/>
      <c r="OM2" s="27"/>
      <c r="ON2" s="27"/>
      <c r="OO2" s="27"/>
      <c r="OP2" s="27"/>
      <c r="OQ2" s="27"/>
      <c r="OR2" s="27"/>
      <c r="OS2" s="27"/>
      <c r="OT2" s="27"/>
      <c r="OU2" s="27"/>
      <c r="OV2" s="27"/>
      <c r="OW2" s="27"/>
      <c r="OX2" s="27"/>
      <c r="OY2" s="27"/>
      <c r="OZ2" s="27"/>
      <c r="PA2" s="27"/>
      <c r="PB2" s="27"/>
      <c r="PC2" s="27"/>
      <c r="PD2" s="27"/>
      <c r="PE2" s="27"/>
      <c r="PF2" s="27"/>
      <c r="PG2" s="27"/>
      <c r="PH2" s="27"/>
      <c r="PI2" s="27"/>
      <c r="PJ2" s="27"/>
      <c r="PK2" s="27"/>
      <c r="PL2" s="27"/>
      <c r="PM2" s="27"/>
      <c r="PN2" s="27"/>
      <c r="PO2" s="27"/>
      <c r="PP2" s="27"/>
      <c r="PQ2" s="27"/>
      <c r="PR2" s="27"/>
      <c r="PS2" s="27"/>
      <c r="PT2" s="27"/>
      <c r="PU2" s="27"/>
      <c r="PV2" s="27"/>
      <c r="PW2" s="27"/>
      <c r="PX2" s="27"/>
      <c r="PY2" s="27"/>
      <c r="PZ2" s="27"/>
      <c r="QA2" s="27"/>
      <c r="QB2" s="27"/>
      <c r="QC2" s="27"/>
      <c r="QD2" s="27"/>
      <c r="QE2" s="27"/>
      <c r="QF2" s="27"/>
      <c r="QG2" s="27"/>
      <c r="QH2" s="27"/>
      <c r="QI2" s="27"/>
      <c r="QJ2" s="27"/>
      <c r="QK2" s="27"/>
      <c r="QL2" s="27"/>
      <c r="QM2" s="27"/>
      <c r="QN2" s="27"/>
      <c r="QO2" s="27"/>
      <c r="QP2" s="27"/>
      <c r="QQ2" s="27"/>
      <c r="QR2" s="27"/>
      <c r="QS2" s="27"/>
      <c r="QT2" s="27"/>
      <c r="QU2" s="27"/>
      <c r="QV2" s="27"/>
      <c r="QW2" s="27"/>
      <c r="QX2" s="27"/>
      <c r="QY2" s="27"/>
      <c r="QZ2" s="27"/>
      <c r="RA2" s="27"/>
      <c r="RB2" s="27"/>
      <c r="RC2" s="27"/>
      <c r="RD2" s="27"/>
      <c r="RE2" s="27"/>
      <c r="RF2" s="27"/>
      <c r="RG2" s="27"/>
      <c r="RH2" s="27"/>
      <c r="RI2" s="27"/>
      <c r="RJ2" s="27"/>
      <c r="RK2" s="27"/>
      <c r="RL2" s="27"/>
      <c r="RM2" s="27"/>
      <c r="RN2" s="27"/>
      <c r="RO2" s="27"/>
      <c r="RP2" s="27"/>
      <c r="RQ2" s="27"/>
      <c r="RR2" s="27"/>
      <c r="RS2" s="27"/>
      <c r="RT2" s="27"/>
      <c r="RU2" s="27"/>
      <c r="RV2" s="27"/>
    </row>
    <row r="3" spans="1:490" ht="34.5" customHeight="1" thickBot="1">
      <c r="A3" s="9" t="s">
        <v>101</v>
      </c>
      <c r="B3" s="29" t="s">
        <v>118</v>
      </c>
      <c r="C3" s="29" t="s">
        <v>119</v>
      </c>
      <c r="D3" s="29" t="s">
        <v>120</v>
      </c>
      <c r="E3" s="77" t="s">
        <v>121</v>
      </c>
      <c r="F3" s="29" t="s">
        <v>118</v>
      </c>
      <c r="G3" s="29" t="s">
        <v>119</v>
      </c>
      <c r="H3" s="29" t="s">
        <v>120</v>
      </c>
      <c r="I3" s="70" t="s">
        <v>121</v>
      </c>
      <c r="J3" s="78" t="s">
        <v>118</v>
      </c>
      <c r="K3" s="29" t="s">
        <v>119</v>
      </c>
      <c r="L3" s="29" t="s">
        <v>120</v>
      </c>
      <c r="M3" s="79" t="s">
        <v>194</v>
      </c>
      <c r="N3" s="29" t="s">
        <v>118</v>
      </c>
      <c r="O3" s="29" t="s">
        <v>119</v>
      </c>
      <c r="P3" s="29" t="s">
        <v>120</v>
      </c>
      <c r="Q3" s="77" t="s">
        <v>121</v>
      </c>
      <c r="R3" s="29" t="s">
        <v>118</v>
      </c>
      <c r="S3" s="29" t="s">
        <v>119</v>
      </c>
      <c r="T3" s="29" t="s">
        <v>120</v>
      </c>
      <c r="U3" s="77" t="s">
        <v>121</v>
      </c>
      <c r="V3" s="29" t="s">
        <v>118</v>
      </c>
      <c r="W3" s="29" t="s">
        <v>119</v>
      </c>
      <c r="X3" s="29" t="s">
        <v>120</v>
      </c>
      <c r="Y3" s="77" t="s">
        <v>121</v>
      </c>
      <c r="Z3" s="446" t="s">
        <v>118</v>
      </c>
      <c r="AA3" s="29" t="s">
        <v>119</v>
      </c>
      <c r="AB3" s="29" t="s">
        <v>120</v>
      </c>
      <c r="AC3" s="77" t="s">
        <v>121</v>
      </c>
      <c r="AD3" s="446" t="s">
        <v>118</v>
      </c>
      <c r="AE3" s="29" t="s">
        <v>119</v>
      </c>
      <c r="AF3" s="29" t="s">
        <v>120</v>
      </c>
      <c r="AG3" s="77" t="s">
        <v>121</v>
      </c>
    </row>
    <row r="4" spans="1:490" s="12" customFormat="1" ht="33.75" customHeight="1" thickBot="1">
      <c r="A4" s="64" t="s">
        <v>4</v>
      </c>
      <c r="B4" s="65"/>
      <c r="C4" s="65"/>
      <c r="D4" s="65"/>
      <c r="E4" s="81"/>
      <c r="F4" s="65"/>
      <c r="G4" s="65"/>
      <c r="H4" s="65"/>
      <c r="I4" s="71"/>
      <c r="J4" s="80"/>
      <c r="K4" s="66"/>
      <c r="L4" s="66"/>
      <c r="M4" s="81"/>
      <c r="N4" s="65"/>
      <c r="O4" s="65"/>
      <c r="P4" s="66"/>
      <c r="Q4" s="81"/>
      <c r="R4" s="65"/>
      <c r="S4" s="65"/>
      <c r="T4" s="65"/>
      <c r="U4" s="81"/>
      <c r="V4" s="65"/>
      <c r="W4" s="65"/>
      <c r="X4" s="65"/>
      <c r="Y4" s="81"/>
      <c r="Z4" s="65"/>
      <c r="AA4" s="65"/>
      <c r="AB4" s="65"/>
      <c r="AC4" s="81"/>
      <c r="AD4" s="65"/>
      <c r="AE4" s="65"/>
      <c r="AF4" s="65"/>
      <c r="AG4" s="81"/>
    </row>
    <row r="5" spans="1:490" s="12" customFormat="1" ht="20.100000000000001" customHeight="1">
      <c r="A5" s="50" t="s">
        <v>5</v>
      </c>
      <c r="B5" s="34">
        <f>415.308</f>
        <v>415.30799999999999</v>
      </c>
      <c r="C5" s="34">
        <f>419.479</f>
        <v>419.47899999999998</v>
      </c>
      <c r="D5" s="61">
        <f>(425068)*0.001</f>
        <v>425.06799999999998</v>
      </c>
      <c r="E5" s="287">
        <f>(420060)*0.001</f>
        <v>420.06</v>
      </c>
      <c r="F5" s="61">
        <f>(419894)*0.001</f>
        <v>419.89400000000001</v>
      </c>
      <c r="G5" s="61">
        <f>(418521)*0.001</f>
        <v>418.52100000000002</v>
      </c>
      <c r="H5" s="61">
        <f>(409736)*0.001</f>
        <v>409.73599999999999</v>
      </c>
      <c r="I5" s="288">
        <f>(407579)*0.001</f>
        <v>407.57900000000001</v>
      </c>
      <c r="J5" s="289">
        <f>(395393)*0.001</f>
        <v>395.39300000000003</v>
      </c>
      <c r="K5" s="34">
        <v>384.8</v>
      </c>
      <c r="L5" s="34">
        <v>417</v>
      </c>
      <c r="M5" s="82">
        <v>421.1</v>
      </c>
      <c r="N5" s="34">
        <v>416.6</v>
      </c>
      <c r="O5" s="34">
        <v>401.1</v>
      </c>
      <c r="P5" s="34">
        <v>377</v>
      </c>
      <c r="Q5" s="227">
        <v>371</v>
      </c>
      <c r="R5" s="266">
        <v>356.7</v>
      </c>
      <c r="S5" s="266">
        <v>353.3</v>
      </c>
      <c r="T5" s="266">
        <v>350.4</v>
      </c>
      <c r="U5" s="227">
        <v>350.9</v>
      </c>
      <c r="V5" s="266">
        <v>342.2</v>
      </c>
      <c r="W5" s="266">
        <v>332.9</v>
      </c>
      <c r="X5" s="266">
        <v>324</v>
      </c>
      <c r="Y5" s="227">
        <v>325.3</v>
      </c>
      <c r="Z5" s="548">
        <v>312.5</v>
      </c>
      <c r="AA5" s="548">
        <v>294.10000000000002</v>
      </c>
      <c r="AB5" s="548">
        <v>275.8</v>
      </c>
      <c r="AC5" s="227">
        <v>264.5</v>
      </c>
      <c r="AD5" s="564">
        <v>258.2</v>
      </c>
      <c r="AE5" s="564"/>
      <c r="AF5" s="564"/>
      <c r="AG5" s="227"/>
      <c r="AI5" s="673"/>
    </row>
    <row r="6" spans="1:490" s="12" customFormat="1" ht="20.100000000000001" customHeight="1">
      <c r="A6" s="50" t="s">
        <v>6</v>
      </c>
      <c r="B6" s="34">
        <f>258.7</f>
        <v>258.7</v>
      </c>
      <c r="C6" s="34">
        <f>258.506</f>
        <v>258.50599999999997</v>
      </c>
      <c r="D6" s="61">
        <f>(257043)*0.001</f>
        <v>257.04300000000001</v>
      </c>
      <c r="E6" s="287">
        <f>(276407)*0.001</f>
        <v>276.40699999999998</v>
      </c>
      <c r="F6" s="61">
        <f>(266252)*0.001</f>
        <v>266.25200000000001</v>
      </c>
      <c r="G6" s="61">
        <f>(265011)*0.001</f>
        <v>265.01100000000002</v>
      </c>
      <c r="H6" s="61">
        <f>(252063)*0.001</f>
        <v>252.06300000000002</v>
      </c>
      <c r="I6" s="288">
        <f>(251152)*0.001</f>
        <v>251.15200000000002</v>
      </c>
      <c r="J6" s="289">
        <f>(248178)*0.001</f>
        <v>248.178</v>
      </c>
      <c r="K6" s="33">
        <v>3010.6</v>
      </c>
      <c r="L6" s="33">
        <v>2933.8</v>
      </c>
      <c r="M6" s="82">
        <v>2714.9</v>
      </c>
      <c r="N6" s="34">
        <v>2855.8</v>
      </c>
      <c r="O6" s="34">
        <v>2541.1999999999998</v>
      </c>
      <c r="P6" s="33">
        <v>2535.1999999999998</v>
      </c>
      <c r="Q6" s="227">
        <v>2548.6</v>
      </c>
      <c r="R6" s="266">
        <v>3002.2</v>
      </c>
      <c r="S6" s="266">
        <v>2931</v>
      </c>
      <c r="T6" s="266">
        <v>2882.8</v>
      </c>
      <c r="U6" s="227">
        <v>2964.3</v>
      </c>
      <c r="V6" s="266">
        <v>2885.9</v>
      </c>
      <c r="W6" s="266">
        <v>2904.7</v>
      </c>
      <c r="X6" s="266">
        <v>2866.4</v>
      </c>
      <c r="Y6" s="227">
        <v>2867.1</v>
      </c>
      <c r="Z6" s="548">
        <v>2797</v>
      </c>
      <c r="AA6" s="548">
        <v>4419.8999999999996</v>
      </c>
      <c r="AB6" s="548">
        <v>4438</v>
      </c>
      <c r="AC6" s="227">
        <v>4792.2</v>
      </c>
      <c r="AD6" s="564">
        <v>4720.3</v>
      </c>
      <c r="AE6" s="564"/>
      <c r="AF6" s="564"/>
      <c r="AG6" s="227"/>
      <c r="AI6" s="673"/>
    </row>
    <row r="7" spans="1:490" s="12" customFormat="1" ht="20.100000000000001" customHeight="1">
      <c r="A7" s="50" t="s">
        <v>9</v>
      </c>
      <c r="B7" s="34">
        <f>2422.989</f>
        <v>2422.989</v>
      </c>
      <c r="C7" s="34">
        <f>2575.456</f>
        <v>2575.4560000000001</v>
      </c>
      <c r="D7" s="34">
        <f>(2575456)*0.001</f>
        <v>2575.4560000000001</v>
      </c>
      <c r="E7" s="82">
        <f>(2568033)*0.001</f>
        <v>2568.0329999999999</v>
      </c>
      <c r="F7" s="34">
        <f>(2568033)*0.001</f>
        <v>2568.0329999999999</v>
      </c>
      <c r="G7" s="34">
        <f>(2568033)*0.001</f>
        <v>2568.0329999999999</v>
      </c>
      <c r="H7" s="34">
        <f>(2637594)*0.001</f>
        <v>2637.5940000000001</v>
      </c>
      <c r="I7" s="82">
        <f>(2602804)*0.001</f>
        <v>2602.8040000000001</v>
      </c>
      <c r="J7" s="34">
        <f>(2602804)*0.001</f>
        <v>2602.8040000000001</v>
      </c>
      <c r="K7" s="33">
        <v>11735.5</v>
      </c>
      <c r="L7" s="33">
        <v>11735.5</v>
      </c>
      <c r="M7" s="82">
        <v>10585.3</v>
      </c>
      <c r="N7" s="34">
        <v>10831.2</v>
      </c>
      <c r="O7" s="34">
        <v>10606.4</v>
      </c>
      <c r="P7" s="33">
        <v>10606.4</v>
      </c>
      <c r="Q7" s="227">
        <v>10606.4</v>
      </c>
      <c r="R7" s="266">
        <v>11675.3</v>
      </c>
      <c r="S7" s="266">
        <v>10975.2</v>
      </c>
      <c r="T7" s="266">
        <v>10975.3</v>
      </c>
      <c r="U7" s="227">
        <v>10975.4</v>
      </c>
      <c r="V7" s="266">
        <v>10975.4</v>
      </c>
      <c r="W7" s="266">
        <v>10975.4</v>
      </c>
      <c r="X7" s="266">
        <v>10975.4</v>
      </c>
      <c r="Y7" s="227">
        <v>11041.7</v>
      </c>
      <c r="Z7" s="548">
        <v>11060.5</v>
      </c>
      <c r="AA7" s="548">
        <v>11530</v>
      </c>
      <c r="AB7" s="548">
        <v>11519.3</v>
      </c>
      <c r="AC7" s="227">
        <v>11309.4</v>
      </c>
      <c r="AD7" s="564">
        <v>11309.4</v>
      </c>
      <c r="AE7" s="564"/>
      <c r="AF7" s="564"/>
      <c r="AG7" s="227"/>
      <c r="AI7" s="673"/>
    </row>
    <row r="8" spans="1:490" s="12" customFormat="1" ht="20.100000000000001" customHeight="1">
      <c r="A8" s="50" t="s">
        <v>184</v>
      </c>
      <c r="B8" s="35">
        <f>0</f>
        <v>0</v>
      </c>
      <c r="C8" s="35">
        <v>0</v>
      </c>
      <c r="D8" s="35">
        <f>0</f>
        <v>0</v>
      </c>
      <c r="E8" s="88">
        <v>0</v>
      </c>
      <c r="F8" s="35">
        <f>0</f>
        <v>0</v>
      </c>
      <c r="G8" s="35">
        <f>0</f>
        <v>0</v>
      </c>
      <c r="H8" s="35">
        <f>0</f>
        <v>0</v>
      </c>
      <c r="I8" s="72">
        <f>0</f>
        <v>0</v>
      </c>
      <c r="J8" s="83">
        <v>0</v>
      </c>
      <c r="K8" s="33">
        <v>4482</v>
      </c>
      <c r="L8" s="33">
        <v>4331.8999999999996</v>
      </c>
      <c r="M8" s="82">
        <v>4255.8</v>
      </c>
      <c r="N8" s="37">
        <v>4002.2</v>
      </c>
      <c r="O8" s="37">
        <v>3944.6</v>
      </c>
      <c r="P8" s="33">
        <v>3791.6</v>
      </c>
      <c r="Q8" s="227">
        <v>3638.5</v>
      </c>
      <c r="R8" s="267">
        <v>3488.7</v>
      </c>
      <c r="S8" s="267">
        <v>3337.3</v>
      </c>
      <c r="T8" s="267">
        <v>3184.2</v>
      </c>
      <c r="U8" s="227">
        <v>3031.2</v>
      </c>
      <c r="V8" s="267">
        <v>2883.1</v>
      </c>
      <c r="W8" s="267">
        <v>2762.8</v>
      </c>
      <c r="X8" s="267">
        <v>2660.5</v>
      </c>
      <c r="Y8" s="227">
        <v>2557.3000000000002</v>
      </c>
      <c r="Z8" s="548">
        <v>2458.6</v>
      </c>
      <c r="AA8" s="549">
        <v>2358.6999999999998</v>
      </c>
      <c r="AB8" s="548">
        <v>2257.6999999999998</v>
      </c>
      <c r="AC8" s="227">
        <v>2212.1999999999998</v>
      </c>
      <c r="AD8" s="564">
        <v>2111.6</v>
      </c>
      <c r="AE8" s="553"/>
      <c r="AF8" s="564"/>
      <c r="AG8" s="227"/>
      <c r="AI8" s="673"/>
    </row>
    <row r="9" spans="1:490" s="12" customFormat="1" ht="20.100000000000001" customHeight="1">
      <c r="A9" s="50" t="s">
        <v>55</v>
      </c>
      <c r="B9" s="34">
        <f>840</f>
        <v>840</v>
      </c>
      <c r="C9" s="61">
        <f>(840000)*0.001</f>
        <v>840</v>
      </c>
      <c r="D9" s="61">
        <f>(840000)*0.001</f>
        <v>840</v>
      </c>
      <c r="E9" s="287">
        <f>(847800)*0.001</f>
        <v>847.80000000000007</v>
      </c>
      <c r="F9" s="61">
        <f>(847800)*0.001</f>
        <v>847.80000000000007</v>
      </c>
      <c r="G9" s="61">
        <f>(847800)*0.001</f>
        <v>847.80000000000007</v>
      </c>
      <c r="H9" s="61">
        <f>(847800)*0.001</f>
        <v>847.80000000000007</v>
      </c>
      <c r="I9" s="288">
        <f>(890800)*0.001</f>
        <v>890.80000000000007</v>
      </c>
      <c r="J9" s="289">
        <f>(890800)*0.001</f>
        <v>890.80000000000007</v>
      </c>
      <c r="K9" s="38">
        <v>890.8</v>
      </c>
      <c r="L9" s="38">
        <v>890.8</v>
      </c>
      <c r="M9" s="82">
        <v>2085.9</v>
      </c>
      <c r="N9" s="34">
        <v>1783.7</v>
      </c>
      <c r="O9" s="34">
        <v>2092.6999999999998</v>
      </c>
      <c r="P9" s="38">
        <v>2086.6</v>
      </c>
      <c r="Q9" s="227">
        <v>2080.6</v>
      </c>
      <c r="R9" s="266">
        <v>2074.6</v>
      </c>
      <c r="S9" s="266">
        <v>2068.6</v>
      </c>
      <c r="T9" s="266">
        <v>2062.5</v>
      </c>
      <c r="U9" s="227">
        <v>2056.5</v>
      </c>
      <c r="V9" s="266">
        <v>2050.5</v>
      </c>
      <c r="W9" s="266">
        <v>2044.4</v>
      </c>
      <c r="X9" s="266">
        <v>2038.4</v>
      </c>
      <c r="Y9" s="227">
        <v>2037.1</v>
      </c>
      <c r="Z9" s="548">
        <v>2031</v>
      </c>
      <c r="AA9" s="548">
        <v>2024.8</v>
      </c>
      <c r="AB9" s="548">
        <v>2019</v>
      </c>
      <c r="AC9" s="227">
        <v>2096.1</v>
      </c>
      <c r="AD9" s="564">
        <v>2087.9</v>
      </c>
      <c r="AE9" s="564"/>
      <c r="AF9" s="564"/>
      <c r="AG9" s="227"/>
      <c r="AI9" s="673"/>
    </row>
    <row r="10" spans="1:490" s="12" customFormat="1" ht="20.100000000000001" customHeight="1">
      <c r="A10" s="50" t="s">
        <v>60</v>
      </c>
      <c r="B10" s="34">
        <f>69.466</f>
        <v>69.465999999999994</v>
      </c>
      <c r="C10" s="61">
        <f>(69627)*0.001</f>
        <v>69.626999999999995</v>
      </c>
      <c r="D10" s="61">
        <f>(68459)*0.001</f>
        <v>68.459000000000003</v>
      </c>
      <c r="E10" s="287">
        <f>(81380)*0.001</f>
        <v>81.38</v>
      </c>
      <c r="F10" s="61">
        <f>(82841)*0.001</f>
        <v>82.841000000000008</v>
      </c>
      <c r="G10" s="61">
        <f>(83804)*0.001</f>
        <v>83.804000000000002</v>
      </c>
      <c r="H10" s="61">
        <f>(115337)*0.001</f>
        <v>115.337</v>
      </c>
      <c r="I10" s="288">
        <f>(137401)*0.001</f>
        <v>137.40100000000001</v>
      </c>
      <c r="J10" s="289">
        <f>(136697)*0.001</f>
        <v>136.697</v>
      </c>
      <c r="K10" s="33">
        <v>2360.6</v>
      </c>
      <c r="L10" s="33">
        <v>2624.2</v>
      </c>
      <c r="M10" s="82">
        <v>2591.4</v>
      </c>
      <c r="N10" s="34">
        <v>2527.5</v>
      </c>
      <c r="O10" s="34">
        <v>2525.8000000000002</v>
      </c>
      <c r="P10" s="33">
        <v>2464.1999999999998</v>
      </c>
      <c r="Q10" s="227">
        <v>2422.1999999999998</v>
      </c>
      <c r="R10" s="266">
        <v>2988.7</v>
      </c>
      <c r="S10" s="266">
        <v>3903</v>
      </c>
      <c r="T10" s="266">
        <v>3769.5</v>
      </c>
      <c r="U10" s="227">
        <v>3656.2</v>
      </c>
      <c r="V10" s="266">
        <v>3540.5</v>
      </c>
      <c r="W10" s="266">
        <v>3471.1</v>
      </c>
      <c r="X10" s="266">
        <v>3343.6</v>
      </c>
      <c r="Y10" s="227">
        <v>3261.5</v>
      </c>
      <c r="Z10" s="548">
        <v>3146.4</v>
      </c>
      <c r="AA10" s="548">
        <v>3097.5</v>
      </c>
      <c r="AB10" s="548">
        <v>3015.6</v>
      </c>
      <c r="AC10" s="227">
        <v>3005.5</v>
      </c>
      <c r="AD10" s="564">
        <v>2967.8</v>
      </c>
      <c r="AE10" s="564"/>
      <c r="AF10" s="564"/>
      <c r="AG10" s="227"/>
      <c r="AI10" s="673"/>
    </row>
    <row r="11" spans="1:490" s="12" customFormat="1" ht="20.100000000000001" customHeight="1">
      <c r="A11" s="50" t="s">
        <v>294</v>
      </c>
      <c r="B11" s="34"/>
      <c r="C11" s="61"/>
      <c r="D11" s="61"/>
      <c r="E11" s="287"/>
      <c r="F11" s="61"/>
      <c r="G11" s="61"/>
      <c r="H11" s="61"/>
      <c r="I11" s="288"/>
      <c r="J11" s="289"/>
      <c r="K11" s="33"/>
      <c r="L11" s="33"/>
      <c r="M11" s="82"/>
      <c r="N11" s="34"/>
      <c r="O11" s="34"/>
      <c r="P11" s="33"/>
      <c r="Q11" s="227"/>
      <c r="R11" s="564"/>
      <c r="S11" s="564"/>
      <c r="T11" s="564"/>
      <c r="U11" s="227"/>
      <c r="V11" s="564"/>
      <c r="W11" s="564"/>
      <c r="X11" s="564"/>
      <c r="Y11" s="227"/>
      <c r="Z11" s="564"/>
      <c r="AA11" s="564"/>
      <c r="AB11" s="564"/>
      <c r="AC11" s="227"/>
      <c r="AD11" s="564">
        <v>1482</v>
      </c>
      <c r="AE11" s="564"/>
      <c r="AF11" s="564"/>
      <c r="AG11" s="227"/>
      <c r="AI11" s="673"/>
    </row>
    <row r="12" spans="1:490" s="12" customFormat="1" ht="20.100000000000001" customHeight="1">
      <c r="A12" s="50" t="s">
        <v>56</v>
      </c>
      <c r="B12" s="34">
        <f>91.415</f>
        <v>91.415000000000006</v>
      </c>
      <c r="C12" s="61">
        <f>(95405)*0.001</f>
        <v>95.405000000000001</v>
      </c>
      <c r="D12" s="61">
        <f>(95323)*0.001</f>
        <v>95.323000000000008</v>
      </c>
      <c r="E12" s="287">
        <f>(97988)*0.001</f>
        <v>97.988</v>
      </c>
      <c r="F12" s="61">
        <f>(104074)*0.001</f>
        <v>104.074</v>
      </c>
      <c r="G12" s="61">
        <f>(115904)*0.001</f>
        <v>115.904</v>
      </c>
      <c r="H12" s="61">
        <f>(82162)*0.001</f>
        <v>82.162000000000006</v>
      </c>
      <c r="I12" s="288">
        <f>(71571)*0.001</f>
        <v>71.570999999999998</v>
      </c>
      <c r="J12" s="289">
        <f>(107548)*0.001</f>
        <v>107.548</v>
      </c>
      <c r="K12" s="38">
        <v>128.1</v>
      </c>
      <c r="L12" s="38">
        <v>148.80000000000001</v>
      </c>
      <c r="M12" s="82">
        <v>135.80000000000001</v>
      </c>
      <c r="N12" s="34">
        <v>158.69999999999999</v>
      </c>
      <c r="O12" s="34">
        <v>174.6</v>
      </c>
      <c r="P12" s="38">
        <v>109</v>
      </c>
      <c r="Q12" s="227">
        <v>145</v>
      </c>
      <c r="R12" s="266">
        <v>129.80000000000001</v>
      </c>
      <c r="S12" s="266">
        <v>156.19999999999999</v>
      </c>
      <c r="T12" s="266">
        <v>125.6</v>
      </c>
      <c r="U12" s="227">
        <v>151.80000000000001</v>
      </c>
      <c r="V12" s="266">
        <v>150</v>
      </c>
      <c r="W12" s="266">
        <v>167.3</v>
      </c>
      <c r="X12" s="266">
        <v>180.5</v>
      </c>
      <c r="Y12" s="227">
        <v>170.1</v>
      </c>
      <c r="Z12" s="548">
        <v>170.1</v>
      </c>
      <c r="AA12" s="548">
        <v>211.1</v>
      </c>
      <c r="AB12" s="548">
        <v>584.29999999999995</v>
      </c>
      <c r="AC12" s="227">
        <v>503.8</v>
      </c>
      <c r="AD12" s="564">
        <v>474</v>
      </c>
      <c r="AE12" s="564"/>
      <c r="AF12" s="564"/>
      <c r="AG12" s="227"/>
      <c r="AI12" s="673"/>
    </row>
    <row r="13" spans="1:490" s="12" customFormat="1" ht="20.100000000000001" customHeight="1">
      <c r="A13" s="50" t="s">
        <v>7</v>
      </c>
      <c r="B13" s="34">
        <f>8.419</f>
        <v>8.4190000000000005</v>
      </c>
      <c r="C13" s="61">
        <f>(8398)*0.001</f>
        <v>8.3979999999999997</v>
      </c>
      <c r="D13" s="61">
        <f>(8378)*0.001</f>
        <v>8.3780000000000001</v>
      </c>
      <c r="E13" s="287">
        <f>(8357)*0.001</f>
        <v>8.3569999999999993</v>
      </c>
      <c r="F13" s="61">
        <f>(8336)*0.001</f>
        <v>8.3360000000000003</v>
      </c>
      <c r="G13" s="61">
        <f>(7788)*0.001</f>
        <v>7.7880000000000003</v>
      </c>
      <c r="H13" s="61">
        <f>(7427)*0.001</f>
        <v>7.4270000000000005</v>
      </c>
      <c r="I13" s="288">
        <f>(5330)*0.001</f>
        <v>5.33</v>
      </c>
      <c r="J13" s="289">
        <f>(5315)*0.001</f>
        <v>5.3150000000000004</v>
      </c>
      <c r="K13" s="38">
        <v>5.3</v>
      </c>
      <c r="L13" s="38">
        <v>5.3</v>
      </c>
      <c r="M13" s="82">
        <v>5.3</v>
      </c>
      <c r="N13" s="34">
        <v>5.2</v>
      </c>
      <c r="O13" s="34">
        <v>5.2</v>
      </c>
      <c r="P13" s="38">
        <v>5.2</v>
      </c>
      <c r="Q13" s="227">
        <v>5.2</v>
      </c>
      <c r="R13" s="266">
        <v>5.2</v>
      </c>
      <c r="S13" s="266">
        <v>5.2</v>
      </c>
      <c r="T13" s="266">
        <v>5.2</v>
      </c>
      <c r="U13" s="227">
        <v>5.0999999999999996</v>
      </c>
      <c r="V13" s="266">
        <v>5.0999999999999996</v>
      </c>
      <c r="W13" s="266">
        <v>5.0999999999999996</v>
      </c>
      <c r="X13" s="266">
        <v>5.0999999999999996</v>
      </c>
      <c r="Y13" s="227">
        <v>5.0999999999999996</v>
      </c>
      <c r="Z13" s="548">
        <v>5.0999999999999996</v>
      </c>
      <c r="AA13" s="548">
        <v>30</v>
      </c>
      <c r="AB13" s="548">
        <v>29.9</v>
      </c>
      <c r="AC13" s="227">
        <v>29.9</v>
      </c>
      <c r="AD13" s="564">
        <v>29.7</v>
      </c>
      <c r="AE13" s="564"/>
      <c r="AF13" s="564"/>
      <c r="AG13" s="227"/>
      <c r="AI13" s="673"/>
    </row>
    <row r="14" spans="1:490" s="12" customFormat="1" ht="20.100000000000001" customHeight="1">
      <c r="A14" s="50" t="s">
        <v>185</v>
      </c>
      <c r="B14" s="315">
        <v>0</v>
      </c>
      <c r="C14" s="293">
        <f>(33259)*0.001</f>
        <v>33.259</v>
      </c>
      <c r="D14" s="293">
        <f>(33252)*0.001</f>
        <v>33.252000000000002</v>
      </c>
      <c r="E14" s="294">
        <f>(35125)*0.001</f>
        <v>35.125</v>
      </c>
      <c r="F14" s="293">
        <f>(34399)*0.001</f>
        <v>34.399000000000001</v>
      </c>
      <c r="G14" s="293">
        <f>(32935)*0.001</f>
        <v>32.935000000000002</v>
      </c>
      <c r="H14" s="293">
        <f>(29318)*0.001</f>
        <v>29.318000000000001</v>
      </c>
      <c r="I14" s="295">
        <f>(29551)*0.001</f>
        <v>29.551000000000002</v>
      </c>
      <c r="J14" s="296">
        <f>(26502)*0.001</f>
        <v>26.501999999999999</v>
      </c>
      <c r="K14" s="38">
        <v>46.2</v>
      </c>
      <c r="L14" s="38">
        <v>67</v>
      </c>
      <c r="M14" s="82">
        <v>81</v>
      </c>
      <c r="N14" s="34">
        <v>84.1</v>
      </c>
      <c r="O14" s="34">
        <v>82.3</v>
      </c>
      <c r="P14" s="38">
        <v>81.2</v>
      </c>
      <c r="Q14" s="227">
        <v>83.3</v>
      </c>
      <c r="R14" s="266">
        <v>81.099999999999994</v>
      </c>
      <c r="S14" s="266">
        <v>79.7</v>
      </c>
      <c r="T14" s="266">
        <v>80.400000000000006</v>
      </c>
      <c r="U14" s="227">
        <v>82.8</v>
      </c>
      <c r="V14" s="266">
        <v>83.8</v>
      </c>
      <c r="W14" s="266">
        <v>82.9</v>
      </c>
      <c r="X14" s="266">
        <v>85.8</v>
      </c>
      <c r="Y14" s="227">
        <v>91.4</v>
      </c>
      <c r="Z14" s="548">
        <v>90.4</v>
      </c>
      <c r="AA14" s="548">
        <v>93</v>
      </c>
      <c r="AB14" s="548">
        <v>94.8</v>
      </c>
      <c r="AC14" s="227">
        <v>99.7</v>
      </c>
      <c r="AD14" s="564">
        <v>97.9</v>
      </c>
      <c r="AE14" s="564"/>
      <c r="AF14" s="564"/>
      <c r="AG14" s="227"/>
      <c r="AI14" s="673"/>
    </row>
    <row r="15" spans="1:490" s="12" customFormat="1" ht="20.100000000000001" customHeight="1">
      <c r="A15" s="50" t="s">
        <v>173</v>
      </c>
      <c r="B15" s="43">
        <v>0</v>
      </c>
      <c r="C15" s="43">
        <v>0</v>
      </c>
      <c r="D15" s="43">
        <v>0</v>
      </c>
      <c r="E15" s="316">
        <v>0</v>
      </c>
      <c r="F15" s="43">
        <v>0</v>
      </c>
      <c r="G15" s="43">
        <v>0</v>
      </c>
      <c r="H15" s="43">
        <v>0</v>
      </c>
      <c r="I15" s="316">
        <v>0</v>
      </c>
      <c r="J15" s="43">
        <v>0</v>
      </c>
      <c r="K15" s="43">
        <v>0</v>
      </c>
      <c r="L15" s="43">
        <v>0</v>
      </c>
      <c r="M15" s="316">
        <v>0</v>
      </c>
      <c r="N15" s="43">
        <v>0</v>
      </c>
      <c r="O15" s="43">
        <v>0</v>
      </c>
      <c r="P15" s="43">
        <v>0</v>
      </c>
      <c r="Q15" s="316">
        <v>0</v>
      </c>
      <c r="R15" s="266">
        <v>180.5</v>
      </c>
      <c r="S15" s="266">
        <v>0</v>
      </c>
      <c r="T15" s="266">
        <v>0</v>
      </c>
      <c r="U15" s="227">
        <v>0</v>
      </c>
      <c r="V15" s="266">
        <v>0</v>
      </c>
      <c r="W15" s="266">
        <v>0</v>
      </c>
      <c r="X15" s="266">
        <v>0</v>
      </c>
      <c r="Y15" s="227">
        <v>0</v>
      </c>
      <c r="Z15" s="548">
        <v>0</v>
      </c>
      <c r="AA15" s="548">
        <v>0</v>
      </c>
      <c r="AB15" s="564">
        <v>0</v>
      </c>
      <c r="AC15" s="227">
        <v>0</v>
      </c>
      <c r="AD15" s="564">
        <v>0</v>
      </c>
      <c r="AE15" s="564"/>
      <c r="AF15" s="564"/>
      <c r="AG15" s="227"/>
      <c r="AI15" s="673"/>
    </row>
    <row r="16" spans="1:490" s="12" customFormat="1" ht="20.100000000000001" customHeight="1">
      <c r="A16" s="50" t="s">
        <v>186</v>
      </c>
      <c r="B16" s="34">
        <f>92.159</f>
        <v>92.159000000000006</v>
      </c>
      <c r="C16" s="61">
        <f>(84770)*0.001</f>
        <v>84.77</v>
      </c>
      <c r="D16" s="61">
        <f>(116704)*0.001</f>
        <v>116.70400000000001</v>
      </c>
      <c r="E16" s="287">
        <f>(109642)*0.001</f>
        <v>109.642</v>
      </c>
      <c r="F16" s="61">
        <f>(62960)*0.001</f>
        <v>62.96</v>
      </c>
      <c r="G16" s="61">
        <f>(61422)*0.001</f>
        <v>61.422000000000004</v>
      </c>
      <c r="H16" s="61">
        <f>(27107)*0.001</f>
        <v>27.106999999999999</v>
      </c>
      <c r="I16" s="288">
        <f>(20803)*0.001</f>
        <v>20.803000000000001</v>
      </c>
      <c r="J16" s="289">
        <f>(6430)*0.001</f>
        <v>6.43</v>
      </c>
      <c r="K16" s="38">
        <v>107.4</v>
      </c>
      <c r="L16" s="38">
        <v>141.4</v>
      </c>
      <c r="M16" s="82">
        <v>198.5</v>
      </c>
      <c r="N16" s="34">
        <v>238</v>
      </c>
      <c r="O16" s="34">
        <v>232.8</v>
      </c>
      <c r="P16" s="38">
        <v>232.7</v>
      </c>
      <c r="Q16" s="227">
        <v>272.8</v>
      </c>
      <c r="R16" s="266">
        <v>295.39999999999998</v>
      </c>
      <c r="S16" s="266">
        <v>331.8</v>
      </c>
      <c r="T16" s="266">
        <v>373.3</v>
      </c>
      <c r="U16" s="227">
        <v>452</v>
      </c>
      <c r="V16" s="266">
        <v>476.3</v>
      </c>
      <c r="W16" s="266">
        <v>508.1</v>
      </c>
      <c r="X16" s="266">
        <v>544.20000000000005</v>
      </c>
      <c r="Y16" s="227">
        <v>1270.7</v>
      </c>
      <c r="Z16" s="548">
        <v>1280.5999999999999</v>
      </c>
      <c r="AA16" s="548">
        <v>649.29999999999995</v>
      </c>
      <c r="AB16" s="548">
        <v>647.9</v>
      </c>
      <c r="AC16" s="227">
        <v>701.1</v>
      </c>
      <c r="AD16" s="564">
        <v>714.5</v>
      </c>
      <c r="AE16" s="564"/>
      <c r="AF16" s="564"/>
      <c r="AG16" s="227"/>
      <c r="AI16" s="673"/>
    </row>
    <row r="17" spans="1:35" s="377" customFormat="1" ht="25.5">
      <c r="A17" s="420" t="s">
        <v>218</v>
      </c>
      <c r="B17" s="421"/>
      <c r="C17" s="421"/>
      <c r="D17" s="421"/>
      <c r="E17" s="422"/>
      <c r="F17" s="421"/>
      <c r="G17" s="421"/>
      <c r="H17" s="421"/>
      <c r="I17" s="422"/>
      <c r="J17" s="421"/>
      <c r="K17" s="421"/>
      <c r="L17" s="421"/>
      <c r="M17" s="422"/>
      <c r="N17" s="421"/>
      <c r="O17" s="421"/>
      <c r="P17" s="421"/>
      <c r="Q17" s="422"/>
      <c r="R17" s="421"/>
      <c r="S17" s="421"/>
      <c r="T17" s="421"/>
      <c r="U17" s="228">
        <v>0</v>
      </c>
      <c r="V17" s="421"/>
      <c r="W17" s="421"/>
      <c r="X17" s="421"/>
      <c r="Y17" s="228">
        <v>665.2</v>
      </c>
      <c r="Z17" s="550">
        <v>681.2</v>
      </c>
      <c r="AA17" s="550">
        <v>40.4</v>
      </c>
      <c r="AB17" s="565">
        <v>36.9</v>
      </c>
      <c r="AC17" s="228">
        <v>43</v>
      </c>
      <c r="AD17" s="565">
        <v>41.3</v>
      </c>
      <c r="AE17" s="565"/>
      <c r="AF17" s="565"/>
      <c r="AG17" s="228"/>
      <c r="AI17" s="673"/>
    </row>
    <row r="18" spans="1:35" s="30" customFormat="1" ht="20.100000000000001" customHeight="1">
      <c r="A18" s="55" t="s">
        <v>95</v>
      </c>
      <c r="B18" s="40">
        <v>0</v>
      </c>
      <c r="C18" s="40">
        <v>0</v>
      </c>
      <c r="D18" s="40">
        <v>0</v>
      </c>
      <c r="E18" s="98">
        <v>0</v>
      </c>
      <c r="F18" s="40">
        <v>0</v>
      </c>
      <c r="G18" s="40">
        <v>0</v>
      </c>
      <c r="H18" s="40">
        <v>0</v>
      </c>
      <c r="I18" s="73">
        <v>0</v>
      </c>
      <c r="J18" s="84">
        <v>0</v>
      </c>
      <c r="K18" s="40">
        <v>0</v>
      </c>
      <c r="L18" s="40">
        <v>0</v>
      </c>
      <c r="M18" s="85">
        <v>1.2</v>
      </c>
      <c r="N18" s="40">
        <v>0</v>
      </c>
      <c r="O18" s="40">
        <v>0</v>
      </c>
      <c r="P18" s="40">
        <v>0</v>
      </c>
      <c r="Q18" s="228">
        <v>6.9</v>
      </c>
      <c r="R18" s="268">
        <v>0.6</v>
      </c>
      <c r="S18" s="268">
        <v>0</v>
      </c>
      <c r="T18" s="268">
        <v>3.5</v>
      </c>
      <c r="U18" s="228">
        <v>9.5</v>
      </c>
      <c r="V18" s="268">
        <v>7.8</v>
      </c>
      <c r="W18" s="268">
        <v>4.9000000000000004</v>
      </c>
      <c r="X18" s="268">
        <v>2.5</v>
      </c>
      <c r="Y18" s="228">
        <v>1.9</v>
      </c>
      <c r="Z18" s="550">
        <v>0.1</v>
      </c>
      <c r="AA18" s="550">
        <v>1.4</v>
      </c>
      <c r="AB18" s="565">
        <v>2.7</v>
      </c>
      <c r="AC18" s="228">
        <v>0</v>
      </c>
      <c r="AD18" s="565">
        <v>0</v>
      </c>
      <c r="AE18" s="565"/>
      <c r="AF18" s="565"/>
      <c r="AG18" s="228"/>
      <c r="AI18" s="673"/>
    </row>
    <row r="19" spans="1:35" s="12" customFormat="1" ht="20.100000000000001" customHeight="1" thickBot="1">
      <c r="A19" s="51" t="s">
        <v>8</v>
      </c>
      <c r="B19" s="42">
        <f>30.5</f>
        <v>30.5</v>
      </c>
      <c r="C19" s="61">
        <f>(40245)*0.001</f>
        <v>40.244999999999997</v>
      </c>
      <c r="D19" s="61">
        <f>(37018)*0.001</f>
        <v>37.018000000000001</v>
      </c>
      <c r="E19" s="287">
        <f>(31356)*0.001</f>
        <v>31.356000000000002</v>
      </c>
      <c r="F19" s="61">
        <f>(30260)*0.001</f>
        <v>30.26</v>
      </c>
      <c r="G19" s="61">
        <f>(27326)*0.001</f>
        <v>27.326000000000001</v>
      </c>
      <c r="H19" s="61">
        <f>(27552)*0.001</f>
        <v>27.552</v>
      </c>
      <c r="I19" s="288">
        <f>(38854)*0.001</f>
        <v>38.853999999999999</v>
      </c>
      <c r="J19" s="289">
        <f>(34685)*0.001</f>
        <v>34.685000000000002</v>
      </c>
      <c r="K19" s="41">
        <v>240.5</v>
      </c>
      <c r="L19" s="41">
        <v>285.7</v>
      </c>
      <c r="M19" s="86">
        <v>281.10000000000002</v>
      </c>
      <c r="N19" s="42">
        <v>229</v>
      </c>
      <c r="O19" s="42">
        <v>260.89999999999998</v>
      </c>
      <c r="P19" s="41">
        <v>107.2</v>
      </c>
      <c r="Q19" s="227">
        <v>87.6</v>
      </c>
      <c r="R19" s="269">
        <v>211.3</v>
      </c>
      <c r="S19" s="269">
        <v>236.5</v>
      </c>
      <c r="T19" s="269">
        <v>238.4</v>
      </c>
      <c r="U19" s="227">
        <v>232.7</v>
      </c>
      <c r="V19" s="266">
        <v>249.3</v>
      </c>
      <c r="W19" s="269">
        <v>199.9</v>
      </c>
      <c r="X19" s="269">
        <v>192.1</v>
      </c>
      <c r="Y19" s="227">
        <v>197.2</v>
      </c>
      <c r="Z19" s="548">
        <v>178.4</v>
      </c>
      <c r="AA19" s="551">
        <v>216</v>
      </c>
      <c r="AB19" s="548">
        <v>213</v>
      </c>
      <c r="AC19" s="227">
        <v>259.7</v>
      </c>
      <c r="AD19" s="564">
        <v>258.2</v>
      </c>
      <c r="AE19" s="551"/>
      <c r="AF19" s="564"/>
      <c r="AG19" s="227"/>
      <c r="AI19" s="673"/>
    </row>
    <row r="20" spans="1:35" s="15" customFormat="1" ht="24.95" customHeight="1" thickBot="1">
      <c r="A20" s="13" t="s">
        <v>10</v>
      </c>
      <c r="B20" s="54">
        <f t="shared" ref="B20:J20" si="0">(SUM(B5:B19))</f>
        <v>4228.9560000000001</v>
      </c>
      <c r="C20" s="54">
        <f t="shared" si="0"/>
        <v>4425.1450000000004</v>
      </c>
      <c r="D20" s="54">
        <f t="shared" si="0"/>
        <v>4456.701</v>
      </c>
      <c r="E20" s="76">
        <f t="shared" si="0"/>
        <v>4476.1480000000001</v>
      </c>
      <c r="F20" s="54">
        <f t="shared" si="0"/>
        <v>4424.8490000000011</v>
      </c>
      <c r="G20" s="54">
        <f t="shared" si="0"/>
        <v>4428.5439999999999</v>
      </c>
      <c r="H20" s="54">
        <f t="shared" si="0"/>
        <v>4436.0960000000005</v>
      </c>
      <c r="I20" s="54">
        <f t="shared" si="0"/>
        <v>4455.8450000000003</v>
      </c>
      <c r="J20" s="290">
        <f t="shared" si="0"/>
        <v>4454.3520000000008</v>
      </c>
      <c r="K20" s="53">
        <f>SUM(K5:K19)</f>
        <v>23391.8</v>
      </c>
      <c r="L20" s="53">
        <f>SUM(L5:L19)</f>
        <v>23581.399999999998</v>
      </c>
      <c r="M20" s="76">
        <f t="shared" ref="M20:X20" si="1">(SUM(M5:M19))-M18</f>
        <v>23356.1</v>
      </c>
      <c r="N20" s="54">
        <f t="shared" si="1"/>
        <v>23132</v>
      </c>
      <c r="O20" s="54">
        <f t="shared" si="1"/>
        <v>22867.599999999999</v>
      </c>
      <c r="P20" s="54">
        <f t="shared" si="1"/>
        <v>22396.3</v>
      </c>
      <c r="Q20" s="229">
        <f t="shared" si="1"/>
        <v>22261.199999999997</v>
      </c>
      <c r="R20" s="270">
        <f t="shared" si="1"/>
        <v>24489.499999999996</v>
      </c>
      <c r="S20" s="270">
        <f t="shared" si="1"/>
        <v>24377.8</v>
      </c>
      <c r="T20" s="270">
        <f t="shared" si="1"/>
        <v>24047.600000000002</v>
      </c>
      <c r="U20" s="229">
        <f t="shared" si="1"/>
        <v>23958.899999999998</v>
      </c>
      <c r="V20" s="270">
        <f t="shared" si="1"/>
        <v>23642.099999999995</v>
      </c>
      <c r="W20" s="270">
        <f t="shared" si="1"/>
        <v>23454.6</v>
      </c>
      <c r="X20" s="270">
        <f t="shared" si="1"/>
        <v>23215.999999999996</v>
      </c>
      <c r="Y20" s="229">
        <f>(SUM(Y5:Y19))-Y18-Y17</f>
        <v>23824.5</v>
      </c>
      <c r="Z20" s="270">
        <f>SUM(Z5:Z16,Z19)</f>
        <v>23530.6</v>
      </c>
      <c r="AA20" s="270">
        <f>SUM(AA5:AA16,AA19)</f>
        <v>24924.399999999998</v>
      </c>
      <c r="AB20" s="566">
        <f>SUM(AB5:AB16,AB19)</f>
        <v>25095.3</v>
      </c>
      <c r="AC20" s="229">
        <f>(SUM(AC5:AC19))-AC18-AC17</f>
        <v>25274.1</v>
      </c>
      <c r="AD20" s="566">
        <f>SUM(AD5:AD16,AD19)</f>
        <v>26511.500000000004</v>
      </c>
      <c r="AE20" s="566">
        <f>SUM(AE5:AE16,AE19)</f>
        <v>0</v>
      </c>
      <c r="AF20" s="566">
        <f>SUM(AF5:AF16,AF19)</f>
        <v>0</v>
      </c>
      <c r="AG20" s="229">
        <f>(SUM(AG5:AG19))-AG18-AG17</f>
        <v>0</v>
      </c>
      <c r="AI20" s="673"/>
    </row>
    <row r="21" spans="1:35" s="15" customFormat="1" ht="20.100000000000001" customHeight="1">
      <c r="A21" s="49" t="s">
        <v>57</v>
      </c>
      <c r="B21" s="32">
        <f>176.114</f>
        <v>176.114</v>
      </c>
      <c r="C21" s="61">
        <f>(167251)*0.001</f>
        <v>167.251</v>
      </c>
      <c r="D21" s="61">
        <f>(171461)*0.001</f>
        <v>171.46100000000001</v>
      </c>
      <c r="E21" s="287">
        <f>(141652)*0.001</f>
        <v>141.65200000000002</v>
      </c>
      <c r="F21" s="61">
        <f>(155399)*0.001</f>
        <v>155.399</v>
      </c>
      <c r="G21" s="61">
        <f>(170743)*0.001</f>
        <v>170.74299999999999</v>
      </c>
      <c r="H21" s="61">
        <f>(208533)*0.001</f>
        <v>208.53300000000002</v>
      </c>
      <c r="I21" s="288">
        <f>(181341)*0.001</f>
        <v>181.34100000000001</v>
      </c>
      <c r="J21" s="289">
        <f>(228936)*0.001</f>
        <v>228.93600000000001</v>
      </c>
      <c r="K21" s="56">
        <v>199.1</v>
      </c>
      <c r="L21" s="56">
        <v>172.6</v>
      </c>
      <c r="M21" s="87">
        <v>152.1</v>
      </c>
      <c r="N21" s="32">
        <v>163.1</v>
      </c>
      <c r="O21" s="32">
        <v>170.4</v>
      </c>
      <c r="P21" s="56">
        <v>255.6</v>
      </c>
      <c r="Q21" s="227">
        <v>192.2</v>
      </c>
      <c r="R21" s="271">
        <v>234.7</v>
      </c>
      <c r="S21" s="271">
        <v>163.5</v>
      </c>
      <c r="T21" s="271">
        <v>219.1</v>
      </c>
      <c r="U21" s="227">
        <v>192</v>
      </c>
      <c r="V21" s="271">
        <v>179.8</v>
      </c>
      <c r="W21" s="271">
        <v>214.3</v>
      </c>
      <c r="X21" s="271">
        <v>243.6</v>
      </c>
      <c r="Y21" s="227">
        <v>251.7</v>
      </c>
      <c r="Z21" s="555">
        <v>256.60000000000002</v>
      </c>
      <c r="AA21" s="555">
        <v>353.2</v>
      </c>
      <c r="AB21" s="555">
        <v>544.5</v>
      </c>
      <c r="AC21" s="227">
        <v>543.20000000000005</v>
      </c>
      <c r="AD21" s="557">
        <v>539.79999999999995</v>
      </c>
      <c r="AE21" s="557"/>
      <c r="AF21" s="557"/>
      <c r="AG21" s="227"/>
      <c r="AI21" s="673"/>
    </row>
    <row r="22" spans="1:35" s="15" customFormat="1" ht="20.100000000000001" customHeight="1">
      <c r="A22" s="50" t="s">
        <v>236</v>
      </c>
      <c r="B22" s="34"/>
      <c r="C22" s="61"/>
      <c r="D22" s="61"/>
      <c r="E22" s="287"/>
      <c r="F22" s="61"/>
      <c r="G22" s="61"/>
      <c r="H22" s="61"/>
      <c r="I22" s="288"/>
      <c r="J22" s="289"/>
      <c r="K22" s="38"/>
      <c r="L22" s="38"/>
      <c r="M22" s="82"/>
      <c r="N22" s="34"/>
      <c r="O22" s="34"/>
      <c r="P22" s="38"/>
      <c r="Q22" s="227"/>
      <c r="R22" s="266"/>
      <c r="S22" s="266"/>
      <c r="T22" s="266"/>
      <c r="U22" s="227"/>
      <c r="V22" s="266"/>
      <c r="W22" s="266"/>
      <c r="X22" s="266"/>
      <c r="Y22" s="227"/>
      <c r="Z22" s="552">
        <v>680.8</v>
      </c>
      <c r="AA22" s="552">
        <v>681.5</v>
      </c>
      <c r="AB22" s="552">
        <v>655.20000000000005</v>
      </c>
      <c r="AC22" s="227">
        <v>648.4</v>
      </c>
      <c r="AD22" s="564">
        <v>657.6</v>
      </c>
      <c r="AE22" s="564"/>
      <c r="AF22" s="564"/>
      <c r="AG22" s="227"/>
      <c r="AI22" s="673"/>
    </row>
    <row r="23" spans="1:35" s="12" customFormat="1" ht="20.100000000000001" customHeight="1">
      <c r="A23" s="50" t="s">
        <v>11</v>
      </c>
      <c r="B23" s="34">
        <f>185.376</f>
        <v>185.376</v>
      </c>
      <c r="C23" s="61">
        <f>(185528)*0.001</f>
        <v>185.52799999999999</v>
      </c>
      <c r="D23" s="61">
        <f>(177054)*0.001</f>
        <v>177.054</v>
      </c>
      <c r="E23" s="287">
        <f>(161974)*0.001</f>
        <v>161.97399999999999</v>
      </c>
      <c r="F23" s="61">
        <f>(150701)*0.001</f>
        <v>150.70099999999999</v>
      </c>
      <c r="G23" s="61">
        <f>(157445)*0.001</f>
        <v>157.44499999999999</v>
      </c>
      <c r="H23" s="61">
        <f>(155698)*0.001</f>
        <v>155.69800000000001</v>
      </c>
      <c r="I23" s="288">
        <f>(146771)*0.001</f>
        <v>146.77100000000002</v>
      </c>
      <c r="J23" s="289">
        <f>(163072)*0.001</f>
        <v>163.072</v>
      </c>
      <c r="K23" s="33">
        <v>343.8</v>
      </c>
      <c r="L23" s="33">
        <v>316.60000000000002</v>
      </c>
      <c r="M23" s="82">
        <v>301.39999999999998</v>
      </c>
      <c r="N23" s="34">
        <v>252.9</v>
      </c>
      <c r="O23" s="34">
        <v>261.7</v>
      </c>
      <c r="P23" s="33">
        <v>264.10000000000002</v>
      </c>
      <c r="Q23" s="227">
        <v>281</v>
      </c>
      <c r="R23" s="266">
        <v>260.2</v>
      </c>
      <c r="S23" s="266">
        <v>270</v>
      </c>
      <c r="T23" s="266">
        <v>281</v>
      </c>
      <c r="U23" s="227">
        <v>278.7</v>
      </c>
      <c r="V23" s="266">
        <v>237.2</v>
      </c>
      <c r="W23" s="266">
        <v>279</v>
      </c>
      <c r="X23" s="266">
        <v>295.60000000000002</v>
      </c>
      <c r="Y23" s="227">
        <v>283.7</v>
      </c>
      <c r="Z23" s="553">
        <v>305.3</v>
      </c>
      <c r="AA23" s="552">
        <v>362.1</v>
      </c>
      <c r="AB23" s="552">
        <v>387.6</v>
      </c>
      <c r="AC23" s="227">
        <v>394</v>
      </c>
      <c r="AD23" s="553">
        <v>333.7</v>
      </c>
      <c r="AE23" s="564"/>
      <c r="AF23" s="564"/>
      <c r="AG23" s="227"/>
      <c r="AI23" s="673"/>
    </row>
    <row r="24" spans="1:35" s="12" customFormat="1" ht="20.100000000000001" customHeight="1">
      <c r="A24" s="50" t="s">
        <v>62</v>
      </c>
      <c r="B24" s="34">
        <f>1.102</f>
        <v>1.1020000000000001</v>
      </c>
      <c r="C24" s="35">
        <f>0</f>
        <v>0</v>
      </c>
      <c r="D24" s="35">
        <f>0</f>
        <v>0</v>
      </c>
      <c r="E24" s="88">
        <f>0</f>
        <v>0</v>
      </c>
      <c r="F24" s="35">
        <f>0</f>
        <v>0</v>
      </c>
      <c r="G24" s="35">
        <f>0</f>
        <v>0</v>
      </c>
      <c r="H24" s="35">
        <f>0</f>
        <v>0</v>
      </c>
      <c r="I24" s="72">
        <v>0</v>
      </c>
      <c r="J24" s="83">
        <v>0</v>
      </c>
      <c r="K24" s="43">
        <v>0</v>
      </c>
      <c r="L24" s="43">
        <v>0</v>
      </c>
      <c r="M24" s="88">
        <f>0*($A$75)</f>
        <v>0</v>
      </c>
      <c r="N24" s="35">
        <f>0*($A$75)</f>
        <v>0</v>
      </c>
      <c r="O24" s="35">
        <v>0</v>
      </c>
      <c r="P24" s="43">
        <v>0</v>
      </c>
      <c r="Q24" s="227">
        <v>0</v>
      </c>
      <c r="R24" s="267">
        <v>0</v>
      </c>
      <c r="S24" s="267">
        <v>0</v>
      </c>
      <c r="T24" s="267">
        <v>0</v>
      </c>
      <c r="U24" s="227">
        <v>0</v>
      </c>
      <c r="V24" s="267">
        <v>0</v>
      </c>
      <c r="W24" s="267">
        <v>0</v>
      </c>
      <c r="X24" s="267">
        <v>0</v>
      </c>
      <c r="Y24" s="227">
        <v>0</v>
      </c>
      <c r="Z24" s="552">
        <v>0</v>
      </c>
      <c r="AA24" s="553">
        <v>0</v>
      </c>
      <c r="AB24" s="564">
        <v>0</v>
      </c>
      <c r="AC24" s="227">
        <v>0</v>
      </c>
      <c r="AD24" s="564">
        <v>0</v>
      </c>
      <c r="AE24" s="553"/>
      <c r="AF24" s="564"/>
      <c r="AG24" s="227"/>
      <c r="AI24" s="673"/>
    </row>
    <row r="25" spans="1:35" s="12" customFormat="1" ht="20.100000000000001" customHeight="1">
      <c r="A25" s="50" t="s">
        <v>187</v>
      </c>
      <c r="B25" s="34">
        <f>342.386</f>
        <v>342.38600000000002</v>
      </c>
      <c r="C25" s="61">
        <f>(382365)*0.001</f>
        <v>382.36500000000001</v>
      </c>
      <c r="D25" s="61">
        <f>(376949)*0.001</f>
        <v>376.94900000000001</v>
      </c>
      <c r="E25" s="287">
        <f>(375659)*0.001</f>
        <v>375.65899999999999</v>
      </c>
      <c r="F25" s="61">
        <f>(403593)*0.001</f>
        <v>403.59300000000002</v>
      </c>
      <c r="G25" s="61">
        <f>(410902)*0.001</f>
        <v>410.90199999999999</v>
      </c>
      <c r="H25" s="61">
        <f>(401503)*0.001</f>
        <v>401.50299999999999</v>
      </c>
      <c r="I25" s="288">
        <f>(374424)*0.001</f>
        <v>374.42400000000004</v>
      </c>
      <c r="J25" s="289">
        <f>(398589)*0.001</f>
        <v>398.589</v>
      </c>
      <c r="K25" s="33">
        <v>1374.4</v>
      </c>
      <c r="L25" s="33">
        <v>1369.9</v>
      </c>
      <c r="M25" s="82">
        <v>1453.4</v>
      </c>
      <c r="N25" s="34">
        <v>1599.5</v>
      </c>
      <c r="O25" s="34">
        <v>1988.6</v>
      </c>
      <c r="P25" s="33">
        <v>1699.4</v>
      </c>
      <c r="Q25" s="227">
        <v>1619.1</v>
      </c>
      <c r="R25" s="266">
        <v>1503.9</v>
      </c>
      <c r="S25" s="266">
        <v>1541.1</v>
      </c>
      <c r="T25" s="266">
        <v>1571.8</v>
      </c>
      <c r="U25" s="227">
        <v>1688</v>
      </c>
      <c r="V25" s="266">
        <v>1608.5</v>
      </c>
      <c r="W25" s="266">
        <v>1727</v>
      </c>
      <c r="X25" s="266">
        <v>1758.5</v>
      </c>
      <c r="Y25" s="227">
        <v>1983.2</v>
      </c>
      <c r="Z25" s="552">
        <v>1990.7</v>
      </c>
      <c r="AA25" s="552">
        <v>2161.3000000000002</v>
      </c>
      <c r="AB25" s="552">
        <v>2197.3000000000002</v>
      </c>
      <c r="AC25" s="227">
        <v>2370.4</v>
      </c>
      <c r="AD25" s="564">
        <v>2334.6999999999998</v>
      </c>
      <c r="AE25" s="564"/>
      <c r="AF25" s="564"/>
      <c r="AG25" s="227"/>
      <c r="AI25" s="673"/>
    </row>
    <row r="26" spans="1:35" s="12" customFormat="1" ht="20.100000000000001" customHeight="1">
      <c r="A26" s="50" t="s">
        <v>72</v>
      </c>
      <c r="B26" s="34">
        <f>9.894</f>
        <v>9.8940000000000001</v>
      </c>
      <c r="C26" s="61">
        <f>(263)*0.001</f>
        <v>0.26300000000000001</v>
      </c>
      <c r="D26" s="61">
        <f>(321)*0.001</f>
        <v>0.32100000000000001</v>
      </c>
      <c r="E26" s="287">
        <f>(6494)*0.001</f>
        <v>6.4939999999999998</v>
      </c>
      <c r="F26" s="61">
        <f>(1372)*0.001</f>
        <v>1.3720000000000001</v>
      </c>
      <c r="G26" s="61">
        <f>(1952)*0.001</f>
        <v>1.952</v>
      </c>
      <c r="H26" s="61">
        <f>(1195)*0.001</f>
        <v>1.1950000000000001</v>
      </c>
      <c r="I26" s="288">
        <f>(183)*0.001</f>
        <v>0.183</v>
      </c>
      <c r="J26" s="289">
        <f>(365)*0.001</f>
        <v>0.36499999999999999</v>
      </c>
      <c r="K26" s="33">
        <v>28</v>
      </c>
      <c r="L26" s="33">
        <v>26</v>
      </c>
      <c r="M26" s="82">
        <v>26</v>
      </c>
      <c r="N26" s="34">
        <v>28.9</v>
      </c>
      <c r="O26" s="34">
        <v>1.5</v>
      </c>
      <c r="P26" s="33">
        <v>0.7</v>
      </c>
      <c r="Q26" s="227">
        <v>0.7</v>
      </c>
      <c r="R26" s="266">
        <v>1.9</v>
      </c>
      <c r="S26" s="266">
        <v>1.4</v>
      </c>
      <c r="T26" s="266">
        <v>0.9</v>
      </c>
      <c r="U26" s="227">
        <v>29.1</v>
      </c>
      <c r="V26" s="266">
        <v>30.3</v>
      </c>
      <c r="W26" s="266">
        <v>17</v>
      </c>
      <c r="X26" s="266">
        <v>25.3</v>
      </c>
      <c r="Y26" s="227">
        <v>1.3</v>
      </c>
      <c r="Z26" s="552">
        <v>55.8</v>
      </c>
      <c r="AA26" s="552">
        <v>68.7</v>
      </c>
      <c r="AB26" s="552">
        <v>65.400000000000006</v>
      </c>
      <c r="AC26" s="227">
        <v>34.6</v>
      </c>
      <c r="AD26" s="564">
        <v>36.799999999999997</v>
      </c>
      <c r="AE26" s="564"/>
      <c r="AF26" s="564"/>
      <c r="AG26" s="227"/>
      <c r="AI26" s="673"/>
    </row>
    <row r="27" spans="1:35" s="12" customFormat="1" ht="20.100000000000001" customHeight="1">
      <c r="A27" s="50" t="s">
        <v>188</v>
      </c>
      <c r="B27" s="35">
        <v>0</v>
      </c>
      <c r="C27" s="61">
        <f>(53916)*0.001</f>
        <v>53.916000000000004</v>
      </c>
      <c r="D27" s="61">
        <f>(54038)*0.001</f>
        <v>54.038000000000004</v>
      </c>
      <c r="E27" s="287">
        <f>(57096)*0.001</f>
        <v>57.096000000000004</v>
      </c>
      <c r="F27" s="61">
        <f>(60035)*0.001</f>
        <v>60.035000000000004</v>
      </c>
      <c r="G27" s="61">
        <f>(63564)*0.001</f>
        <v>63.564</v>
      </c>
      <c r="H27" s="61">
        <f>(65852)*0.001</f>
        <v>65.852000000000004</v>
      </c>
      <c r="I27" s="288">
        <f>(70055)*0.001</f>
        <v>70.055000000000007</v>
      </c>
      <c r="J27" s="289">
        <f>(70958)*0.001</f>
        <v>70.957999999999998</v>
      </c>
      <c r="K27" s="33">
        <v>91.2</v>
      </c>
      <c r="L27" s="33">
        <v>117.3</v>
      </c>
      <c r="M27" s="82">
        <v>141.69999999999999</v>
      </c>
      <c r="N27" s="34">
        <v>165.3</v>
      </c>
      <c r="O27" s="34">
        <v>186.1</v>
      </c>
      <c r="P27" s="33">
        <v>200.4</v>
      </c>
      <c r="Q27" s="227">
        <v>212.7</v>
      </c>
      <c r="R27" s="266">
        <v>213.3</v>
      </c>
      <c r="S27" s="266">
        <v>209.1</v>
      </c>
      <c r="T27" s="266">
        <v>207.6</v>
      </c>
      <c r="U27" s="227">
        <v>207.2</v>
      </c>
      <c r="V27" s="266">
        <v>205.7</v>
      </c>
      <c r="W27" s="266">
        <v>202.3</v>
      </c>
      <c r="X27" s="266">
        <v>203.5</v>
      </c>
      <c r="Y27" s="227">
        <v>207.9</v>
      </c>
      <c r="Z27" s="552">
        <v>206.9</v>
      </c>
      <c r="AA27" s="552">
        <v>230.1</v>
      </c>
      <c r="AB27" s="552">
        <v>230.1</v>
      </c>
      <c r="AC27" s="227">
        <v>218.5</v>
      </c>
      <c r="AD27" s="564">
        <v>221.6</v>
      </c>
      <c r="AE27" s="564"/>
      <c r="AF27" s="564"/>
      <c r="AG27" s="227"/>
      <c r="AI27" s="673"/>
    </row>
    <row r="28" spans="1:35" s="12" customFormat="1" ht="20.100000000000001" customHeight="1">
      <c r="A28" s="50" t="s">
        <v>189</v>
      </c>
      <c r="B28" s="34">
        <f>136.299</f>
        <v>136.29900000000001</v>
      </c>
      <c r="C28" s="61">
        <f>(73814)*0.001</f>
        <v>73.814000000000007</v>
      </c>
      <c r="D28" s="61">
        <f>(53239)*0.001</f>
        <v>53.239000000000004</v>
      </c>
      <c r="E28" s="287">
        <f>(71968)*0.001</f>
        <v>71.968000000000004</v>
      </c>
      <c r="F28" s="61">
        <f>(109187)*0.001</f>
        <v>109.187</v>
      </c>
      <c r="G28" s="61">
        <f>(93754)*0.001</f>
        <v>93.754000000000005</v>
      </c>
      <c r="H28" s="61">
        <f>(113708)*0.001</f>
        <v>113.708</v>
      </c>
      <c r="I28" s="288">
        <f>(105360)*0.001</f>
        <v>105.36</v>
      </c>
      <c r="J28" s="289">
        <f>(106732)*0.001</f>
        <v>106.732</v>
      </c>
      <c r="K28" s="33">
        <v>221.9</v>
      </c>
      <c r="L28" s="33">
        <v>224.2</v>
      </c>
      <c r="M28" s="82">
        <v>160.1</v>
      </c>
      <c r="N28" s="34">
        <v>212.9</v>
      </c>
      <c r="O28" s="34">
        <v>226.2</v>
      </c>
      <c r="P28" s="33">
        <v>255</v>
      </c>
      <c r="Q28" s="227">
        <v>399.5</v>
      </c>
      <c r="R28" s="266">
        <v>69.599999999999994</v>
      </c>
      <c r="S28" s="266">
        <v>62.8</v>
      </c>
      <c r="T28" s="266">
        <v>54.9</v>
      </c>
      <c r="U28" s="227">
        <v>38.700000000000003</v>
      </c>
      <c r="V28" s="266">
        <v>72.3</v>
      </c>
      <c r="W28" s="266">
        <v>60.7</v>
      </c>
      <c r="X28" s="266">
        <v>61.7</v>
      </c>
      <c r="Y28" s="227">
        <v>31.7</v>
      </c>
      <c r="Z28" s="552">
        <v>70.2</v>
      </c>
      <c r="AA28" s="552">
        <v>82.5</v>
      </c>
      <c r="AB28" s="552">
        <v>56.8</v>
      </c>
      <c r="AC28" s="227">
        <v>34.9</v>
      </c>
      <c r="AD28" s="564">
        <v>71.099999999999994</v>
      </c>
      <c r="AE28" s="564"/>
      <c r="AF28" s="564"/>
      <c r="AG28" s="227"/>
      <c r="AI28" s="673"/>
    </row>
    <row r="29" spans="1:35" s="30" customFormat="1" ht="20.100000000000001" customHeight="1">
      <c r="A29" s="55" t="s">
        <v>95</v>
      </c>
      <c r="B29" s="35">
        <v>0</v>
      </c>
      <c r="C29" s="35">
        <f>0</f>
        <v>0</v>
      </c>
      <c r="D29" s="35">
        <v>0</v>
      </c>
      <c r="E29" s="99">
        <f>0</f>
        <v>0</v>
      </c>
      <c r="F29" s="35">
        <f>0</f>
        <v>0</v>
      </c>
      <c r="G29" s="35">
        <v>0</v>
      </c>
      <c r="H29" s="35">
        <f>0</f>
        <v>0</v>
      </c>
      <c r="I29" s="74">
        <v>0</v>
      </c>
      <c r="J29" s="83">
        <v>0</v>
      </c>
      <c r="K29" s="35">
        <f>0*($A$75)</f>
        <v>0</v>
      </c>
      <c r="L29" s="35">
        <f>0*($A$75)</f>
        <v>0</v>
      </c>
      <c r="M29" s="85">
        <v>22.2</v>
      </c>
      <c r="N29" s="39">
        <v>26.3</v>
      </c>
      <c r="O29" s="39">
        <v>27.3</v>
      </c>
      <c r="P29" s="44">
        <v>3.8</v>
      </c>
      <c r="Q29" s="228">
        <v>10.5</v>
      </c>
      <c r="R29" s="268">
        <v>0.2</v>
      </c>
      <c r="S29" s="268">
        <v>3.6</v>
      </c>
      <c r="T29" s="268">
        <v>4.8</v>
      </c>
      <c r="U29" s="228">
        <v>6.7</v>
      </c>
      <c r="V29" s="268">
        <v>4.9000000000000004</v>
      </c>
      <c r="W29" s="268">
        <v>5.3</v>
      </c>
      <c r="X29" s="268">
        <v>6.4</v>
      </c>
      <c r="Y29" s="228">
        <v>5.0999999999999996</v>
      </c>
      <c r="Z29" s="554">
        <v>2.7</v>
      </c>
      <c r="AA29" s="554">
        <v>1.6</v>
      </c>
      <c r="AB29" s="565">
        <v>0.4</v>
      </c>
      <c r="AC29" s="228">
        <v>0</v>
      </c>
      <c r="AD29" s="565">
        <v>0</v>
      </c>
      <c r="AE29" s="565"/>
      <c r="AF29" s="565"/>
      <c r="AG29" s="228"/>
      <c r="AI29" s="673"/>
    </row>
    <row r="30" spans="1:35" s="12" customFormat="1" ht="20.100000000000001" customHeight="1">
      <c r="A30" s="50" t="s">
        <v>89</v>
      </c>
      <c r="B30" s="35">
        <v>0</v>
      </c>
      <c r="C30" s="35">
        <f>0</f>
        <v>0</v>
      </c>
      <c r="D30" s="35">
        <v>0</v>
      </c>
      <c r="E30" s="88">
        <v>0</v>
      </c>
      <c r="F30" s="35">
        <f>0</f>
        <v>0</v>
      </c>
      <c r="G30" s="35">
        <v>0</v>
      </c>
      <c r="H30" s="35">
        <f>0</f>
        <v>0</v>
      </c>
      <c r="I30" s="72">
        <v>0</v>
      </c>
      <c r="J30" s="83">
        <v>0</v>
      </c>
      <c r="K30" s="45">
        <v>270</v>
      </c>
      <c r="L30" s="45">
        <v>30</v>
      </c>
      <c r="M30" s="88">
        <f>0*($A$75)</f>
        <v>0</v>
      </c>
      <c r="N30" s="34">
        <v>42.7</v>
      </c>
      <c r="O30" s="34">
        <v>43.1</v>
      </c>
      <c r="P30" s="36">
        <v>0</v>
      </c>
      <c r="Q30" s="227">
        <v>0</v>
      </c>
      <c r="R30" s="266">
        <v>12.4</v>
      </c>
      <c r="S30" s="266">
        <v>0</v>
      </c>
      <c r="T30" s="266">
        <v>0</v>
      </c>
      <c r="U30" s="227">
        <v>0</v>
      </c>
      <c r="V30" s="266">
        <v>0</v>
      </c>
      <c r="W30" s="266">
        <v>0</v>
      </c>
      <c r="X30" s="266">
        <v>0</v>
      </c>
      <c r="Y30" s="227">
        <v>0</v>
      </c>
      <c r="Z30" s="552">
        <v>0</v>
      </c>
      <c r="AA30" s="552">
        <v>0</v>
      </c>
      <c r="AB30" s="564">
        <v>0</v>
      </c>
      <c r="AC30" s="227">
        <v>0</v>
      </c>
      <c r="AD30" s="564">
        <v>0</v>
      </c>
      <c r="AE30" s="564"/>
      <c r="AF30" s="564"/>
      <c r="AG30" s="227"/>
      <c r="AI30" s="673"/>
    </row>
    <row r="31" spans="1:35" s="12" customFormat="1" ht="20.100000000000001" customHeight="1">
      <c r="A31" s="50" t="s">
        <v>12</v>
      </c>
      <c r="B31" s="34">
        <f>422.627</f>
        <v>422.62700000000001</v>
      </c>
      <c r="C31" s="61">
        <f>(309519)*0.001</f>
        <v>309.51900000000001</v>
      </c>
      <c r="D31" s="61">
        <f>(225111)*0.001</f>
        <v>225.11100000000002</v>
      </c>
      <c r="E31" s="287">
        <f>(270354)*0.001</f>
        <v>270.35399999999998</v>
      </c>
      <c r="F31" s="61">
        <f>(324338)*0.001</f>
        <v>324.33800000000002</v>
      </c>
      <c r="G31" s="61">
        <f>(265803)*0.001</f>
        <v>265.803</v>
      </c>
      <c r="H31" s="61">
        <f>(215396)*0.001</f>
        <v>215.39600000000002</v>
      </c>
      <c r="I31" s="288">
        <f>(342251)*0.001</f>
        <v>342.25100000000003</v>
      </c>
      <c r="J31" s="289">
        <f>(428190)*0.001</f>
        <v>428.19</v>
      </c>
      <c r="K31" s="33">
        <v>1894.3</v>
      </c>
      <c r="L31" s="33">
        <v>1631</v>
      </c>
      <c r="M31" s="82">
        <v>1735.3</v>
      </c>
      <c r="N31" s="34">
        <v>1478.9</v>
      </c>
      <c r="O31" s="34">
        <v>1383.8</v>
      </c>
      <c r="P31" s="33">
        <v>1059.5999999999999</v>
      </c>
      <c r="Q31" s="227">
        <v>1512</v>
      </c>
      <c r="R31" s="266">
        <v>1538.6</v>
      </c>
      <c r="S31" s="266">
        <v>944.5</v>
      </c>
      <c r="T31" s="266">
        <v>1099.4000000000001</v>
      </c>
      <c r="U31" s="227">
        <v>1326</v>
      </c>
      <c r="V31" s="266">
        <v>1567.7</v>
      </c>
      <c r="W31" s="266">
        <v>1354.6</v>
      </c>
      <c r="X31" s="266">
        <v>1080.2</v>
      </c>
      <c r="Y31" s="227">
        <v>1161.5</v>
      </c>
      <c r="Z31" s="552">
        <v>785.9</v>
      </c>
      <c r="AA31" s="552">
        <v>876.1</v>
      </c>
      <c r="AB31" s="552">
        <v>1151.5</v>
      </c>
      <c r="AC31" s="227">
        <v>1167</v>
      </c>
      <c r="AD31" s="564">
        <v>745.7</v>
      </c>
      <c r="AE31" s="564"/>
      <c r="AF31" s="564"/>
      <c r="AG31" s="227"/>
      <c r="AI31" s="673"/>
    </row>
    <row r="32" spans="1:35" s="12" customFormat="1" ht="20.100000000000001" customHeight="1" thickBot="1">
      <c r="A32" s="50" t="s">
        <v>44</v>
      </c>
      <c r="B32" s="35">
        <v>0</v>
      </c>
      <c r="C32" s="35">
        <f>0</f>
        <v>0</v>
      </c>
      <c r="D32" s="35">
        <f>0</f>
        <v>0</v>
      </c>
      <c r="E32" s="88">
        <v>0</v>
      </c>
      <c r="F32" s="35">
        <f>0</f>
        <v>0</v>
      </c>
      <c r="G32" s="35">
        <v>0</v>
      </c>
      <c r="H32" s="35">
        <f>0</f>
        <v>0</v>
      </c>
      <c r="I32" s="72">
        <v>0</v>
      </c>
      <c r="J32" s="83">
        <v>0</v>
      </c>
      <c r="K32" s="45">
        <v>12.6</v>
      </c>
      <c r="L32" s="45">
        <v>12.2</v>
      </c>
      <c r="M32" s="82">
        <v>12.6</v>
      </c>
      <c r="N32" s="34">
        <v>12.7</v>
      </c>
      <c r="O32" s="34">
        <v>12.8</v>
      </c>
      <c r="P32" s="45">
        <v>12.4</v>
      </c>
      <c r="Q32" s="227">
        <v>11.7</v>
      </c>
      <c r="R32" s="266">
        <v>31.4</v>
      </c>
      <c r="S32" s="266">
        <v>10.9</v>
      </c>
      <c r="T32" s="266">
        <v>10.8</v>
      </c>
      <c r="U32" s="227">
        <v>10.7</v>
      </c>
      <c r="V32" s="266">
        <v>9.6</v>
      </c>
      <c r="W32" s="266">
        <v>8</v>
      </c>
      <c r="X32" s="266">
        <v>8.1999999999999993</v>
      </c>
      <c r="Y32" s="227">
        <v>10.5</v>
      </c>
      <c r="Z32" s="552">
        <v>11.6</v>
      </c>
      <c r="AA32" s="552">
        <v>11.7</v>
      </c>
      <c r="AB32" s="552">
        <v>11.6</v>
      </c>
      <c r="AC32" s="227">
        <v>11.7</v>
      </c>
      <c r="AD32" s="564">
        <v>11.3</v>
      </c>
      <c r="AE32" s="564"/>
      <c r="AF32" s="564"/>
      <c r="AG32" s="227"/>
      <c r="AI32" s="673"/>
    </row>
    <row r="33" spans="1:35" s="15" customFormat="1" ht="24.95" customHeight="1" thickBot="1">
      <c r="A33" s="13" t="s">
        <v>13</v>
      </c>
      <c r="B33" s="54">
        <f t="shared" ref="B33:L33" si="2">SUM(B21:B32)</f>
        <v>1273.798</v>
      </c>
      <c r="C33" s="54">
        <f t="shared" si="2"/>
        <v>1172.6559999999999</v>
      </c>
      <c r="D33" s="54">
        <f t="shared" si="2"/>
        <v>1058.173</v>
      </c>
      <c r="E33" s="76">
        <f t="shared" si="2"/>
        <v>1085.1969999999999</v>
      </c>
      <c r="F33" s="54">
        <f t="shared" si="2"/>
        <v>1204.625</v>
      </c>
      <c r="G33" s="54">
        <f t="shared" si="2"/>
        <v>1164.163</v>
      </c>
      <c r="H33" s="54">
        <f t="shared" si="2"/>
        <v>1161.885</v>
      </c>
      <c r="I33" s="54">
        <f t="shared" si="2"/>
        <v>1220.3850000000002</v>
      </c>
      <c r="J33" s="290">
        <f t="shared" si="2"/>
        <v>1396.8419999999999</v>
      </c>
      <c r="K33" s="53">
        <f t="shared" si="2"/>
        <v>4435.3</v>
      </c>
      <c r="L33" s="53">
        <f t="shared" si="2"/>
        <v>3899.7999999999997</v>
      </c>
      <c r="M33" s="76">
        <f t="shared" ref="M33:R33" si="3">SUM(M21:M32)-M29</f>
        <v>3982.6</v>
      </c>
      <c r="N33" s="54">
        <f t="shared" si="3"/>
        <v>3956.9</v>
      </c>
      <c r="O33" s="54">
        <f t="shared" si="3"/>
        <v>4274.2</v>
      </c>
      <c r="P33" s="54">
        <f t="shared" si="3"/>
        <v>3747.2000000000003</v>
      </c>
      <c r="Q33" s="229">
        <f t="shared" si="3"/>
        <v>4228.8999999999987</v>
      </c>
      <c r="R33" s="270">
        <f t="shared" si="3"/>
        <v>3866.0000000000005</v>
      </c>
      <c r="S33" s="270">
        <f t="shared" ref="S33:T33" si="4">SUM(S21:S32)-S29</f>
        <v>3203.3</v>
      </c>
      <c r="T33" s="270">
        <f t="shared" si="4"/>
        <v>3445.5000000000005</v>
      </c>
      <c r="U33" s="229">
        <f t="shared" ref="U33" si="5">SUM(U21:U32)-U29</f>
        <v>3770.3999999999992</v>
      </c>
      <c r="V33" s="270">
        <f t="shared" ref="V33:W33" si="6">SUM(V21:V32)-V29</f>
        <v>3911.1000000000004</v>
      </c>
      <c r="W33" s="270">
        <f t="shared" si="6"/>
        <v>3862.9</v>
      </c>
      <c r="X33" s="270">
        <f t="shared" ref="X33:AA33" si="7">SUM(X21:X32)-X29</f>
        <v>3676.6</v>
      </c>
      <c r="Y33" s="229">
        <f t="shared" si="7"/>
        <v>3931.5</v>
      </c>
      <c r="Z33" s="270">
        <f t="shared" si="7"/>
        <v>4363.8</v>
      </c>
      <c r="AA33" s="270">
        <f t="shared" si="7"/>
        <v>4827.2</v>
      </c>
      <c r="AB33" s="566">
        <f>SUM(AB21:AB32)-AB29</f>
        <v>5300.0000000000009</v>
      </c>
      <c r="AC33" s="229">
        <f>SUM(AC21:AC32)-AC29</f>
        <v>5422.7</v>
      </c>
      <c r="AD33" s="566">
        <f>SUM(AD21:AD32)-AD29</f>
        <v>4952.3000000000011</v>
      </c>
      <c r="AE33" s="566">
        <f t="shared" ref="AE33:AG33" si="8">SUM(AE21:AE32)-AE29</f>
        <v>0</v>
      </c>
      <c r="AF33" s="566">
        <f t="shared" si="8"/>
        <v>0</v>
      </c>
      <c r="AG33" s="229">
        <f t="shared" si="8"/>
        <v>0</v>
      </c>
      <c r="AI33" s="673"/>
    </row>
    <row r="34" spans="1:35" s="12" customFormat="1" ht="24.95" customHeight="1" thickBot="1">
      <c r="A34" s="57" t="s">
        <v>122</v>
      </c>
      <c r="B34" s="58">
        <f t="shared" ref="B34:P34" si="9">B20+B33</f>
        <v>5502.7539999999999</v>
      </c>
      <c r="C34" s="58">
        <f t="shared" si="9"/>
        <v>5597.8010000000004</v>
      </c>
      <c r="D34" s="58">
        <f t="shared" si="9"/>
        <v>5514.8739999999998</v>
      </c>
      <c r="E34" s="89">
        <f t="shared" si="9"/>
        <v>5561.3450000000003</v>
      </c>
      <c r="F34" s="58">
        <f t="shared" si="9"/>
        <v>5629.4740000000011</v>
      </c>
      <c r="G34" s="58">
        <f t="shared" si="9"/>
        <v>5592.7070000000003</v>
      </c>
      <c r="H34" s="58">
        <f t="shared" si="9"/>
        <v>5597.9810000000007</v>
      </c>
      <c r="I34" s="291">
        <f t="shared" si="9"/>
        <v>5676.2300000000005</v>
      </c>
      <c r="J34" s="292">
        <f t="shared" si="9"/>
        <v>5851.1940000000004</v>
      </c>
      <c r="K34" s="58">
        <f t="shared" si="9"/>
        <v>27827.1</v>
      </c>
      <c r="L34" s="58">
        <f t="shared" si="9"/>
        <v>27481.199999999997</v>
      </c>
      <c r="M34" s="89">
        <f t="shared" si="9"/>
        <v>27338.699999999997</v>
      </c>
      <c r="N34" s="58">
        <f t="shared" si="9"/>
        <v>27088.9</v>
      </c>
      <c r="O34" s="58">
        <f t="shared" si="9"/>
        <v>27141.8</v>
      </c>
      <c r="P34" s="58">
        <f t="shared" si="9"/>
        <v>26143.5</v>
      </c>
      <c r="Q34" s="230">
        <f t="shared" ref="Q34:R34" si="10">Q20+Q33</f>
        <v>26490.099999999995</v>
      </c>
      <c r="R34" s="272">
        <f t="shared" si="10"/>
        <v>28355.499999999996</v>
      </c>
      <c r="S34" s="272">
        <f t="shared" ref="S34:V34" si="11">S20+S33</f>
        <v>27581.1</v>
      </c>
      <c r="T34" s="272">
        <f t="shared" si="11"/>
        <v>27493.100000000002</v>
      </c>
      <c r="U34" s="230">
        <f t="shared" si="11"/>
        <v>27729.299999999996</v>
      </c>
      <c r="V34" s="272">
        <f t="shared" si="11"/>
        <v>27553.199999999997</v>
      </c>
      <c r="W34" s="272">
        <f t="shared" ref="W34:X34" si="12">W20+W33</f>
        <v>27317.5</v>
      </c>
      <c r="X34" s="272">
        <f t="shared" si="12"/>
        <v>26892.599999999995</v>
      </c>
      <c r="Y34" s="230">
        <f t="shared" ref="Y34:AG34" si="13">Y20+Y33</f>
        <v>27756</v>
      </c>
      <c r="Z34" s="272">
        <f t="shared" si="13"/>
        <v>27894.399999999998</v>
      </c>
      <c r="AA34" s="272">
        <f t="shared" si="13"/>
        <v>29751.599999999999</v>
      </c>
      <c r="AB34" s="272">
        <f t="shared" si="13"/>
        <v>30395.3</v>
      </c>
      <c r="AC34" s="230">
        <f t="shared" si="13"/>
        <v>30696.799999999999</v>
      </c>
      <c r="AD34" s="272">
        <f t="shared" si="13"/>
        <v>31463.800000000003</v>
      </c>
      <c r="AE34" s="272">
        <f t="shared" si="13"/>
        <v>0</v>
      </c>
      <c r="AF34" s="272">
        <f t="shared" si="13"/>
        <v>0</v>
      </c>
      <c r="AG34" s="230">
        <f t="shared" si="13"/>
        <v>0</v>
      </c>
      <c r="AI34" s="673"/>
    </row>
    <row r="35" spans="1:35" s="12" customFormat="1" ht="33.75" customHeight="1" thickBot="1">
      <c r="A35" s="64" t="s">
        <v>14</v>
      </c>
      <c r="B35" s="65"/>
      <c r="C35" s="65"/>
      <c r="D35" s="65"/>
      <c r="E35" s="81"/>
      <c r="F35" s="65"/>
      <c r="G35" s="65"/>
      <c r="H35" s="65"/>
      <c r="I35" s="71"/>
      <c r="J35" s="80"/>
      <c r="K35" s="66"/>
      <c r="L35" s="66"/>
      <c r="M35" s="81"/>
      <c r="N35" s="65"/>
      <c r="O35" s="65"/>
      <c r="P35" s="66"/>
      <c r="Q35" s="81"/>
      <c r="R35" s="273"/>
      <c r="S35" s="273"/>
      <c r="T35" s="273"/>
      <c r="U35" s="81"/>
      <c r="V35" s="273"/>
      <c r="W35" s="273"/>
      <c r="X35" s="273"/>
      <c r="Y35" s="81"/>
      <c r="Z35" s="448"/>
      <c r="AA35" s="273"/>
      <c r="AB35" s="448"/>
      <c r="AC35" s="81"/>
      <c r="AD35" s="448"/>
      <c r="AE35" s="273"/>
      <c r="AF35" s="448"/>
      <c r="AG35" s="447"/>
      <c r="AI35" s="673"/>
    </row>
    <row r="36" spans="1:35" s="12" customFormat="1" ht="20.100000000000001" customHeight="1">
      <c r="A36" s="49" t="s">
        <v>15</v>
      </c>
      <c r="B36" s="297">
        <f>13.934</f>
        <v>13.933999999999999</v>
      </c>
      <c r="C36" s="297">
        <f t="shared" ref="C36:J36" si="14">(13934)*0.001</f>
        <v>13.934000000000001</v>
      </c>
      <c r="D36" s="297">
        <f t="shared" si="14"/>
        <v>13.934000000000001</v>
      </c>
      <c r="E36" s="298">
        <f t="shared" si="14"/>
        <v>13.934000000000001</v>
      </c>
      <c r="F36" s="297">
        <f t="shared" si="14"/>
        <v>13.934000000000001</v>
      </c>
      <c r="G36" s="297">
        <f t="shared" si="14"/>
        <v>13.934000000000001</v>
      </c>
      <c r="H36" s="297">
        <f t="shared" si="14"/>
        <v>13.934000000000001</v>
      </c>
      <c r="I36" s="299">
        <f t="shared" si="14"/>
        <v>13.934000000000001</v>
      </c>
      <c r="J36" s="300">
        <f t="shared" si="14"/>
        <v>13.934000000000001</v>
      </c>
      <c r="K36" s="67">
        <v>25.6</v>
      </c>
      <c r="L36" s="67">
        <v>25.6</v>
      </c>
      <c r="M36" s="90">
        <v>25.6</v>
      </c>
      <c r="N36" s="68">
        <v>25.6</v>
      </c>
      <c r="O36" s="68">
        <v>25.6</v>
      </c>
      <c r="P36" s="68">
        <v>25.6</v>
      </c>
      <c r="Q36" s="231">
        <v>25.6</v>
      </c>
      <c r="R36" s="271">
        <v>25.6</v>
      </c>
      <c r="S36" s="271">
        <v>25.6</v>
      </c>
      <c r="T36" s="271">
        <v>25.6</v>
      </c>
      <c r="U36" s="231">
        <v>25.6</v>
      </c>
      <c r="V36" s="271">
        <v>25.6</v>
      </c>
      <c r="W36" s="271">
        <v>25.6</v>
      </c>
      <c r="X36" s="271">
        <v>25.6</v>
      </c>
      <c r="Y36" s="231">
        <v>25.6</v>
      </c>
      <c r="Z36" s="557">
        <v>25.6</v>
      </c>
      <c r="AA36" s="557">
        <v>25.6</v>
      </c>
      <c r="AB36" s="556">
        <v>25.6</v>
      </c>
      <c r="AC36" s="231">
        <v>25.6</v>
      </c>
      <c r="AD36" s="557">
        <v>25.6</v>
      </c>
      <c r="AE36" s="557"/>
      <c r="AF36" s="564"/>
      <c r="AG36" s="231"/>
      <c r="AI36" s="673"/>
    </row>
    <row r="37" spans="1:35" s="12" customFormat="1" ht="20.100000000000001" customHeight="1">
      <c r="A37" s="50" t="s">
        <v>16</v>
      </c>
      <c r="B37" s="293">
        <f>432.265</f>
        <v>432.26499999999999</v>
      </c>
      <c r="C37" s="43">
        <v>0</v>
      </c>
      <c r="D37" s="43">
        <v>0</v>
      </c>
      <c r="E37" s="92">
        <v>0</v>
      </c>
      <c r="F37" s="43">
        <v>0</v>
      </c>
      <c r="G37" s="43">
        <v>0</v>
      </c>
      <c r="H37" s="43">
        <v>0</v>
      </c>
      <c r="I37" s="75">
        <v>0</v>
      </c>
      <c r="J37" s="91">
        <v>0</v>
      </c>
      <c r="K37" s="43">
        <v>0</v>
      </c>
      <c r="L37" s="43">
        <v>0</v>
      </c>
      <c r="M37" s="92">
        <v>0</v>
      </c>
      <c r="N37" s="43">
        <v>0</v>
      </c>
      <c r="O37" s="43">
        <v>0</v>
      </c>
      <c r="P37" s="43">
        <v>0</v>
      </c>
      <c r="Q37" s="227">
        <v>0</v>
      </c>
      <c r="R37" s="274">
        <v>0</v>
      </c>
      <c r="S37" s="274">
        <v>0</v>
      </c>
      <c r="T37" s="274">
        <v>0</v>
      </c>
      <c r="U37" s="227">
        <v>0</v>
      </c>
      <c r="V37" s="274">
        <v>0</v>
      </c>
      <c r="W37" s="274">
        <v>0</v>
      </c>
      <c r="X37" s="274">
        <v>0</v>
      </c>
      <c r="Y37" s="227">
        <v>0</v>
      </c>
      <c r="Z37" s="558">
        <v>0</v>
      </c>
      <c r="AA37" s="558">
        <v>0</v>
      </c>
      <c r="AB37" s="558">
        <v>0</v>
      </c>
      <c r="AC37" s="227">
        <v>0</v>
      </c>
      <c r="AD37" s="558">
        <v>0</v>
      </c>
      <c r="AE37" s="558"/>
      <c r="AF37" s="558"/>
      <c r="AG37" s="227"/>
      <c r="AI37" s="673"/>
    </row>
    <row r="38" spans="1:35" s="12" customFormat="1" ht="20.100000000000001" customHeight="1">
      <c r="A38" s="50" t="s">
        <v>17</v>
      </c>
      <c r="B38" s="293">
        <f>1305.277</f>
        <v>1305.277</v>
      </c>
      <c r="C38" s="43">
        <v>0</v>
      </c>
      <c r="D38" s="43">
        <v>0</v>
      </c>
      <c r="E38" s="92">
        <v>0</v>
      </c>
      <c r="F38" s="43">
        <v>0</v>
      </c>
      <c r="G38" s="43">
        <v>0</v>
      </c>
      <c r="H38" s="43">
        <v>0</v>
      </c>
      <c r="I38" s="75">
        <v>0</v>
      </c>
      <c r="J38" s="91">
        <v>0</v>
      </c>
      <c r="K38" s="43">
        <v>0</v>
      </c>
      <c r="L38" s="43">
        <v>0</v>
      </c>
      <c r="M38" s="92">
        <v>0</v>
      </c>
      <c r="N38" s="43">
        <v>0</v>
      </c>
      <c r="O38" s="43">
        <v>0</v>
      </c>
      <c r="P38" s="43">
        <v>0</v>
      </c>
      <c r="Q38" s="227">
        <v>0</v>
      </c>
      <c r="R38" s="274">
        <v>0</v>
      </c>
      <c r="S38" s="274">
        <v>0</v>
      </c>
      <c r="T38" s="274">
        <v>0</v>
      </c>
      <c r="U38" s="227">
        <v>0</v>
      </c>
      <c r="V38" s="274">
        <v>0</v>
      </c>
      <c r="W38" s="274">
        <v>0</v>
      </c>
      <c r="X38" s="274">
        <v>0</v>
      </c>
      <c r="Y38" s="227">
        <v>0</v>
      </c>
      <c r="Z38" s="558">
        <v>0</v>
      </c>
      <c r="AA38" s="558">
        <v>0</v>
      </c>
      <c r="AB38" s="558">
        <v>0</v>
      </c>
      <c r="AC38" s="227">
        <v>0</v>
      </c>
      <c r="AD38" s="558">
        <v>0</v>
      </c>
      <c r="AE38" s="558"/>
      <c r="AF38" s="558"/>
      <c r="AG38" s="227"/>
      <c r="AI38" s="673"/>
    </row>
    <row r="39" spans="1:35" s="12" customFormat="1" ht="20.100000000000001" customHeight="1">
      <c r="A39" s="50" t="s">
        <v>190</v>
      </c>
      <c r="B39" s="43">
        <v>0</v>
      </c>
      <c r="C39" s="34">
        <f t="shared" ref="C39:J39" si="15">(1295103)*0.001</f>
        <v>1295.1030000000001</v>
      </c>
      <c r="D39" s="34">
        <f t="shared" si="15"/>
        <v>1295.1030000000001</v>
      </c>
      <c r="E39" s="82">
        <f t="shared" si="15"/>
        <v>1295.1030000000001</v>
      </c>
      <c r="F39" s="34">
        <f t="shared" si="15"/>
        <v>1295.1030000000001</v>
      </c>
      <c r="G39" s="34">
        <f t="shared" si="15"/>
        <v>1295.1030000000001</v>
      </c>
      <c r="H39" s="34">
        <f t="shared" si="15"/>
        <v>1295.1030000000001</v>
      </c>
      <c r="I39" s="82">
        <f t="shared" si="15"/>
        <v>1295.1030000000001</v>
      </c>
      <c r="J39" s="34">
        <f t="shared" si="15"/>
        <v>1295.1030000000001</v>
      </c>
      <c r="K39" s="60">
        <v>7237.5</v>
      </c>
      <c r="L39" s="60">
        <v>7237.5</v>
      </c>
      <c r="M39" s="93">
        <v>7174</v>
      </c>
      <c r="N39" s="33">
        <v>7237.4</v>
      </c>
      <c r="O39" s="33">
        <v>7174</v>
      </c>
      <c r="P39" s="33">
        <v>7174</v>
      </c>
      <c r="Q39" s="227">
        <v>7174</v>
      </c>
      <c r="R39" s="266">
        <v>7174</v>
      </c>
      <c r="S39" s="266">
        <v>7174</v>
      </c>
      <c r="T39" s="266">
        <v>7174</v>
      </c>
      <c r="U39" s="227">
        <v>7174</v>
      </c>
      <c r="V39" s="266">
        <v>7174</v>
      </c>
      <c r="W39" s="266">
        <v>7174</v>
      </c>
      <c r="X39" s="266">
        <v>7174</v>
      </c>
      <c r="Y39" s="227">
        <v>7174</v>
      </c>
      <c r="Z39" s="556">
        <v>7174</v>
      </c>
      <c r="AA39" s="556">
        <v>7174</v>
      </c>
      <c r="AB39" s="556">
        <v>7174</v>
      </c>
      <c r="AC39" s="227">
        <v>7174</v>
      </c>
      <c r="AD39" s="564">
        <v>7174</v>
      </c>
      <c r="AE39" s="564"/>
      <c r="AF39" s="564"/>
      <c r="AG39" s="227"/>
      <c r="AI39" s="673"/>
    </row>
    <row r="40" spans="1:35" s="12" customFormat="1" ht="20.100000000000001" customHeight="1">
      <c r="A40" s="50" t="s">
        <v>58</v>
      </c>
      <c r="B40" s="301">
        <f>-3.17</f>
        <v>-3.17</v>
      </c>
      <c r="C40" s="43">
        <v>0</v>
      </c>
      <c r="D40" s="43">
        <v>0</v>
      </c>
      <c r="E40" s="92">
        <v>0</v>
      </c>
      <c r="F40" s="43">
        <v>0</v>
      </c>
      <c r="G40" s="43">
        <v>0</v>
      </c>
      <c r="H40" s="43">
        <v>0</v>
      </c>
      <c r="I40" s="75">
        <v>0</v>
      </c>
      <c r="J40" s="91">
        <v>0</v>
      </c>
      <c r="K40" s="43">
        <v>0</v>
      </c>
      <c r="L40" s="43">
        <v>0</v>
      </c>
      <c r="M40" s="92">
        <v>0</v>
      </c>
      <c r="N40" s="43">
        <v>0</v>
      </c>
      <c r="O40" s="43">
        <v>0</v>
      </c>
      <c r="P40" s="43">
        <v>0</v>
      </c>
      <c r="Q40" s="227">
        <v>0</v>
      </c>
      <c r="R40" s="274">
        <v>0</v>
      </c>
      <c r="S40" s="274">
        <v>0</v>
      </c>
      <c r="T40" s="274">
        <v>0</v>
      </c>
      <c r="U40" s="227">
        <v>0</v>
      </c>
      <c r="V40" s="274">
        <v>0</v>
      </c>
      <c r="W40" s="274">
        <v>0</v>
      </c>
      <c r="X40" s="274">
        <v>0</v>
      </c>
      <c r="Y40" s="227">
        <v>0</v>
      </c>
      <c r="Z40" s="558">
        <v>0</v>
      </c>
      <c r="AA40" s="558">
        <v>0</v>
      </c>
      <c r="AB40" s="558">
        <v>0</v>
      </c>
      <c r="AC40" s="227">
        <v>0</v>
      </c>
      <c r="AD40" s="558">
        <v>0</v>
      </c>
      <c r="AE40" s="558"/>
      <c r="AF40" s="558"/>
      <c r="AG40" s="227"/>
      <c r="AI40" s="673"/>
    </row>
    <row r="41" spans="1:35" s="12" customFormat="1" ht="20.100000000000001" customHeight="1">
      <c r="A41" s="50" t="s">
        <v>59</v>
      </c>
      <c r="B41" s="293">
        <f>2.396</f>
        <v>2.3959999999999999</v>
      </c>
      <c r="C41" s="43">
        <v>0</v>
      </c>
      <c r="D41" s="43">
        <v>0</v>
      </c>
      <c r="E41" s="92">
        <v>0</v>
      </c>
      <c r="F41" s="43">
        <v>0</v>
      </c>
      <c r="G41" s="43">
        <v>0</v>
      </c>
      <c r="H41" s="43">
        <v>0</v>
      </c>
      <c r="I41" s="75">
        <v>0</v>
      </c>
      <c r="J41" s="91">
        <v>0</v>
      </c>
      <c r="K41" s="43">
        <v>0</v>
      </c>
      <c r="L41" s="43">
        <v>0</v>
      </c>
      <c r="M41" s="92">
        <v>0</v>
      </c>
      <c r="N41" s="43">
        <v>0</v>
      </c>
      <c r="O41" s="43">
        <v>0</v>
      </c>
      <c r="P41" s="43">
        <v>0</v>
      </c>
      <c r="Q41" s="227">
        <v>0</v>
      </c>
      <c r="R41" s="274">
        <v>0</v>
      </c>
      <c r="S41" s="274">
        <v>0</v>
      </c>
      <c r="T41" s="274">
        <v>0</v>
      </c>
      <c r="U41" s="227">
        <v>0</v>
      </c>
      <c r="V41" s="274">
        <v>0</v>
      </c>
      <c r="W41" s="274">
        <v>0</v>
      </c>
      <c r="X41" s="274">
        <v>0</v>
      </c>
      <c r="Y41" s="227">
        <v>0</v>
      </c>
      <c r="Z41" s="558">
        <v>0</v>
      </c>
      <c r="AA41" s="558">
        <v>0</v>
      </c>
      <c r="AB41" s="558">
        <v>0</v>
      </c>
      <c r="AC41" s="227">
        <v>0</v>
      </c>
      <c r="AD41" s="558">
        <v>0</v>
      </c>
      <c r="AE41" s="558"/>
      <c r="AF41" s="558"/>
      <c r="AG41" s="227"/>
      <c r="AI41" s="673"/>
    </row>
    <row r="42" spans="1:35" s="12" customFormat="1" ht="20.100000000000001" customHeight="1">
      <c r="A42" s="50" t="s">
        <v>191</v>
      </c>
      <c r="B42" s="43">
        <v>0</v>
      </c>
      <c r="C42" s="293">
        <f>(1225)*0.001</f>
        <v>1.2250000000000001</v>
      </c>
      <c r="D42" s="293">
        <f>(-8191)*0.001</f>
        <v>-8.1910000000000007</v>
      </c>
      <c r="E42" s="294">
        <f>(-16327)*0.001</f>
        <v>-16.327000000000002</v>
      </c>
      <c r="F42" s="293">
        <f>(-17667)*0.001</f>
        <v>-17.667000000000002</v>
      </c>
      <c r="G42" s="293">
        <f>(-13285)*0.001</f>
        <v>-13.285</v>
      </c>
      <c r="H42" s="293">
        <f>(-11455)*0.001</f>
        <v>-11.455</v>
      </c>
      <c r="I42" s="295">
        <f>(-8964)*0.001</f>
        <v>-8.9640000000000004</v>
      </c>
      <c r="J42" s="91">
        <v>0</v>
      </c>
      <c r="K42" s="43">
        <v>0</v>
      </c>
      <c r="L42" s="61">
        <v>-9.1999999999999993</v>
      </c>
      <c r="M42" s="94">
        <v>-12.2</v>
      </c>
      <c r="N42" s="61">
        <v>-12.7</v>
      </c>
      <c r="O42" s="61">
        <v>-7.9</v>
      </c>
      <c r="P42" s="61">
        <v>-8.1999999999999993</v>
      </c>
      <c r="Q42" s="227">
        <v>-3.7</v>
      </c>
      <c r="R42" s="275">
        <v>-1.7</v>
      </c>
      <c r="S42" s="275">
        <v>0.1</v>
      </c>
      <c r="T42" s="275">
        <v>2.2000000000000002</v>
      </c>
      <c r="U42" s="227">
        <v>4.5</v>
      </c>
      <c r="V42" s="275">
        <v>3.8</v>
      </c>
      <c r="W42" s="275">
        <v>3.6</v>
      </c>
      <c r="X42" s="275">
        <v>3.5</v>
      </c>
      <c r="Y42" s="227">
        <v>3.2</v>
      </c>
      <c r="Z42" s="559">
        <v>2.8</v>
      </c>
      <c r="AA42" s="559">
        <v>-204.3</v>
      </c>
      <c r="AB42" s="556">
        <v>-204.1</v>
      </c>
      <c r="AC42" s="227">
        <v>-162.5</v>
      </c>
      <c r="AD42" s="567">
        <v>-162.4</v>
      </c>
      <c r="AE42" s="567"/>
      <c r="AF42" s="564"/>
      <c r="AG42" s="227"/>
      <c r="AI42" s="673"/>
    </row>
    <row r="43" spans="1:35" s="12" customFormat="1" ht="20.100000000000001" customHeight="1" thickBot="1">
      <c r="A43" s="50" t="s">
        <v>209</v>
      </c>
      <c r="B43" s="293">
        <f>340.065</f>
        <v>340.065</v>
      </c>
      <c r="C43" s="293">
        <f>(882007)*0.001</f>
        <v>882.00700000000006</v>
      </c>
      <c r="D43" s="302">
        <f>(1054069)*0.001</f>
        <v>1054.069</v>
      </c>
      <c r="E43" s="303">
        <f>(1175693)*0.001</f>
        <v>1175.693</v>
      </c>
      <c r="F43" s="302">
        <f>(1270798)*0.001</f>
        <v>1270.798</v>
      </c>
      <c r="G43" s="302">
        <f>(1351543)*0.001</f>
        <v>1351.5430000000001</v>
      </c>
      <c r="H43" s="302">
        <f>(1527994)*0.001</f>
        <v>1527.9940000000001</v>
      </c>
      <c r="I43" s="303">
        <f>(1701138)*0.001</f>
        <v>1701.1380000000001</v>
      </c>
      <c r="J43" s="302">
        <f>(1799310)*0.001</f>
        <v>1799.31</v>
      </c>
      <c r="K43" s="60">
        <v>1828.6</v>
      </c>
      <c r="L43" s="60">
        <v>1876.8</v>
      </c>
      <c r="M43" s="95">
        <v>1890.8</v>
      </c>
      <c r="N43" s="60">
        <v>2061.6</v>
      </c>
      <c r="O43" s="60">
        <v>2366.1</v>
      </c>
      <c r="P43" s="60">
        <v>2868.6</v>
      </c>
      <c r="Q43" s="227">
        <v>3054.2</v>
      </c>
      <c r="R43" s="275">
        <v>3229.7</v>
      </c>
      <c r="S43" s="275">
        <v>3467.4</v>
      </c>
      <c r="T43" s="275">
        <v>3745.6</v>
      </c>
      <c r="U43" s="227">
        <v>4095.5</v>
      </c>
      <c r="V43" s="275">
        <v>4374.8999999999996</v>
      </c>
      <c r="W43" s="275">
        <v>4461.3999999999996</v>
      </c>
      <c r="X43" s="275">
        <v>4704.3</v>
      </c>
      <c r="Y43" s="227">
        <v>4871.3999999999996</v>
      </c>
      <c r="Z43" s="559">
        <v>5668.6</v>
      </c>
      <c r="AA43" s="559">
        <v>5904.4</v>
      </c>
      <c r="AB43" s="556">
        <v>6130.5</v>
      </c>
      <c r="AC43" s="227">
        <v>6189.9</v>
      </c>
      <c r="AD43" s="567">
        <v>6481.8</v>
      </c>
      <c r="AE43" s="567"/>
      <c r="AF43" s="564"/>
      <c r="AG43" s="227"/>
      <c r="AI43" s="673"/>
    </row>
    <row r="44" spans="1:35" s="15" customFormat="1" ht="24.95" customHeight="1" thickBot="1">
      <c r="A44" s="13" t="s">
        <v>74</v>
      </c>
      <c r="B44" s="53">
        <f t="shared" ref="B44:C44" si="16">SUM(B36:B43)</f>
        <v>2090.7669999999998</v>
      </c>
      <c r="C44" s="53">
        <f t="shared" si="16"/>
        <v>2192.2690000000002</v>
      </c>
      <c r="D44" s="53">
        <f t="shared" ref="D44:H44" si="17">SUM(D36:D43)</f>
        <v>2354.915</v>
      </c>
      <c r="E44" s="53">
        <f t="shared" si="17"/>
        <v>2468.4030000000002</v>
      </c>
      <c r="F44" s="53">
        <f t="shared" si="17"/>
        <v>2562.1680000000001</v>
      </c>
      <c r="G44" s="53">
        <f t="shared" si="17"/>
        <v>2647.2950000000001</v>
      </c>
      <c r="H44" s="53">
        <f t="shared" si="17"/>
        <v>2825.576</v>
      </c>
      <c r="I44" s="53">
        <f t="shared" ref="I44:J44" si="18">SUM(I36:I43)</f>
        <v>3001.2110000000002</v>
      </c>
      <c r="J44" s="53">
        <f t="shared" si="18"/>
        <v>3108.3469999999998</v>
      </c>
      <c r="K44" s="53">
        <f t="shared" ref="K44:Q44" si="19">SUM(K36:K43)</f>
        <v>9091.7000000000007</v>
      </c>
      <c r="L44" s="53">
        <f t="shared" si="19"/>
        <v>9130.7000000000007</v>
      </c>
      <c r="M44" s="76">
        <f t="shared" si="19"/>
        <v>9078.2000000000007</v>
      </c>
      <c r="N44" s="54">
        <f t="shared" si="19"/>
        <v>9311.9</v>
      </c>
      <c r="O44" s="54">
        <f t="shared" si="19"/>
        <v>9557.8000000000011</v>
      </c>
      <c r="P44" s="54">
        <f t="shared" si="19"/>
        <v>10060</v>
      </c>
      <c r="Q44" s="232">
        <f t="shared" si="19"/>
        <v>10250.1</v>
      </c>
      <c r="R44" s="270">
        <f t="shared" ref="R44:Y44" si="20">SUM(R36:R43)</f>
        <v>10427.6</v>
      </c>
      <c r="S44" s="270">
        <f t="shared" si="20"/>
        <v>10667.1</v>
      </c>
      <c r="T44" s="270">
        <f t="shared" si="20"/>
        <v>10947.4</v>
      </c>
      <c r="U44" s="232">
        <f t="shared" si="20"/>
        <v>11299.6</v>
      </c>
      <c r="V44" s="270">
        <f t="shared" si="20"/>
        <v>11578.3</v>
      </c>
      <c r="W44" s="270">
        <f t="shared" si="20"/>
        <v>11664.6</v>
      </c>
      <c r="X44" s="270">
        <f t="shared" si="20"/>
        <v>11907.400000000001</v>
      </c>
      <c r="Y44" s="232">
        <f t="shared" si="20"/>
        <v>12074.2</v>
      </c>
      <c r="Z44" s="270">
        <f t="shared" ref="Z44:AB44" si="21">SUM(Z36:Z43)</f>
        <v>12871</v>
      </c>
      <c r="AA44" s="270">
        <f t="shared" si="21"/>
        <v>12899.7</v>
      </c>
      <c r="AB44" s="270">
        <f t="shared" si="21"/>
        <v>13126</v>
      </c>
      <c r="AC44" s="232">
        <f>SUM(AC36:AC43)</f>
        <v>13227</v>
      </c>
      <c r="AD44" s="566">
        <f>SUM(AD36:AD43)</f>
        <v>13519</v>
      </c>
      <c r="AE44" s="566">
        <f t="shared" ref="AE44:AF44" si="22">SUM(AE36:AE43)</f>
        <v>0</v>
      </c>
      <c r="AF44" s="566">
        <f t="shared" si="22"/>
        <v>0</v>
      </c>
      <c r="AG44" s="232">
        <f>SUM(AG36:AG43)</f>
        <v>0</v>
      </c>
      <c r="AI44" s="673"/>
    </row>
    <row r="45" spans="1:35" s="15" customFormat="1" ht="20.100000000000001" customHeight="1" thickBot="1">
      <c r="A45" s="69" t="s">
        <v>73</v>
      </c>
      <c r="B45" s="43">
        <v>0</v>
      </c>
      <c r="C45" s="43">
        <v>0</v>
      </c>
      <c r="D45" s="43">
        <v>0</v>
      </c>
      <c r="E45" s="92">
        <v>0</v>
      </c>
      <c r="F45" s="43">
        <v>0</v>
      </c>
      <c r="G45" s="43">
        <v>0</v>
      </c>
      <c r="H45" s="304">
        <f>2/1000</f>
        <v>2E-3</v>
      </c>
      <c r="I45" s="305">
        <f>2/1000</f>
        <v>2E-3</v>
      </c>
      <c r="J45" s="306">
        <f>2/1000</f>
        <v>2E-3</v>
      </c>
      <c r="K45" s="47">
        <v>0</v>
      </c>
      <c r="L45" s="47">
        <v>0</v>
      </c>
      <c r="M45" s="92">
        <v>0</v>
      </c>
      <c r="N45" s="47">
        <v>0</v>
      </c>
      <c r="O45" s="47">
        <v>0</v>
      </c>
      <c r="P45" s="47">
        <v>0</v>
      </c>
      <c r="Q45" s="233">
        <v>0</v>
      </c>
      <c r="R45" s="276">
        <v>-22.4</v>
      </c>
      <c r="S45" s="276">
        <v>94.5</v>
      </c>
      <c r="T45" s="276">
        <v>86.1</v>
      </c>
      <c r="U45" s="417">
        <v>78</v>
      </c>
      <c r="V45" s="276">
        <v>70</v>
      </c>
      <c r="W45" s="276">
        <v>60.5</v>
      </c>
      <c r="X45" s="276">
        <v>52.5</v>
      </c>
      <c r="Y45" s="417">
        <v>42.6</v>
      </c>
      <c r="Z45" s="560">
        <v>34</v>
      </c>
      <c r="AA45" s="560">
        <v>554.29999999999995</v>
      </c>
      <c r="AB45" s="560">
        <v>555.29999999999995</v>
      </c>
      <c r="AC45" s="417">
        <v>648.20000000000005</v>
      </c>
      <c r="AD45" s="560">
        <v>653.6</v>
      </c>
      <c r="AE45" s="560"/>
      <c r="AF45" s="560"/>
      <c r="AG45" s="417"/>
      <c r="AI45" s="673"/>
    </row>
    <row r="46" spans="1:35" s="15" customFormat="1" ht="24.95" customHeight="1" thickBot="1">
      <c r="A46" s="13" t="s">
        <v>18</v>
      </c>
      <c r="B46" s="54">
        <f t="shared" ref="B46" si="23">B44+B45</f>
        <v>2090.7669999999998</v>
      </c>
      <c r="C46" s="54">
        <f t="shared" ref="C46" si="24">C44+C45</f>
        <v>2192.2690000000002</v>
      </c>
      <c r="D46" s="54">
        <f t="shared" ref="D46" si="25">D44+D45</f>
        <v>2354.915</v>
      </c>
      <c r="E46" s="76">
        <f t="shared" ref="E46:G46" si="26">E44</f>
        <v>2468.4030000000002</v>
      </c>
      <c r="F46" s="54">
        <f t="shared" si="26"/>
        <v>2562.1680000000001</v>
      </c>
      <c r="G46" s="54">
        <f t="shared" si="26"/>
        <v>2647.2950000000001</v>
      </c>
      <c r="H46" s="54">
        <f>SUM(H44:H45)</f>
        <v>2825.578</v>
      </c>
      <c r="I46" s="54">
        <f t="shared" ref="I46:O46" si="27">I44+I45</f>
        <v>3001.2130000000002</v>
      </c>
      <c r="J46" s="290">
        <f t="shared" si="27"/>
        <v>3108.3489999999997</v>
      </c>
      <c r="K46" s="53">
        <f t="shared" si="27"/>
        <v>9091.7000000000007</v>
      </c>
      <c r="L46" s="53">
        <f t="shared" si="27"/>
        <v>9130.7000000000007</v>
      </c>
      <c r="M46" s="76">
        <f t="shared" si="27"/>
        <v>9078.2000000000007</v>
      </c>
      <c r="N46" s="54">
        <f t="shared" si="27"/>
        <v>9311.9</v>
      </c>
      <c r="O46" s="54">
        <f t="shared" si="27"/>
        <v>9557.8000000000011</v>
      </c>
      <c r="P46" s="54">
        <f t="shared" ref="P46:R46" si="28">P44+P45</f>
        <v>10060</v>
      </c>
      <c r="Q46" s="232">
        <f t="shared" si="28"/>
        <v>10250.1</v>
      </c>
      <c r="R46" s="270">
        <f t="shared" si="28"/>
        <v>10405.200000000001</v>
      </c>
      <c r="S46" s="270">
        <f t="shared" ref="S46:Y46" si="29">S44+S45</f>
        <v>10761.6</v>
      </c>
      <c r="T46" s="270">
        <f t="shared" si="29"/>
        <v>11033.5</v>
      </c>
      <c r="U46" s="232">
        <f t="shared" si="29"/>
        <v>11377.6</v>
      </c>
      <c r="V46" s="270">
        <f t="shared" si="29"/>
        <v>11648.3</v>
      </c>
      <c r="W46" s="270">
        <f t="shared" si="29"/>
        <v>11725.1</v>
      </c>
      <c r="X46" s="270">
        <f t="shared" si="29"/>
        <v>11959.900000000001</v>
      </c>
      <c r="Y46" s="232">
        <f t="shared" si="29"/>
        <v>12116.800000000001</v>
      </c>
      <c r="Z46" s="270">
        <f t="shared" ref="Z46:AC46" si="30">Z44+Z45</f>
        <v>12905</v>
      </c>
      <c r="AA46" s="270">
        <f t="shared" si="30"/>
        <v>13454</v>
      </c>
      <c r="AB46" s="270">
        <f t="shared" si="30"/>
        <v>13681.3</v>
      </c>
      <c r="AC46" s="232">
        <f t="shared" si="30"/>
        <v>13875.2</v>
      </c>
      <c r="AD46" s="566">
        <f t="shared" ref="AD46:AG46" si="31">AD44+AD45</f>
        <v>14172.6</v>
      </c>
      <c r="AE46" s="566">
        <f t="shared" si="31"/>
        <v>0</v>
      </c>
      <c r="AF46" s="566">
        <f t="shared" si="31"/>
        <v>0</v>
      </c>
      <c r="AG46" s="232">
        <f t="shared" si="31"/>
        <v>0</v>
      </c>
      <c r="AI46" s="673"/>
    </row>
    <row r="47" spans="1:35" s="12" customFormat="1" ht="20.100000000000001" customHeight="1">
      <c r="A47" s="50" t="s">
        <v>19</v>
      </c>
      <c r="B47" s="61">
        <f>932.068</f>
        <v>932.06799999999998</v>
      </c>
      <c r="C47" s="61">
        <f>(889155)*0.001</f>
        <v>889.15499999999997</v>
      </c>
      <c r="D47" s="61">
        <f>(680371)*0.001</f>
        <v>680.37099999999998</v>
      </c>
      <c r="E47" s="287">
        <f>(592003)*0.001</f>
        <v>592.00300000000004</v>
      </c>
      <c r="F47" s="61">
        <f>(572819)*0.001</f>
        <v>572.81899999999996</v>
      </c>
      <c r="G47" s="61">
        <f>(422858)*0.001</f>
        <v>422.858</v>
      </c>
      <c r="H47" s="61">
        <f>(329798)*0.001</f>
        <v>329.798</v>
      </c>
      <c r="I47" s="288">
        <f>(239889)*0.001</f>
        <v>239.88900000000001</v>
      </c>
      <c r="J47" s="289">
        <f>(236277)*0.001</f>
        <v>236.27700000000002</v>
      </c>
      <c r="K47" s="34">
        <v>8446.1</v>
      </c>
      <c r="L47" s="34">
        <v>7976.3</v>
      </c>
      <c r="M47" s="93">
        <v>7683.5</v>
      </c>
      <c r="N47" s="60">
        <v>7357.9</v>
      </c>
      <c r="O47" s="60">
        <v>7034.6</v>
      </c>
      <c r="P47" s="34">
        <v>5644.9</v>
      </c>
      <c r="Q47" s="233">
        <v>5379.8</v>
      </c>
      <c r="R47" s="275">
        <v>9982.1</v>
      </c>
      <c r="S47" s="275">
        <v>9752</v>
      </c>
      <c r="T47" s="275">
        <v>9530.2999999999993</v>
      </c>
      <c r="U47" s="233">
        <v>9302.7000000000007</v>
      </c>
      <c r="V47" s="275">
        <v>9056</v>
      </c>
      <c r="W47" s="275">
        <v>8808.6</v>
      </c>
      <c r="X47" s="275">
        <v>8561.9</v>
      </c>
      <c r="Y47" s="233">
        <v>9291.4</v>
      </c>
      <c r="Z47" s="563">
        <v>9474.7000000000007</v>
      </c>
      <c r="AA47" s="563">
        <v>9139.4</v>
      </c>
      <c r="AB47" s="561">
        <v>9043.7999999999993</v>
      </c>
      <c r="AC47" s="233">
        <v>8605.2999999999993</v>
      </c>
      <c r="AD47" s="567">
        <v>8339.7999999999993</v>
      </c>
      <c r="AE47" s="567"/>
      <c r="AF47" s="564"/>
      <c r="AG47" s="233"/>
      <c r="AI47" s="673"/>
    </row>
    <row r="48" spans="1:35" s="12" customFormat="1" ht="20.100000000000001" customHeight="1">
      <c r="A48" s="50" t="s">
        <v>88</v>
      </c>
      <c r="B48" s="34">
        <f>1360.637</f>
        <v>1360.6369999999999</v>
      </c>
      <c r="C48" s="34">
        <f>(1369593)*0.001</f>
        <v>1369.5930000000001</v>
      </c>
      <c r="D48" s="34">
        <f>(1347224)*0.001</f>
        <v>1347.2239999999999</v>
      </c>
      <c r="E48" s="82">
        <f>(1316479)*0.001</f>
        <v>1316.479</v>
      </c>
      <c r="F48" s="34">
        <f>(1370119)*0.001</f>
        <v>1370.1190000000001</v>
      </c>
      <c r="G48" s="34">
        <f>(1395972)*0.001</f>
        <v>1395.972</v>
      </c>
      <c r="H48" s="34">
        <f>(1385314)*0.001</f>
        <v>1385.3140000000001</v>
      </c>
      <c r="I48" s="82">
        <f>(1340010)*0.001</f>
        <v>1340.01</v>
      </c>
      <c r="J48" s="34">
        <f>(1396071)*0.001</f>
        <v>1396.0710000000001</v>
      </c>
      <c r="K48" s="34">
        <v>4286.8999999999996</v>
      </c>
      <c r="L48" s="34">
        <v>4302.1000000000004</v>
      </c>
      <c r="M48" s="93">
        <v>4550.2</v>
      </c>
      <c r="N48" s="60">
        <v>4470</v>
      </c>
      <c r="O48" s="60">
        <v>4582.5</v>
      </c>
      <c r="P48" s="34">
        <v>964.4</v>
      </c>
      <c r="Q48" s="233">
        <v>975.3</v>
      </c>
      <c r="R48" s="275">
        <v>2252.6</v>
      </c>
      <c r="S48" s="275">
        <v>1795.1</v>
      </c>
      <c r="T48" s="275">
        <v>1805.1</v>
      </c>
      <c r="U48" s="233">
        <v>1835.7</v>
      </c>
      <c r="V48" s="275">
        <v>964.9</v>
      </c>
      <c r="W48" s="275">
        <v>975.3</v>
      </c>
      <c r="X48" s="275">
        <v>965.2</v>
      </c>
      <c r="Y48" s="233">
        <v>975.7</v>
      </c>
      <c r="Z48" s="563">
        <v>965.2</v>
      </c>
      <c r="AA48" s="563">
        <v>975.5</v>
      </c>
      <c r="AB48" s="561">
        <v>965.6</v>
      </c>
      <c r="AC48" s="233">
        <v>976</v>
      </c>
      <c r="AD48" s="567">
        <v>965.5</v>
      </c>
      <c r="AE48" s="567"/>
      <c r="AF48" s="564"/>
      <c r="AG48" s="233"/>
      <c r="AI48" s="673"/>
    </row>
    <row r="49" spans="1:35" s="12" customFormat="1" ht="20.100000000000001" customHeight="1">
      <c r="A49" s="50" t="s">
        <v>20</v>
      </c>
      <c r="B49" s="61">
        <f>0.81</f>
        <v>0.81</v>
      </c>
      <c r="C49" s="61">
        <f>(741)*0.001</f>
        <v>0.74099999999999999</v>
      </c>
      <c r="D49" s="61">
        <f>(638)*0.001</f>
        <v>0.63800000000000001</v>
      </c>
      <c r="E49" s="287">
        <f>(551)*0.001</f>
        <v>0.55100000000000005</v>
      </c>
      <c r="F49" s="61">
        <f>(474)*0.001</f>
        <v>0.47400000000000003</v>
      </c>
      <c r="G49" s="61">
        <f>(424)*0.001</f>
        <v>0.42399999999999999</v>
      </c>
      <c r="H49" s="61">
        <f>(306)*0.001</f>
        <v>0.30599999999999999</v>
      </c>
      <c r="I49" s="288">
        <f>(227)*0.001</f>
        <v>0.22700000000000001</v>
      </c>
      <c r="J49" s="289">
        <f>(166)*0.001</f>
        <v>0.16600000000000001</v>
      </c>
      <c r="K49" s="33">
        <v>4.5</v>
      </c>
      <c r="L49" s="33">
        <v>7.9</v>
      </c>
      <c r="M49" s="95">
        <v>11.7</v>
      </c>
      <c r="N49" s="62">
        <v>13.4</v>
      </c>
      <c r="O49" s="62">
        <v>15.7</v>
      </c>
      <c r="P49" s="33">
        <v>21.3</v>
      </c>
      <c r="Q49" s="233">
        <v>20.9</v>
      </c>
      <c r="R49" s="266">
        <v>21.2</v>
      </c>
      <c r="S49" s="266">
        <v>23.3</v>
      </c>
      <c r="T49" s="266">
        <v>22.1</v>
      </c>
      <c r="U49" s="233">
        <v>20.9</v>
      </c>
      <c r="V49" s="266">
        <v>22.6</v>
      </c>
      <c r="W49" s="266">
        <v>21.4</v>
      </c>
      <c r="X49" s="266">
        <v>19.399999999999999</v>
      </c>
      <c r="Y49" s="233">
        <v>18.600000000000001</v>
      </c>
      <c r="Z49" s="561">
        <v>17.3</v>
      </c>
      <c r="AA49" s="561">
        <v>14.6</v>
      </c>
      <c r="AB49" s="561">
        <v>15</v>
      </c>
      <c r="AC49" s="233">
        <v>15.8</v>
      </c>
      <c r="AD49" s="564">
        <v>1070</v>
      </c>
      <c r="AE49" s="564"/>
      <c r="AF49" s="564"/>
      <c r="AG49" s="233"/>
      <c r="AI49" s="673"/>
    </row>
    <row r="50" spans="1:35" s="12" customFormat="1" ht="20.100000000000001" customHeight="1">
      <c r="A50" s="50" t="s">
        <v>192</v>
      </c>
      <c r="B50" s="35">
        <f>0*($A$75)</f>
        <v>0</v>
      </c>
      <c r="C50" s="35">
        <f>0</f>
        <v>0</v>
      </c>
      <c r="D50" s="35">
        <f>0</f>
        <v>0</v>
      </c>
      <c r="E50" s="99">
        <v>0</v>
      </c>
      <c r="F50" s="35">
        <v>0</v>
      </c>
      <c r="G50" s="35">
        <f>0</f>
        <v>0</v>
      </c>
      <c r="H50" s="35">
        <v>0</v>
      </c>
      <c r="I50" s="74">
        <v>0</v>
      </c>
      <c r="J50" s="83">
        <v>0</v>
      </c>
      <c r="K50" s="33">
        <v>835.8</v>
      </c>
      <c r="L50" s="33">
        <v>730.2</v>
      </c>
      <c r="M50" s="95">
        <v>750.3</v>
      </c>
      <c r="N50" s="62">
        <v>724.4</v>
      </c>
      <c r="O50" s="62">
        <v>747.9</v>
      </c>
      <c r="P50" s="33">
        <v>645.1</v>
      </c>
      <c r="Q50" s="233">
        <v>652.79999999999995</v>
      </c>
      <c r="R50" s="266">
        <v>658</v>
      </c>
      <c r="S50" s="266">
        <v>686.7</v>
      </c>
      <c r="T50" s="266">
        <v>555.79999999999995</v>
      </c>
      <c r="U50" s="233">
        <v>574</v>
      </c>
      <c r="V50" s="266">
        <v>551</v>
      </c>
      <c r="W50" s="266">
        <v>555.4</v>
      </c>
      <c r="X50" s="266">
        <v>452.4</v>
      </c>
      <c r="Y50" s="233">
        <v>440.8</v>
      </c>
      <c r="Z50" s="561">
        <v>447.6</v>
      </c>
      <c r="AA50" s="561">
        <v>466.9</v>
      </c>
      <c r="AB50" s="561">
        <v>343.6</v>
      </c>
      <c r="AC50" s="233">
        <v>348.2</v>
      </c>
      <c r="AD50" s="564">
        <v>350.5</v>
      </c>
      <c r="AE50" s="564"/>
      <c r="AF50" s="564"/>
      <c r="AG50" s="233"/>
      <c r="AI50" s="673"/>
    </row>
    <row r="51" spans="1:35" s="12" customFormat="1" ht="20.100000000000001" customHeight="1">
      <c r="A51" s="50" t="s">
        <v>21</v>
      </c>
      <c r="B51" s="293">
        <f>87.307</f>
        <v>87.307000000000002</v>
      </c>
      <c r="C51" s="293">
        <f>(88480)*0.001</f>
        <v>88.48</v>
      </c>
      <c r="D51" s="293">
        <f>(97271)*0.001</f>
        <v>97.271000000000001</v>
      </c>
      <c r="E51" s="294">
        <f>(94258)*0.001</f>
        <v>94.257999999999996</v>
      </c>
      <c r="F51" s="293">
        <f>(93487)*0.001</f>
        <v>93.487000000000009</v>
      </c>
      <c r="G51" s="293">
        <f>(93150)*0.001</f>
        <v>93.15</v>
      </c>
      <c r="H51" s="293">
        <f>(98799)*0.001</f>
        <v>98.799000000000007</v>
      </c>
      <c r="I51" s="295">
        <f>(108066)*0.001</f>
        <v>108.066</v>
      </c>
      <c r="J51" s="296">
        <f>(95950)*0.001</f>
        <v>95.95</v>
      </c>
      <c r="K51" s="34">
        <v>1010.7</v>
      </c>
      <c r="L51" s="34">
        <v>1038.8</v>
      </c>
      <c r="M51" s="95">
        <v>908.7</v>
      </c>
      <c r="N51" s="62">
        <v>888.6</v>
      </c>
      <c r="O51" s="62">
        <v>821.1</v>
      </c>
      <c r="P51" s="34">
        <v>770.4</v>
      </c>
      <c r="Q51" s="233">
        <v>615.79999999999995</v>
      </c>
      <c r="R51" s="266">
        <v>694.4</v>
      </c>
      <c r="S51" s="266">
        <v>889.1</v>
      </c>
      <c r="T51" s="266">
        <v>923.2</v>
      </c>
      <c r="U51" s="233">
        <v>786.9</v>
      </c>
      <c r="V51" s="266">
        <v>812.3</v>
      </c>
      <c r="W51" s="266">
        <v>775.7</v>
      </c>
      <c r="X51" s="266">
        <v>771.8</v>
      </c>
      <c r="Y51" s="233">
        <v>879.8</v>
      </c>
      <c r="Z51" s="561">
        <v>1034.8</v>
      </c>
      <c r="AA51" s="561">
        <v>1027.8</v>
      </c>
      <c r="AB51" s="561">
        <v>1006.2</v>
      </c>
      <c r="AC51" s="233">
        <v>1160.0999999999999</v>
      </c>
      <c r="AD51" s="564">
        <v>1132</v>
      </c>
      <c r="AE51" s="564"/>
      <c r="AF51" s="564"/>
      <c r="AG51" s="233"/>
      <c r="AI51" s="673"/>
    </row>
    <row r="52" spans="1:35" s="12" customFormat="1" ht="20.100000000000001" customHeight="1">
      <c r="A52" s="50" t="s">
        <v>193</v>
      </c>
      <c r="B52" s="43">
        <v>0</v>
      </c>
      <c r="C52" s="293">
        <f>(6285)*0.001</f>
        <v>6.2850000000000001</v>
      </c>
      <c r="D52" s="293">
        <f>(5716)*0.001</f>
        <v>5.7160000000000002</v>
      </c>
      <c r="E52" s="294">
        <f>(5181)*0.001</f>
        <v>5.181</v>
      </c>
      <c r="F52" s="293">
        <f>(4978)*0.001</f>
        <v>4.9779999999999998</v>
      </c>
      <c r="G52" s="293">
        <f>(4754)*0.001</f>
        <v>4.7540000000000004</v>
      </c>
      <c r="H52" s="293">
        <f>(4303)*0.001</f>
        <v>4.3029999999999999</v>
      </c>
      <c r="I52" s="295">
        <f>(4079)*0.001</f>
        <v>4.0789999999999997</v>
      </c>
      <c r="J52" s="296">
        <f>(3008)*0.001</f>
        <v>3.008</v>
      </c>
      <c r="K52" s="33">
        <v>2.8</v>
      </c>
      <c r="L52" s="33">
        <v>3.9</v>
      </c>
      <c r="M52" s="95">
        <v>4.7</v>
      </c>
      <c r="N52" s="62">
        <v>5.5</v>
      </c>
      <c r="O52" s="62">
        <v>5</v>
      </c>
      <c r="P52" s="33">
        <v>4.5</v>
      </c>
      <c r="Q52" s="233">
        <v>4.7</v>
      </c>
      <c r="R52" s="266">
        <v>22.1</v>
      </c>
      <c r="S52" s="266">
        <v>21</v>
      </c>
      <c r="T52" s="266">
        <v>20.100000000000001</v>
      </c>
      <c r="U52" s="233">
        <v>20.100000000000001</v>
      </c>
      <c r="V52" s="266">
        <v>4</v>
      </c>
      <c r="W52" s="266">
        <v>3.8</v>
      </c>
      <c r="X52" s="266">
        <v>3.4</v>
      </c>
      <c r="Y52" s="233">
        <v>3.2</v>
      </c>
      <c r="Z52" s="561">
        <v>0</v>
      </c>
      <c r="AA52" s="561">
        <v>0</v>
      </c>
      <c r="AB52" s="561">
        <v>0</v>
      </c>
      <c r="AC52" s="233">
        <v>0</v>
      </c>
      <c r="AD52" s="564">
        <v>0</v>
      </c>
      <c r="AE52" s="564"/>
      <c r="AF52" s="564"/>
      <c r="AG52" s="233"/>
      <c r="AI52" s="673"/>
    </row>
    <row r="53" spans="1:35" s="12" customFormat="1" ht="20.100000000000001" customHeight="1">
      <c r="A53" s="50" t="s">
        <v>22</v>
      </c>
      <c r="B53" s="293">
        <f>13.779</f>
        <v>13.779</v>
      </c>
      <c r="C53" s="293">
        <f>(17835)*0.001</f>
        <v>17.835000000000001</v>
      </c>
      <c r="D53" s="293">
        <f>(19037)*0.001</f>
        <v>19.036999999999999</v>
      </c>
      <c r="E53" s="294">
        <f>(17690)*0.001</f>
        <v>17.690000000000001</v>
      </c>
      <c r="F53" s="293">
        <f>(17684)*0.001</f>
        <v>17.684000000000001</v>
      </c>
      <c r="G53" s="293">
        <f>(10154)*0.001</f>
        <v>10.154</v>
      </c>
      <c r="H53" s="293">
        <f>(8594)*0.001</f>
        <v>8.5939999999999994</v>
      </c>
      <c r="I53" s="295">
        <f>(7915)*0.001</f>
        <v>7.915</v>
      </c>
      <c r="J53" s="296">
        <f>(7828)*0.001</f>
        <v>7.8280000000000003</v>
      </c>
      <c r="K53" s="33">
        <v>158.19999999999999</v>
      </c>
      <c r="L53" s="33">
        <v>164.6</v>
      </c>
      <c r="M53" s="95">
        <v>184.2</v>
      </c>
      <c r="N53" s="62">
        <v>167.4</v>
      </c>
      <c r="O53" s="62">
        <v>132.4</v>
      </c>
      <c r="P53" s="33">
        <v>133.1</v>
      </c>
      <c r="Q53" s="233">
        <v>124.2</v>
      </c>
      <c r="R53" s="266">
        <v>157.30000000000001</v>
      </c>
      <c r="S53" s="266">
        <v>148.9</v>
      </c>
      <c r="T53" s="266">
        <v>148.19999999999999</v>
      </c>
      <c r="U53" s="233">
        <v>130.19999999999999</v>
      </c>
      <c r="V53" s="266">
        <v>128.1</v>
      </c>
      <c r="W53" s="266">
        <v>122</v>
      </c>
      <c r="X53" s="266">
        <v>122.2</v>
      </c>
      <c r="Y53" s="233">
        <v>114.2</v>
      </c>
      <c r="Z53" s="561">
        <v>122.4</v>
      </c>
      <c r="AA53" s="561">
        <v>436.6</v>
      </c>
      <c r="AB53" s="561">
        <v>728.3</v>
      </c>
      <c r="AC53" s="233">
        <v>697.6</v>
      </c>
      <c r="AD53" s="564">
        <v>620.1</v>
      </c>
      <c r="AE53" s="564"/>
      <c r="AF53" s="564"/>
      <c r="AG53" s="233"/>
      <c r="AI53" s="673"/>
    </row>
    <row r="54" spans="1:35" s="30" customFormat="1" ht="20.100000000000001" customHeight="1" thickBot="1">
      <c r="A54" s="55" t="s">
        <v>96</v>
      </c>
      <c r="B54" s="35">
        <f>0*($A$75)</f>
        <v>0</v>
      </c>
      <c r="C54" s="35">
        <f>0</f>
        <v>0</v>
      </c>
      <c r="D54" s="35">
        <f>0</f>
        <v>0</v>
      </c>
      <c r="E54" s="99">
        <v>0</v>
      </c>
      <c r="F54" s="35">
        <v>0</v>
      </c>
      <c r="G54" s="35">
        <f>0</f>
        <v>0</v>
      </c>
      <c r="H54" s="35">
        <v>0</v>
      </c>
      <c r="I54" s="96">
        <v>0.1</v>
      </c>
      <c r="J54" s="83">
        <v>0</v>
      </c>
      <c r="K54" s="35">
        <f>0*($A$75)</f>
        <v>0</v>
      </c>
      <c r="L54" s="35">
        <f>0*($A$75)</f>
        <v>0</v>
      </c>
      <c r="M54" s="96">
        <v>40.1</v>
      </c>
      <c r="N54" s="63">
        <v>22.6</v>
      </c>
      <c r="O54" s="63">
        <v>2</v>
      </c>
      <c r="P54" s="44">
        <v>1.9</v>
      </c>
      <c r="Q54" s="233">
        <v>0</v>
      </c>
      <c r="R54" s="268">
        <v>1.1000000000000001</v>
      </c>
      <c r="S54" s="268">
        <v>0.9</v>
      </c>
      <c r="T54" s="268">
        <v>0</v>
      </c>
      <c r="U54" s="233">
        <v>0</v>
      </c>
      <c r="V54" s="268">
        <v>1.5</v>
      </c>
      <c r="W54" s="268">
        <v>1.7</v>
      </c>
      <c r="X54" s="268">
        <v>1.3</v>
      </c>
      <c r="Y54" s="233">
        <v>0</v>
      </c>
      <c r="Z54" s="562">
        <v>2.2000000000000002</v>
      </c>
      <c r="AA54" s="562">
        <v>0.5</v>
      </c>
      <c r="AB54" s="565">
        <v>205</v>
      </c>
      <c r="AC54" s="233">
        <v>165.2</v>
      </c>
      <c r="AD54" s="565">
        <v>167.2</v>
      </c>
      <c r="AE54" s="565"/>
      <c r="AF54" s="565"/>
      <c r="AG54" s="233"/>
      <c r="AI54" s="673"/>
    </row>
    <row r="55" spans="1:35" s="15" customFormat="1" ht="24.95" customHeight="1" thickBot="1">
      <c r="A55" s="13" t="s">
        <v>23</v>
      </c>
      <c r="B55" s="54">
        <f t="shared" ref="B55" si="32">SUM(B47:B53)</f>
        <v>2394.6009999999997</v>
      </c>
      <c r="C55" s="54">
        <f t="shared" ref="C55" si="33">SUM(C47:C53)</f>
        <v>2372.0889999999999</v>
      </c>
      <c r="D55" s="54">
        <f t="shared" ref="D55" si="34">SUM(D47:D53)</f>
        <v>2150.2569999999996</v>
      </c>
      <c r="E55" s="76">
        <f t="shared" ref="E55:H55" si="35">SUM(E47:E53)</f>
        <v>2026.162</v>
      </c>
      <c r="F55" s="54">
        <f t="shared" si="35"/>
        <v>2059.5610000000001</v>
      </c>
      <c r="G55" s="54">
        <f t="shared" si="35"/>
        <v>1927.3119999999999</v>
      </c>
      <c r="H55" s="54">
        <f t="shared" si="35"/>
        <v>1827.1140000000003</v>
      </c>
      <c r="I55" s="54">
        <f t="shared" ref="I55:J55" si="36">SUM(I47:I53)</f>
        <v>1700.1859999999999</v>
      </c>
      <c r="J55" s="290">
        <f t="shared" si="36"/>
        <v>1739.3000000000002</v>
      </c>
      <c r="K55" s="53">
        <f t="shared" ref="K55:L55" si="37">SUM(K47:K53)</f>
        <v>14745</v>
      </c>
      <c r="L55" s="53">
        <f t="shared" si="37"/>
        <v>14223.800000000001</v>
      </c>
      <c r="M55" s="76">
        <f t="shared" ref="M55:R55" si="38">SUM(M47:M54)-M54</f>
        <v>14093.300000000003</v>
      </c>
      <c r="N55" s="54">
        <f t="shared" si="38"/>
        <v>13627.199999999999</v>
      </c>
      <c r="O55" s="54">
        <f t="shared" si="38"/>
        <v>13339.2</v>
      </c>
      <c r="P55" s="54">
        <f t="shared" si="38"/>
        <v>8183.7</v>
      </c>
      <c r="Q55" s="232">
        <f t="shared" si="38"/>
        <v>7773.5</v>
      </c>
      <c r="R55" s="270">
        <f t="shared" si="38"/>
        <v>13787.7</v>
      </c>
      <c r="S55" s="270">
        <f t="shared" ref="S55:T55" si="39">SUM(S47:S54)-S54</f>
        <v>13316.1</v>
      </c>
      <c r="T55" s="270">
        <f t="shared" si="39"/>
        <v>13004.800000000001</v>
      </c>
      <c r="U55" s="232">
        <f t="shared" ref="U55" si="40">SUM(U47:U54)-U54</f>
        <v>12670.500000000002</v>
      </c>
      <c r="V55" s="270">
        <f t="shared" ref="V55:Y55" si="41">SUM(V47:V54)-V54</f>
        <v>11538.9</v>
      </c>
      <c r="W55" s="270">
        <f t="shared" si="41"/>
        <v>11262.199999999999</v>
      </c>
      <c r="X55" s="270">
        <f t="shared" si="41"/>
        <v>10896.3</v>
      </c>
      <c r="Y55" s="232">
        <f t="shared" si="41"/>
        <v>11723.7</v>
      </c>
      <c r="Z55" s="270">
        <f t="shared" ref="Z55:AD55" si="42">SUM(Z47:Z54)-Z54</f>
        <v>12062</v>
      </c>
      <c r="AA55" s="270">
        <f t="shared" si="42"/>
        <v>12060.8</v>
      </c>
      <c r="AB55" s="270">
        <f t="shared" si="42"/>
        <v>12102.5</v>
      </c>
      <c r="AC55" s="232">
        <f t="shared" si="42"/>
        <v>11803</v>
      </c>
      <c r="AD55" s="566">
        <f t="shared" si="42"/>
        <v>12477.9</v>
      </c>
      <c r="AE55" s="566">
        <f t="shared" ref="AE55:AG55" si="43">SUM(AE47:AE54)-AE54</f>
        <v>0</v>
      </c>
      <c r="AF55" s="566">
        <f t="shared" si="43"/>
        <v>0</v>
      </c>
      <c r="AG55" s="232">
        <f t="shared" si="43"/>
        <v>0</v>
      </c>
      <c r="AI55" s="673"/>
    </row>
    <row r="56" spans="1:35" s="12" customFormat="1" ht="20.100000000000001" customHeight="1">
      <c r="A56" s="50" t="s">
        <v>19</v>
      </c>
      <c r="B56" s="293">
        <f>250.363</f>
        <v>250.363</v>
      </c>
      <c r="C56" s="293">
        <f>(265796)*0.001</f>
        <v>265.79599999999999</v>
      </c>
      <c r="D56" s="293">
        <f>(238676)*0.001</f>
        <v>238.67600000000002</v>
      </c>
      <c r="E56" s="294">
        <f>(275608)*0.001</f>
        <v>275.608</v>
      </c>
      <c r="F56" s="293">
        <f>(250329)*0.001</f>
        <v>250.32900000000001</v>
      </c>
      <c r="G56" s="293">
        <f>(263389)*0.001</f>
        <v>263.38900000000001</v>
      </c>
      <c r="H56" s="293">
        <f>(214673)*0.001</f>
        <v>214.673</v>
      </c>
      <c r="I56" s="295">
        <f>(245994)*0.001</f>
        <v>245.994</v>
      </c>
      <c r="J56" s="296">
        <f>(240921)*0.001</f>
        <v>240.92099999999999</v>
      </c>
      <c r="K56" s="34">
        <v>1094.3</v>
      </c>
      <c r="L56" s="34">
        <v>1365.1</v>
      </c>
      <c r="M56" s="93">
        <v>1322.6</v>
      </c>
      <c r="N56" s="60">
        <v>1543.9</v>
      </c>
      <c r="O56" s="60">
        <v>1169.9000000000001</v>
      </c>
      <c r="P56" s="34">
        <v>963.7</v>
      </c>
      <c r="Q56" s="233">
        <v>1230.9000000000001</v>
      </c>
      <c r="R56" s="275">
        <v>1593</v>
      </c>
      <c r="S56" s="275">
        <v>1251.3</v>
      </c>
      <c r="T56" s="275">
        <v>1269.4000000000001</v>
      </c>
      <c r="U56" s="233">
        <v>1270</v>
      </c>
      <c r="V56" s="275">
        <v>1286.8</v>
      </c>
      <c r="W56" s="275">
        <v>1805.9</v>
      </c>
      <c r="X56" s="275">
        <v>1824.8</v>
      </c>
      <c r="Y56" s="233">
        <v>1341.9</v>
      </c>
      <c r="Z56" s="567">
        <v>552.9</v>
      </c>
      <c r="AA56" s="567">
        <v>1074.7</v>
      </c>
      <c r="AB56" s="564">
        <v>1368.9</v>
      </c>
      <c r="AC56" s="233">
        <v>1611.3</v>
      </c>
      <c r="AD56" s="567">
        <v>1298.2</v>
      </c>
      <c r="AE56" s="567"/>
      <c r="AF56" s="564"/>
      <c r="AG56" s="233"/>
      <c r="AI56" s="673"/>
    </row>
    <row r="57" spans="1:35" s="12" customFormat="1" ht="20.100000000000001" customHeight="1">
      <c r="A57" s="50" t="s">
        <v>88</v>
      </c>
      <c r="B57" s="293">
        <f>100.836</f>
        <v>100.836</v>
      </c>
      <c r="C57" s="293">
        <f>(101342)*0.001</f>
        <v>101.342</v>
      </c>
      <c r="D57" s="293">
        <f>(99687)*0.001</f>
        <v>99.686999999999998</v>
      </c>
      <c r="E57" s="294">
        <f>(97256)*0.001</f>
        <v>97.256</v>
      </c>
      <c r="F57" s="293">
        <f>(101219)*0.001</f>
        <v>101.21900000000001</v>
      </c>
      <c r="G57" s="293">
        <f>(102957)*0.001</f>
        <v>102.95700000000001</v>
      </c>
      <c r="H57" s="293">
        <f>(102171)*0.001</f>
        <v>102.17100000000001</v>
      </c>
      <c r="I57" s="295">
        <f>(98659)*0.001</f>
        <v>98.659000000000006</v>
      </c>
      <c r="J57" s="296">
        <f>(101071)*0.001</f>
        <v>101.071</v>
      </c>
      <c r="K57" s="33">
        <v>431.9</v>
      </c>
      <c r="L57" s="33">
        <v>439.1</v>
      </c>
      <c r="M57" s="95">
        <v>464.4</v>
      </c>
      <c r="N57" s="62">
        <v>462.5</v>
      </c>
      <c r="O57" s="62">
        <v>479.4</v>
      </c>
      <c r="P57" s="33">
        <v>4607.5</v>
      </c>
      <c r="Q57" s="233">
        <v>4776.7</v>
      </c>
      <c r="R57" s="266">
        <v>41.5</v>
      </c>
      <c r="S57" s="266">
        <v>42.3</v>
      </c>
      <c r="T57" s="266">
        <v>41.9</v>
      </c>
      <c r="U57" s="233">
        <v>42.4</v>
      </c>
      <c r="V57" s="266">
        <v>981.4</v>
      </c>
      <c r="W57" s="266">
        <v>42.5</v>
      </c>
      <c r="X57" s="266">
        <v>42.1</v>
      </c>
      <c r="Y57" s="233">
        <v>42.5</v>
      </c>
      <c r="Z57" s="564">
        <v>41.9</v>
      </c>
      <c r="AA57" s="564">
        <v>42.4</v>
      </c>
      <c r="AB57" s="564">
        <v>41.8</v>
      </c>
      <c r="AC57" s="233">
        <v>42.3</v>
      </c>
      <c r="AD57" s="564">
        <v>41.9</v>
      </c>
      <c r="AE57" s="564"/>
      <c r="AF57" s="564"/>
      <c r="AG57" s="233"/>
      <c r="AI57" s="673"/>
    </row>
    <row r="58" spans="1:35" s="12" customFormat="1" ht="20.100000000000001" customHeight="1">
      <c r="A58" s="50" t="s">
        <v>20</v>
      </c>
      <c r="B58" s="293">
        <f>0.237</f>
        <v>0.23699999999999999</v>
      </c>
      <c r="C58" s="293">
        <f>(243)*0.001</f>
        <v>0.24299999999999999</v>
      </c>
      <c r="D58" s="293">
        <f>(234)*0.001</f>
        <v>0.23400000000000001</v>
      </c>
      <c r="E58" s="294">
        <f>(233)*0.001</f>
        <v>0.23300000000000001</v>
      </c>
      <c r="F58" s="293">
        <f>(238)*0.001</f>
        <v>0.23800000000000002</v>
      </c>
      <c r="G58" s="293">
        <f>(247)*0.001</f>
        <v>0.247</v>
      </c>
      <c r="H58" s="293">
        <f>(240)*0.001</f>
        <v>0.24</v>
      </c>
      <c r="I58" s="295">
        <f>(236)*0.001</f>
        <v>0.23600000000000002</v>
      </c>
      <c r="J58" s="296">
        <f>(237)*0.001</f>
        <v>0.23700000000000002</v>
      </c>
      <c r="K58" s="33">
        <v>5.3</v>
      </c>
      <c r="L58" s="33">
        <v>5.8</v>
      </c>
      <c r="M58" s="95">
        <v>6.8</v>
      </c>
      <c r="N58" s="62">
        <v>2.7</v>
      </c>
      <c r="O58" s="62">
        <v>3.7</v>
      </c>
      <c r="P58" s="33">
        <v>4.3</v>
      </c>
      <c r="Q58" s="233">
        <v>4.3</v>
      </c>
      <c r="R58" s="266">
        <v>4.5</v>
      </c>
      <c r="S58" s="266">
        <v>4.9000000000000004</v>
      </c>
      <c r="T58" s="266">
        <v>4.9000000000000004</v>
      </c>
      <c r="U58" s="233">
        <v>5</v>
      </c>
      <c r="V58" s="266">
        <v>5.2</v>
      </c>
      <c r="W58" s="266">
        <v>7.6</v>
      </c>
      <c r="X58" s="266">
        <v>7</v>
      </c>
      <c r="Y58" s="233">
        <v>9.6999999999999993</v>
      </c>
      <c r="Z58" s="564">
        <v>10.4</v>
      </c>
      <c r="AA58" s="564">
        <v>9.6999999999999993</v>
      </c>
      <c r="AB58" s="564">
        <v>10.7</v>
      </c>
      <c r="AC58" s="233">
        <v>8.1999999999999993</v>
      </c>
      <c r="AD58" s="564">
        <v>411.5</v>
      </c>
      <c r="AE58" s="564"/>
      <c r="AF58" s="564"/>
      <c r="AG58" s="233"/>
      <c r="AI58" s="673"/>
    </row>
    <row r="59" spans="1:35" s="12" customFormat="1" ht="20.100000000000001" customHeight="1">
      <c r="A59" s="50" t="s">
        <v>192</v>
      </c>
      <c r="B59" s="36">
        <v>0</v>
      </c>
      <c r="C59" s="36">
        <v>0</v>
      </c>
      <c r="D59" s="36">
        <v>0</v>
      </c>
      <c r="E59" s="88">
        <v>0</v>
      </c>
      <c r="F59" s="36">
        <v>0</v>
      </c>
      <c r="G59" s="36">
        <v>0</v>
      </c>
      <c r="H59" s="36">
        <v>0</v>
      </c>
      <c r="I59" s="72">
        <v>0</v>
      </c>
      <c r="J59" s="97">
        <v>0</v>
      </c>
      <c r="K59" s="33">
        <v>115.8</v>
      </c>
      <c r="L59" s="33">
        <v>113.9</v>
      </c>
      <c r="M59" s="95">
        <v>117.1</v>
      </c>
      <c r="N59" s="62">
        <v>113</v>
      </c>
      <c r="O59" s="62">
        <v>116.7</v>
      </c>
      <c r="P59" s="33">
        <v>115.6</v>
      </c>
      <c r="Q59" s="233">
        <v>117</v>
      </c>
      <c r="R59" s="266">
        <v>118</v>
      </c>
      <c r="S59" s="266">
        <v>123.1</v>
      </c>
      <c r="T59" s="266">
        <v>117.7</v>
      </c>
      <c r="U59" s="233">
        <v>121.5</v>
      </c>
      <c r="V59" s="266">
        <v>116.6</v>
      </c>
      <c r="W59" s="266">
        <v>117.6</v>
      </c>
      <c r="X59" s="266">
        <v>117.6</v>
      </c>
      <c r="Y59" s="233">
        <v>114.5</v>
      </c>
      <c r="Z59" s="564">
        <v>116.3</v>
      </c>
      <c r="AA59" s="564">
        <v>121.3</v>
      </c>
      <c r="AB59" s="564">
        <v>116.6</v>
      </c>
      <c r="AC59" s="233">
        <v>118.1</v>
      </c>
      <c r="AD59" s="564">
        <v>118.9</v>
      </c>
      <c r="AE59" s="564"/>
      <c r="AF59" s="564"/>
      <c r="AG59" s="233"/>
      <c r="AI59" s="673"/>
    </row>
    <row r="60" spans="1:35" s="12" customFormat="1" ht="20.100000000000001" customHeight="1">
      <c r="A60" s="50" t="s">
        <v>237</v>
      </c>
      <c r="B60" s="36"/>
      <c r="C60" s="36"/>
      <c r="D60" s="36"/>
      <c r="E60" s="88"/>
      <c r="F60" s="36"/>
      <c r="G60" s="36"/>
      <c r="H60" s="36"/>
      <c r="I60" s="72"/>
      <c r="J60" s="97"/>
      <c r="K60" s="33"/>
      <c r="L60" s="33"/>
      <c r="M60" s="95"/>
      <c r="N60" s="62"/>
      <c r="O60" s="62"/>
      <c r="P60" s="33"/>
      <c r="Q60" s="233"/>
      <c r="R60" s="266"/>
      <c r="S60" s="266"/>
      <c r="T60" s="266"/>
      <c r="U60" s="233"/>
      <c r="V60" s="266"/>
      <c r="W60" s="266"/>
      <c r="X60" s="266"/>
      <c r="Y60" s="233"/>
      <c r="Z60" s="567">
        <v>359</v>
      </c>
      <c r="AA60" s="564">
        <v>649.1</v>
      </c>
      <c r="AB60" s="564">
        <v>643.5</v>
      </c>
      <c r="AC60" s="233">
        <v>705.2</v>
      </c>
      <c r="AD60" s="567">
        <v>722.6</v>
      </c>
      <c r="AE60" s="564"/>
      <c r="AF60" s="564"/>
      <c r="AG60" s="233"/>
      <c r="AI60" s="673"/>
    </row>
    <row r="61" spans="1:35" s="12" customFormat="1" ht="20.100000000000001" customHeight="1">
      <c r="A61" s="50" t="s">
        <v>25</v>
      </c>
      <c r="B61" s="293">
        <f>435.427</f>
        <v>435.42700000000002</v>
      </c>
      <c r="C61" s="293">
        <f>(436188)*0.001</f>
        <v>436.18799999999999</v>
      </c>
      <c r="D61" s="293">
        <f>(441676)*0.001</f>
        <v>441.67599999999999</v>
      </c>
      <c r="E61" s="294">
        <f>(472094)*0.001</f>
        <v>472.09399999999999</v>
      </c>
      <c r="F61" s="293">
        <f>(432897)*0.001</f>
        <v>432.89699999999999</v>
      </c>
      <c r="G61" s="293">
        <f>(428004)*0.001</f>
        <v>428.00400000000002</v>
      </c>
      <c r="H61" s="293">
        <f>(390829)*0.001</f>
        <v>390.82900000000001</v>
      </c>
      <c r="I61" s="295">
        <f>(413210)*0.001</f>
        <v>413.21000000000004</v>
      </c>
      <c r="J61" s="296">
        <f>(418100)*0.001</f>
        <v>418.1</v>
      </c>
      <c r="K61" s="34">
        <v>1618.8</v>
      </c>
      <c r="L61" s="34">
        <v>1505.3</v>
      </c>
      <c r="M61" s="93">
        <v>1523</v>
      </c>
      <c r="N61" s="60">
        <v>1333.5</v>
      </c>
      <c r="O61" s="60">
        <v>1670.4</v>
      </c>
      <c r="P61" s="34">
        <v>1431.5</v>
      </c>
      <c r="Q61" s="233">
        <v>1485.4</v>
      </c>
      <c r="R61" s="275">
        <v>1711.4</v>
      </c>
      <c r="S61" s="275">
        <v>1365.9</v>
      </c>
      <c r="T61" s="275">
        <v>1338.1</v>
      </c>
      <c r="U61" s="233">
        <v>1569.5</v>
      </c>
      <c r="V61" s="275">
        <v>1337.9</v>
      </c>
      <c r="W61" s="275">
        <v>1694.4</v>
      </c>
      <c r="X61" s="275">
        <v>1397.9</v>
      </c>
      <c r="Y61" s="233">
        <v>1727.3</v>
      </c>
      <c r="Z61" s="564">
        <v>1430.8</v>
      </c>
      <c r="AA61" s="567">
        <v>2254.9</v>
      </c>
      <c r="AB61" s="564">
        <v>2302.6999999999998</v>
      </c>
      <c r="AC61" s="233">
        <v>2382.4</v>
      </c>
      <c r="AD61" s="564">
        <v>2029.1</v>
      </c>
      <c r="AE61" s="567"/>
      <c r="AF61" s="564"/>
      <c r="AG61" s="233"/>
      <c r="AI61" s="673"/>
    </row>
    <row r="62" spans="1:35" s="30" customFormat="1" ht="20.100000000000001" customHeight="1">
      <c r="A62" s="55" t="s">
        <v>96</v>
      </c>
      <c r="B62" s="40">
        <v>0</v>
      </c>
      <c r="C62" s="40">
        <v>0</v>
      </c>
      <c r="D62" s="40">
        <v>0</v>
      </c>
      <c r="E62" s="98">
        <v>0</v>
      </c>
      <c r="F62" s="40">
        <v>0</v>
      </c>
      <c r="G62" s="40">
        <v>0</v>
      </c>
      <c r="H62" s="40">
        <v>0</v>
      </c>
      <c r="I62" s="96">
        <v>12</v>
      </c>
      <c r="J62" s="84">
        <v>0</v>
      </c>
      <c r="K62" s="40">
        <v>0</v>
      </c>
      <c r="L62" s="40">
        <v>0</v>
      </c>
      <c r="M62" s="96">
        <v>87</v>
      </c>
      <c r="N62" s="63">
        <v>99.7</v>
      </c>
      <c r="O62" s="63">
        <v>79</v>
      </c>
      <c r="P62" s="39">
        <v>57.1</v>
      </c>
      <c r="Q62" s="388">
        <v>72.900000000000006</v>
      </c>
      <c r="R62" s="268">
        <v>25.8</v>
      </c>
      <c r="S62" s="268">
        <v>3.5</v>
      </c>
      <c r="T62" s="268">
        <v>1.8</v>
      </c>
      <c r="U62" s="388">
        <v>0</v>
      </c>
      <c r="V62" s="268">
        <v>1.5</v>
      </c>
      <c r="W62" s="268">
        <v>0.6</v>
      </c>
      <c r="X62" s="268">
        <v>0.5</v>
      </c>
      <c r="Y62" s="388">
        <v>3.6</v>
      </c>
      <c r="Z62" s="565">
        <v>2.8</v>
      </c>
      <c r="AA62" s="565">
        <v>4.2</v>
      </c>
      <c r="AB62" s="564">
        <v>5.5</v>
      </c>
      <c r="AC62" s="388">
        <v>8.8000000000000007</v>
      </c>
      <c r="AD62" s="565">
        <v>9.1</v>
      </c>
      <c r="AE62" s="565"/>
      <c r="AF62" s="564"/>
      <c r="AG62" s="388"/>
      <c r="AI62" s="673"/>
    </row>
    <row r="63" spans="1:35" s="12" customFormat="1" ht="20.100000000000001" customHeight="1">
      <c r="A63" s="50" t="s">
        <v>24</v>
      </c>
      <c r="B63" s="293">
        <f>29.589</f>
        <v>29.588999999999999</v>
      </c>
      <c r="C63" s="293">
        <f>(7799)*0.001</f>
        <v>7.7990000000000004</v>
      </c>
      <c r="D63" s="293">
        <f>(6782)*0.001</f>
        <v>6.782</v>
      </c>
      <c r="E63" s="294">
        <f>(7092)*0.001</f>
        <v>7.0920000000000005</v>
      </c>
      <c r="F63" s="293">
        <f>(1990)*0.001</f>
        <v>1.99</v>
      </c>
      <c r="G63" s="293">
        <f>(6510)*0.001</f>
        <v>6.51</v>
      </c>
      <c r="H63" s="293">
        <f>(14152)*0.001</f>
        <v>14.152000000000001</v>
      </c>
      <c r="I63" s="295">
        <f>(4520)*0.001</f>
        <v>4.5200000000000005</v>
      </c>
      <c r="J63" s="296">
        <f>(12203)*0.001</f>
        <v>12.202999999999999</v>
      </c>
      <c r="K63" s="33">
        <v>43.7</v>
      </c>
      <c r="L63" s="33">
        <v>22.1</v>
      </c>
      <c r="M63" s="95">
        <v>48.028993427171699</v>
      </c>
      <c r="N63" s="62">
        <v>22.5</v>
      </c>
      <c r="O63" s="62">
        <v>132.69999999999999</v>
      </c>
      <c r="P63" s="33">
        <v>96.3</v>
      </c>
      <c r="Q63" s="233">
        <v>176.1</v>
      </c>
      <c r="R63" s="266">
        <v>29.2</v>
      </c>
      <c r="S63" s="266">
        <v>39.1</v>
      </c>
      <c r="T63" s="266">
        <v>21.967722325707697</v>
      </c>
      <c r="U63" s="233">
        <v>24.9</v>
      </c>
      <c r="V63" s="266">
        <v>4.3</v>
      </c>
      <c r="W63" s="266">
        <v>24.9</v>
      </c>
      <c r="X63" s="266">
        <v>17.5</v>
      </c>
      <c r="Y63" s="233">
        <v>61.3</v>
      </c>
      <c r="Z63" s="564">
        <v>60.1</v>
      </c>
      <c r="AA63" s="564">
        <v>44.9</v>
      </c>
      <c r="AB63" s="564">
        <v>62.3</v>
      </c>
      <c r="AC63" s="233">
        <v>151.1</v>
      </c>
      <c r="AD63" s="564">
        <v>191.1</v>
      </c>
      <c r="AE63" s="564"/>
      <c r="AF63" s="564"/>
      <c r="AG63" s="233"/>
      <c r="AI63" s="673"/>
    </row>
    <row r="64" spans="1:35" s="12" customFormat="1" ht="20.100000000000001" customHeight="1">
      <c r="A64" s="50" t="s">
        <v>45</v>
      </c>
      <c r="B64" s="293">
        <f>12.532</f>
        <v>12.532</v>
      </c>
      <c r="C64" s="293">
        <f>(12125)*0.001</f>
        <v>12.125</v>
      </c>
      <c r="D64" s="293">
        <f>(12084)*0.001</f>
        <v>12.084</v>
      </c>
      <c r="E64" s="294">
        <f>(13259)*0.001</f>
        <v>13.259</v>
      </c>
      <c r="F64" s="293">
        <f>(13182)*0.001</f>
        <v>13.182</v>
      </c>
      <c r="G64" s="293">
        <f>(12551)*0.001</f>
        <v>12.551</v>
      </c>
      <c r="H64" s="293">
        <f>(12536)*0.001</f>
        <v>12.536</v>
      </c>
      <c r="I64" s="295">
        <f>(2727)*0.001</f>
        <v>2.7269999999999999</v>
      </c>
      <c r="J64" s="296">
        <f>(2843)*0.001</f>
        <v>2.843</v>
      </c>
      <c r="K64" s="33">
        <v>2.6</v>
      </c>
      <c r="L64" s="33">
        <v>2.7</v>
      </c>
      <c r="M64" s="95">
        <v>1.4</v>
      </c>
      <c r="N64" s="62">
        <v>1.4</v>
      </c>
      <c r="O64" s="48" t="s">
        <v>63</v>
      </c>
      <c r="P64" s="48" t="s">
        <v>63</v>
      </c>
      <c r="Q64" s="234" t="s">
        <v>63</v>
      </c>
      <c r="R64" s="277" t="s">
        <v>63</v>
      </c>
      <c r="S64" s="277" t="s">
        <v>63</v>
      </c>
      <c r="T64" s="277" t="s">
        <v>63</v>
      </c>
      <c r="U64" s="234" t="s">
        <v>63</v>
      </c>
      <c r="V64" s="277" t="s">
        <v>63</v>
      </c>
      <c r="W64" s="277" t="s">
        <v>63</v>
      </c>
      <c r="X64" s="277" t="s">
        <v>63</v>
      </c>
      <c r="Y64" s="234" t="s">
        <v>63</v>
      </c>
      <c r="Z64" s="568" t="s">
        <v>63</v>
      </c>
      <c r="AA64" s="568" t="s">
        <v>63</v>
      </c>
      <c r="AB64" s="568" t="s">
        <v>63</v>
      </c>
      <c r="AC64" s="234" t="s">
        <v>63</v>
      </c>
      <c r="AD64" s="568" t="s">
        <v>63</v>
      </c>
      <c r="AE64" s="568"/>
      <c r="AF64" s="568"/>
      <c r="AG64" s="234"/>
      <c r="AI64" s="673"/>
    </row>
    <row r="65" spans="1:35" s="12" customFormat="1" ht="20.100000000000001" customHeight="1" thickBot="1">
      <c r="A65" s="50" t="s">
        <v>193</v>
      </c>
      <c r="B65" s="293">
        <f>188.402</f>
        <v>188.40199999999999</v>
      </c>
      <c r="C65" s="293">
        <f>(209950)*0.001</f>
        <v>209.95000000000002</v>
      </c>
      <c r="D65" s="293">
        <f>(210563)*0.001</f>
        <v>210.56300000000002</v>
      </c>
      <c r="E65" s="294">
        <f>(201238)*0.001</f>
        <v>201.238</v>
      </c>
      <c r="F65" s="293">
        <f>(207890)*0.001</f>
        <v>207.89000000000001</v>
      </c>
      <c r="G65" s="293">
        <f>(204442)*0.001</f>
        <v>204.44200000000001</v>
      </c>
      <c r="H65" s="293">
        <f>(210688)*0.001</f>
        <v>210.68800000000002</v>
      </c>
      <c r="I65" s="295">
        <f>(209485)*0.001</f>
        <v>209.48500000000001</v>
      </c>
      <c r="J65" s="296">
        <f>(228170)*0.001</f>
        <v>228.17000000000002</v>
      </c>
      <c r="K65" s="33">
        <v>678</v>
      </c>
      <c r="L65" s="33">
        <v>672.7</v>
      </c>
      <c r="M65" s="95">
        <v>683.9</v>
      </c>
      <c r="N65" s="62">
        <v>670.3</v>
      </c>
      <c r="O65" s="62">
        <v>672</v>
      </c>
      <c r="P65" s="33">
        <v>680.9</v>
      </c>
      <c r="Q65" s="233">
        <v>676.1</v>
      </c>
      <c r="R65" s="266">
        <v>665</v>
      </c>
      <c r="S65" s="266">
        <v>676.8</v>
      </c>
      <c r="T65" s="266">
        <v>660.84343092999995</v>
      </c>
      <c r="U65" s="233">
        <v>647.9</v>
      </c>
      <c r="V65" s="266">
        <v>633.79999999999995</v>
      </c>
      <c r="W65" s="266">
        <v>637.29999999999995</v>
      </c>
      <c r="X65" s="266">
        <v>629.5</v>
      </c>
      <c r="Y65" s="233">
        <v>618.29999999999995</v>
      </c>
      <c r="Z65" s="564">
        <v>356</v>
      </c>
      <c r="AA65" s="564">
        <v>39.799999999999997</v>
      </c>
      <c r="AB65" s="564">
        <v>65</v>
      </c>
      <c r="AC65" s="233">
        <v>0</v>
      </c>
      <c r="AD65" s="564">
        <v>0</v>
      </c>
      <c r="AE65" s="564"/>
      <c r="AF65" s="564"/>
      <c r="AG65" s="233"/>
      <c r="AI65" s="673"/>
    </row>
    <row r="66" spans="1:35" s="15" customFormat="1" ht="24.95" customHeight="1" thickBot="1">
      <c r="A66" s="13" t="s">
        <v>26</v>
      </c>
      <c r="B66" s="54">
        <f t="shared" ref="B66:L66" si="44">SUM(B56:B65)</f>
        <v>1017.386</v>
      </c>
      <c r="C66" s="54">
        <f t="shared" si="44"/>
        <v>1033.443</v>
      </c>
      <c r="D66" s="54">
        <f t="shared" si="44"/>
        <v>1009.7019999999999</v>
      </c>
      <c r="E66" s="76">
        <f t="shared" si="44"/>
        <v>1066.78</v>
      </c>
      <c r="F66" s="54">
        <f t="shared" si="44"/>
        <v>1007.745</v>
      </c>
      <c r="G66" s="54">
        <f t="shared" si="44"/>
        <v>1018.1</v>
      </c>
      <c r="H66" s="54">
        <f t="shared" si="44"/>
        <v>945.28899999999999</v>
      </c>
      <c r="I66" s="54">
        <f t="shared" si="44"/>
        <v>986.83100000000002</v>
      </c>
      <c r="J66" s="290">
        <f t="shared" si="44"/>
        <v>1003.5449999999998</v>
      </c>
      <c r="K66" s="53">
        <f t="shared" si="44"/>
        <v>3990.3999999999992</v>
      </c>
      <c r="L66" s="53">
        <f t="shared" si="44"/>
        <v>4126.7</v>
      </c>
      <c r="M66" s="76">
        <f t="shared" ref="M66:T66" si="45">SUM(M56:M65)-M62</f>
        <v>4167.2289934271712</v>
      </c>
      <c r="N66" s="54">
        <f t="shared" si="45"/>
        <v>4149.8</v>
      </c>
      <c r="O66" s="54">
        <f t="shared" si="45"/>
        <v>4244.8</v>
      </c>
      <c r="P66" s="54">
        <f t="shared" si="45"/>
        <v>7899.8</v>
      </c>
      <c r="Q66" s="232">
        <f t="shared" si="45"/>
        <v>8466.5000000000018</v>
      </c>
      <c r="R66" s="270">
        <f t="shared" si="45"/>
        <v>4162.5999999999995</v>
      </c>
      <c r="S66" s="270">
        <f t="shared" si="45"/>
        <v>3503.3999999999996</v>
      </c>
      <c r="T66" s="270">
        <f t="shared" si="45"/>
        <v>3454.8111532557077</v>
      </c>
      <c r="U66" s="232">
        <f t="shared" ref="U66" si="46">SUM(U56:U65)-U62</f>
        <v>3681.2000000000003</v>
      </c>
      <c r="V66" s="270">
        <f t="shared" ref="V66:W66" si="47">SUM(V56:V65)-V62</f>
        <v>4366</v>
      </c>
      <c r="W66" s="270">
        <f t="shared" si="47"/>
        <v>4330.2</v>
      </c>
      <c r="X66" s="270">
        <f t="shared" ref="X66:Y66" si="48">SUM(X56:X65)-X62</f>
        <v>4036.3999999999996</v>
      </c>
      <c r="Y66" s="232">
        <f t="shared" si="48"/>
        <v>3915.5000000000005</v>
      </c>
      <c r="Z66" s="270">
        <f t="shared" ref="Z66:AG66" si="49">SUM(Z56:Z65)-Z62</f>
        <v>2927.4</v>
      </c>
      <c r="AA66" s="270">
        <f t="shared" si="49"/>
        <v>4236.8</v>
      </c>
      <c r="AB66" s="566">
        <f t="shared" si="49"/>
        <v>4611.5</v>
      </c>
      <c r="AC66" s="232">
        <f t="shared" si="49"/>
        <v>5018.6000000000004</v>
      </c>
      <c r="AD66" s="566">
        <f t="shared" si="49"/>
        <v>4813.3000000000011</v>
      </c>
      <c r="AE66" s="566">
        <f t="shared" si="49"/>
        <v>0</v>
      </c>
      <c r="AF66" s="566">
        <f t="shared" si="49"/>
        <v>0</v>
      </c>
      <c r="AG66" s="232">
        <f t="shared" si="49"/>
        <v>0</v>
      </c>
      <c r="AI66" s="673"/>
    </row>
    <row r="67" spans="1:35" s="15" customFormat="1" ht="24.95" customHeight="1" thickBot="1">
      <c r="A67" s="13" t="s">
        <v>27</v>
      </c>
      <c r="B67" s="54">
        <f>B55+B66</f>
        <v>3411.9869999999996</v>
      </c>
      <c r="C67" s="54">
        <f>C55+C66</f>
        <v>3405.5320000000002</v>
      </c>
      <c r="D67" s="54">
        <f>D55+D66</f>
        <v>3159.9589999999994</v>
      </c>
      <c r="E67" s="76">
        <f t="shared" ref="E67:T67" si="50">E66+E55</f>
        <v>3092.942</v>
      </c>
      <c r="F67" s="54">
        <f t="shared" si="50"/>
        <v>3067.306</v>
      </c>
      <c r="G67" s="54">
        <f t="shared" si="50"/>
        <v>2945.4119999999998</v>
      </c>
      <c r="H67" s="54">
        <f t="shared" si="50"/>
        <v>2772.4030000000002</v>
      </c>
      <c r="I67" s="54">
        <f t="shared" si="50"/>
        <v>2687.0169999999998</v>
      </c>
      <c r="J67" s="290">
        <f t="shared" si="50"/>
        <v>2742.8450000000003</v>
      </c>
      <c r="K67" s="53">
        <f t="shared" si="50"/>
        <v>18735.399999999998</v>
      </c>
      <c r="L67" s="53">
        <f t="shared" si="50"/>
        <v>18350.5</v>
      </c>
      <c r="M67" s="76">
        <f t="shared" si="50"/>
        <v>18260.528993427175</v>
      </c>
      <c r="N67" s="54">
        <f t="shared" si="50"/>
        <v>17777</v>
      </c>
      <c r="O67" s="54">
        <f t="shared" si="50"/>
        <v>17584</v>
      </c>
      <c r="P67" s="54">
        <f t="shared" si="50"/>
        <v>16083.5</v>
      </c>
      <c r="Q67" s="232">
        <f t="shared" si="50"/>
        <v>16240.000000000002</v>
      </c>
      <c r="R67" s="270">
        <f t="shared" si="50"/>
        <v>17950.3</v>
      </c>
      <c r="S67" s="270">
        <f t="shared" si="50"/>
        <v>16819.5</v>
      </c>
      <c r="T67" s="270">
        <f t="shared" si="50"/>
        <v>16459.611153255708</v>
      </c>
      <c r="U67" s="232">
        <f t="shared" ref="U67:V67" si="51">U66+U55</f>
        <v>16351.700000000003</v>
      </c>
      <c r="V67" s="270">
        <f t="shared" si="51"/>
        <v>15904.9</v>
      </c>
      <c r="W67" s="270">
        <f t="shared" ref="W67:X67" si="52">W66+W55</f>
        <v>15592.399999999998</v>
      </c>
      <c r="X67" s="270">
        <f t="shared" si="52"/>
        <v>14932.699999999999</v>
      </c>
      <c r="Y67" s="232">
        <f t="shared" ref="Y67" si="53">Y66+Y55</f>
        <v>15639.2</v>
      </c>
      <c r="Z67" s="270">
        <f t="shared" ref="Z67:AG67" si="54">Z66+Z55</f>
        <v>14989.4</v>
      </c>
      <c r="AA67" s="270">
        <f t="shared" si="54"/>
        <v>16297.599999999999</v>
      </c>
      <c r="AB67" s="270">
        <f t="shared" si="54"/>
        <v>16714</v>
      </c>
      <c r="AC67" s="232">
        <f t="shared" si="54"/>
        <v>16821.599999999999</v>
      </c>
      <c r="AD67" s="566">
        <f t="shared" si="54"/>
        <v>17291.2</v>
      </c>
      <c r="AE67" s="566">
        <f t="shared" si="54"/>
        <v>0</v>
      </c>
      <c r="AF67" s="566">
        <f t="shared" si="54"/>
        <v>0</v>
      </c>
      <c r="AG67" s="232">
        <f t="shared" si="54"/>
        <v>0</v>
      </c>
      <c r="AI67" s="673"/>
    </row>
    <row r="68" spans="1:35" s="15" customFormat="1" ht="24.95" customHeight="1" thickBot="1">
      <c r="A68" s="57" t="s">
        <v>28</v>
      </c>
      <c r="B68" s="58">
        <f t="shared" ref="B68:T68" si="55">B67+B46</f>
        <v>5502.753999999999</v>
      </c>
      <c r="C68" s="58">
        <f t="shared" si="55"/>
        <v>5597.8010000000004</v>
      </c>
      <c r="D68" s="58">
        <f t="shared" si="55"/>
        <v>5514.8739999999998</v>
      </c>
      <c r="E68" s="89">
        <f t="shared" si="55"/>
        <v>5561.3450000000003</v>
      </c>
      <c r="F68" s="58">
        <f t="shared" si="55"/>
        <v>5629.4740000000002</v>
      </c>
      <c r="G68" s="58">
        <f t="shared" si="55"/>
        <v>5592.7070000000003</v>
      </c>
      <c r="H68" s="58">
        <f t="shared" si="55"/>
        <v>5597.9809999999998</v>
      </c>
      <c r="I68" s="291">
        <f t="shared" si="55"/>
        <v>5688.23</v>
      </c>
      <c r="J68" s="292">
        <f t="shared" si="55"/>
        <v>5851.1939999999995</v>
      </c>
      <c r="K68" s="58">
        <f t="shared" si="55"/>
        <v>27827.1</v>
      </c>
      <c r="L68" s="58">
        <f t="shared" si="55"/>
        <v>27481.200000000001</v>
      </c>
      <c r="M68" s="89">
        <f t="shared" si="55"/>
        <v>27338.728993427176</v>
      </c>
      <c r="N68" s="58">
        <f t="shared" si="55"/>
        <v>27088.9</v>
      </c>
      <c r="O68" s="58">
        <f t="shared" si="55"/>
        <v>27141.800000000003</v>
      </c>
      <c r="P68" s="58">
        <f t="shared" si="55"/>
        <v>26143.5</v>
      </c>
      <c r="Q68" s="235">
        <f t="shared" si="55"/>
        <v>26490.100000000002</v>
      </c>
      <c r="R68" s="272">
        <f t="shared" si="55"/>
        <v>28355.5</v>
      </c>
      <c r="S68" s="272">
        <f t="shared" si="55"/>
        <v>27581.1</v>
      </c>
      <c r="T68" s="272">
        <f t="shared" si="55"/>
        <v>27493.111153255708</v>
      </c>
      <c r="U68" s="235">
        <f t="shared" ref="U68:V68" si="56">U67+U46</f>
        <v>27729.300000000003</v>
      </c>
      <c r="V68" s="272">
        <f t="shared" si="56"/>
        <v>27553.199999999997</v>
      </c>
      <c r="W68" s="272">
        <f t="shared" ref="W68:X68" si="57">W67+W46</f>
        <v>27317.5</v>
      </c>
      <c r="X68" s="272">
        <f t="shared" si="57"/>
        <v>26892.6</v>
      </c>
      <c r="Y68" s="235">
        <f t="shared" ref="Y68" si="58">Y67+Y46</f>
        <v>27756</v>
      </c>
      <c r="Z68" s="272">
        <f t="shared" ref="Z68:AG68" si="59">Z67+Z46</f>
        <v>27894.400000000001</v>
      </c>
      <c r="AA68" s="272">
        <f t="shared" si="59"/>
        <v>29751.599999999999</v>
      </c>
      <c r="AB68" s="272">
        <f t="shared" si="59"/>
        <v>30395.3</v>
      </c>
      <c r="AC68" s="235">
        <f t="shared" si="59"/>
        <v>30696.799999999999</v>
      </c>
      <c r="AD68" s="272">
        <f t="shared" si="59"/>
        <v>31463.800000000003</v>
      </c>
      <c r="AE68" s="272">
        <f t="shared" si="59"/>
        <v>0</v>
      </c>
      <c r="AF68" s="272">
        <f t="shared" si="59"/>
        <v>0</v>
      </c>
      <c r="AG68" s="235">
        <f t="shared" si="59"/>
        <v>0</v>
      </c>
      <c r="AI68" s="673"/>
    </row>
    <row r="69" spans="1:35" s="12" customFormat="1">
      <c r="A69" s="52"/>
      <c r="K69" s="14"/>
      <c r="L69" s="14"/>
      <c r="P69" s="14"/>
    </row>
    <row r="70" spans="1:35" s="12" customFormat="1">
      <c r="A70" s="52"/>
      <c r="K70" s="14"/>
      <c r="L70" s="14"/>
      <c r="P70" s="14"/>
    </row>
    <row r="71" spans="1:35" s="12" customFormat="1" ht="20.100000000000001" customHeight="1">
      <c r="A71" s="678" t="s">
        <v>239</v>
      </c>
      <c r="B71" s="678"/>
      <c r="C71" s="678"/>
      <c r="D71" s="678"/>
      <c r="E71" s="678"/>
      <c r="F71" s="678"/>
      <c r="G71" s="678"/>
      <c r="H71" s="678"/>
      <c r="I71" s="678"/>
      <c r="J71" s="678"/>
      <c r="K71" s="678"/>
      <c r="L71" s="678"/>
      <c r="M71" s="678"/>
      <c r="N71" s="678"/>
      <c r="O71" s="678"/>
      <c r="P71" s="678"/>
      <c r="Q71" s="678"/>
    </row>
    <row r="72" spans="1:35" s="12" customFormat="1" ht="20.100000000000001" customHeight="1">
      <c r="A72" s="678" t="s">
        <v>240</v>
      </c>
      <c r="B72" s="678"/>
      <c r="C72" s="678"/>
      <c r="D72" s="678"/>
      <c r="E72" s="678"/>
      <c r="F72" s="678"/>
      <c r="G72" s="678"/>
      <c r="H72" s="678"/>
      <c r="I72" s="678"/>
      <c r="J72" s="678"/>
      <c r="K72" s="678"/>
      <c r="L72" s="678"/>
      <c r="M72" s="678"/>
      <c r="N72" s="678"/>
      <c r="O72" s="678"/>
      <c r="P72" s="678"/>
      <c r="Q72" s="678"/>
    </row>
    <row r="73" spans="1:35" s="12" customFormat="1" ht="20.100000000000001" customHeight="1">
      <c r="A73" s="678"/>
      <c r="B73" s="678"/>
      <c r="C73" s="678"/>
      <c r="D73" s="678"/>
      <c r="E73" s="678"/>
      <c r="F73" s="678"/>
      <c r="G73" s="678"/>
      <c r="H73" s="678"/>
      <c r="I73" s="678"/>
      <c r="J73" s="678"/>
      <c r="K73" s="678"/>
      <c r="L73" s="678"/>
      <c r="M73" s="678"/>
      <c r="N73" s="678"/>
      <c r="O73" s="678"/>
      <c r="P73" s="678"/>
      <c r="Q73" s="678"/>
    </row>
    <row r="74" spans="1:35" s="12" customFormat="1">
      <c r="A74" s="59"/>
      <c r="K74" s="14"/>
      <c r="L74" s="14"/>
      <c r="P74" s="14"/>
    </row>
    <row r="75" spans="1:35" s="12" customFormat="1">
      <c r="A75" s="10"/>
      <c r="K75" s="14"/>
      <c r="L75" s="14"/>
      <c r="P75" s="14"/>
    </row>
    <row r="76" spans="1:35" s="12" customFormat="1">
      <c r="A76" s="10"/>
      <c r="K76" s="14"/>
      <c r="L76" s="14"/>
      <c r="P76" s="14"/>
    </row>
  </sheetData>
  <mergeCells count="11">
    <mergeCell ref="AD2:AG2"/>
    <mergeCell ref="A73:Q73"/>
    <mergeCell ref="Z2:AC2"/>
    <mergeCell ref="V2:Y2"/>
    <mergeCell ref="R2:U2"/>
    <mergeCell ref="A71:Q71"/>
    <mergeCell ref="A72:Q72"/>
    <mergeCell ref="B2:E2"/>
    <mergeCell ref="F2:I2"/>
    <mergeCell ref="J2:M2"/>
    <mergeCell ref="N2:Q2"/>
  </mergeCells>
  <phoneticPr fontId="17" type="noConversion"/>
  <pageMargins left="0.70866141732283472" right="0.70866141732283472" top="0.74803149606299213" bottom="0.74803149606299213" header="0.31496062992125984" footer="0.31496062992125984"/>
  <pageSetup paperSize="9" scale="31" orientation="landscape" r:id="rId1"/>
  <ignoredErrors>
    <ignoredError sqref="F31 H31 C31 AC20"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RV151"/>
  <sheetViews>
    <sheetView showGridLines="0" zoomScale="115" zoomScaleNormal="115" zoomScaleSheetLayoutView="110" workbookViewId="0">
      <pane xSplit="1" ySplit="3" topLeftCell="AB4" activePane="bottomRight" state="frozen"/>
      <selection pane="topRight" activeCell="B1" sqref="B1"/>
      <selection pane="bottomLeft" activeCell="A4" sqref="A4"/>
      <selection pane="bottomRight" activeCell="AG77" sqref="AG77"/>
    </sheetView>
  </sheetViews>
  <sheetFormatPr defaultColWidth="9" defaultRowHeight="12.75"/>
  <cols>
    <col min="1" max="1" width="62.125" style="6" customWidth="1"/>
    <col min="2" max="2" width="13.125" style="6" customWidth="1"/>
    <col min="3" max="4" width="13" style="6" bestFit="1" customWidth="1"/>
    <col min="5" max="5" width="12.5" style="6" bestFit="1" customWidth="1"/>
    <col min="6" max="6" width="13" style="6" bestFit="1" customWidth="1"/>
    <col min="7" max="8" width="12.875" style="6" customWidth="1"/>
    <col min="9" max="9" width="12.5" style="6" customWidth="1"/>
    <col min="10" max="11" width="13" style="6" bestFit="1" customWidth="1"/>
    <col min="12" max="12" width="12.875" style="6" customWidth="1"/>
    <col min="13" max="13" width="12.5" style="6" customWidth="1"/>
    <col min="14" max="16" width="13" style="6" bestFit="1" customWidth="1"/>
    <col min="17" max="17" width="13" style="6" customWidth="1"/>
    <col min="18" max="20" width="13" style="6" bestFit="1" customWidth="1"/>
    <col min="21" max="21" width="13" style="6" customWidth="1"/>
    <col min="22" max="24" width="13" style="6" bestFit="1" customWidth="1"/>
    <col min="25" max="28" width="13" style="6" customWidth="1"/>
    <col min="29" max="29" width="14.125" style="6" customWidth="1"/>
    <col min="30" max="33" width="13" style="10" customWidth="1"/>
    <col min="34" max="34" width="2.625" style="10" customWidth="1"/>
    <col min="35" max="38" width="13.125" style="10" customWidth="1"/>
    <col min="39" max="57" width="9" style="10"/>
    <col min="58" max="16384" width="9" style="6"/>
  </cols>
  <sheetData>
    <row r="1" spans="1:490" s="19" customFormat="1" ht="50.25" customHeight="1" thickBot="1">
      <c r="A1" s="5" t="s">
        <v>172</v>
      </c>
      <c r="B1" s="5"/>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c r="IV1" s="18"/>
      <c r="IW1" s="18"/>
      <c r="IX1" s="18"/>
      <c r="IY1" s="18"/>
      <c r="IZ1" s="18"/>
      <c r="JA1" s="18"/>
      <c r="JB1" s="18"/>
      <c r="JC1" s="18"/>
      <c r="JD1" s="18"/>
      <c r="JE1" s="18"/>
      <c r="JF1" s="18"/>
      <c r="JG1" s="18"/>
      <c r="JH1" s="18"/>
      <c r="JI1" s="18"/>
      <c r="JJ1" s="18"/>
      <c r="JK1" s="18"/>
      <c r="JL1" s="18"/>
      <c r="JM1" s="18"/>
      <c r="JN1" s="18"/>
      <c r="JO1" s="18"/>
      <c r="JP1" s="18"/>
      <c r="JQ1" s="18"/>
      <c r="JR1" s="18"/>
      <c r="JS1" s="18"/>
      <c r="JT1" s="18"/>
      <c r="JU1" s="18"/>
      <c r="JV1" s="18"/>
      <c r="JW1" s="18"/>
      <c r="JX1" s="18"/>
      <c r="JY1" s="18"/>
      <c r="JZ1" s="18"/>
      <c r="KA1" s="18"/>
      <c r="KB1" s="18"/>
      <c r="KC1" s="18"/>
      <c r="KD1" s="18"/>
      <c r="KE1" s="18"/>
      <c r="KF1" s="18"/>
      <c r="KG1" s="18"/>
      <c r="KH1" s="18"/>
      <c r="KI1" s="18"/>
      <c r="KJ1" s="18"/>
      <c r="KK1" s="18"/>
      <c r="KL1" s="18"/>
      <c r="KM1" s="18"/>
      <c r="KN1" s="18"/>
      <c r="KO1" s="18"/>
      <c r="KP1" s="18"/>
      <c r="KQ1" s="18"/>
      <c r="KR1" s="18"/>
      <c r="KS1" s="18"/>
      <c r="KT1" s="18"/>
      <c r="KU1" s="18"/>
      <c r="KV1" s="18"/>
      <c r="KW1" s="18"/>
      <c r="KX1" s="18"/>
      <c r="KY1" s="18"/>
      <c r="KZ1" s="18"/>
      <c r="LA1" s="18"/>
      <c r="LB1" s="18"/>
      <c r="LC1" s="18"/>
      <c r="LD1" s="18"/>
      <c r="LE1" s="18"/>
      <c r="LF1" s="18"/>
      <c r="LG1" s="18"/>
      <c r="LH1" s="18"/>
      <c r="LI1" s="18"/>
      <c r="LJ1" s="18"/>
      <c r="LK1" s="18"/>
      <c r="LL1" s="18"/>
      <c r="LM1" s="18"/>
      <c r="LN1" s="18"/>
      <c r="LO1" s="18"/>
      <c r="LP1" s="18"/>
      <c r="LQ1" s="18"/>
      <c r="LR1" s="18"/>
      <c r="LS1" s="18"/>
      <c r="LT1" s="18"/>
      <c r="LU1" s="18"/>
      <c r="LV1" s="18"/>
      <c r="LW1" s="18"/>
      <c r="LX1" s="18"/>
      <c r="LY1" s="18"/>
      <c r="LZ1" s="18"/>
      <c r="MA1" s="18"/>
      <c r="MB1" s="18"/>
      <c r="MC1" s="18"/>
      <c r="MD1" s="18"/>
      <c r="ME1" s="18"/>
      <c r="MF1" s="18"/>
      <c r="MG1" s="18"/>
      <c r="MH1" s="18"/>
      <c r="MI1" s="18"/>
      <c r="MJ1" s="18"/>
      <c r="MK1" s="18"/>
      <c r="ML1" s="18"/>
      <c r="MM1" s="18"/>
      <c r="MN1" s="18"/>
      <c r="MO1" s="18"/>
      <c r="MP1" s="18"/>
      <c r="MQ1" s="18"/>
      <c r="MR1" s="18"/>
      <c r="MS1" s="18"/>
      <c r="MT1" s="18"/>
      <c r="MU1" s="18"/>
      <c r="MV1" s="18"/>
      <c r="MW1" s="18"/>
      <c r="MX1" s="18"/>
      <c r="MY1" s="18"/>
      <c r="MZ1" s="18"/>
      <c r="NA1" s="18"/>
      <c r="NB1" s="18"/>
      <c r="NC1" s="18"/>
      <c r="ND1" s="18"/>
      <c r="NE1" s="18"/>
      <c r="NF1" s="18"/>
      <c r="NG1" s="18"/>
      <c r="NH1" s="18"/>
      <c r="NI1" s="18"/>
      <c r="NJ1" s="18"/>
      <c r="NK1" s="18"/>
      <c r="NL1" s="18"/>
      <c r="NM1" s="18"/>
      <c r="NN1" s="18"/>
      <c r="NO1" s="18"/>
      <c r="NP1" s="18"/>
      <c r="NQ1" s="18"/>
      <c r="NR1" s="18"/>
      <c r="NS1" s="18"/>
      <c r="NT1" s="18"/>
      <c r="NU1" s="18"/>
      <c r="NV1" s="18"/>
      <c r="NW1" s="18"/>
      <c r="NX1" s="18"/>
      <c r="NY1" s="18"/>
      <c r="NZ1" s="18"/>
      <c r="OA1" s="18"/>
      <c r="OB1" s="18"/>
      <c r="OC1" s="18"/>
      <c r="OD1" s="18"/>
      <c r="OE1" s="18"/>
      <c r="OF1" s="18"/>
      <c r="OG1" s="18"/>
      <c r="OH1" s="18"/>
      <c r="OI1" s="18"/>
      <c r="OJ1" s="18"/>
      <c r="OK1" s="18"/>
      <c r="OL1" s="18"/>
      <c r="OM1" s="18"/>
      <c r="ON1" s="18"/>
      <c r="OO1" s="18"/>
      <c r="OP1" s="18"/>
      <c r="OQ1" s="18"/>
      <c r="OR1" s="18"/>
      <c r="OS1" s="18"/>
      <c r="OT1" s="18"/>
      <c r="OU1" s="18"/>
      <c r="OV1" s="18"/>
      <c r="OW1" s="18"/>
      <c r="OX1" s="18"/>
      <c r="OY1" s="18"/>
      <c r="OZ1" s="18"/>
      <c r="PA1" s="18"/>
      <c r="PB1" s="18"/>
      <c r="PC1" s="18"/>
      <c r="PD1" s="18"/>
      <c r="PE1" s="18"/>
      <c r="PF1" s="18"/>
      <c r="PG1" s="18"/>
      <c r="PH1" s="18"/>
      <c r="PI1" s="18"/>
      <c r="PJ1" s="18"/>
      <c r="PK1" s="18"/>
      <c r="PL1" s="18"/>
      <c r="PM1" s="18"/>
      <c r="PN1" s="18"/>
      <c r="PO1" s="18"/>
      <c r="PP1" s="18"/>
      <c r="PQ1" s="18"/>
      <c r="PR1" s="18"/>
      <c r="PS1" s="18"/>
      <c r="PT1" s="18"/>
      <c r="PU1" s="18"/>
      <c r="PV1" s="18"/>
      <c r="PW1" s="18"/>
      <c r="PX1" s="18"/>
      <c r="PY1" s="18"/>
      <c r="PZ1" s="18"/>
      <c r="QA1" s="18"/>
      <c r="QB1" s="18"/>
      <c r="QC1" s="18"/>
      <c r="QD1" s="18"/>
      <c r="QE1" s="18"/>
      <c r="QF1" s="18"/>
      <c r="QG1" s="18"/>
      <c r="QH1" s="18"/>
      <c r="QI1" s="18"/>
      <c r="QJ1" s="18"/>
      <c r="QK1" s="18"/>
      <c r="QL1" s="18"/>
      <c r="QM1" s="18"/>
      <c r="QN1" s="18"/>
      <c r="QO1" s="18"/>
      <c r="QP1" s="18"/>
      <c r="QQ1" s="18"/>
      <c r="QR1" s="18"/>
      <c r="QS1" s="18"/>
      <c r="QT1" s="18"/>
      <c r="QU1" s="18"/>
      <c r="QV1" s="18"/>
      <c r="QW1" s="18"/>
      <c r="QX1" s="18"/>
      <c r="QY1" s="18"/>
      <c r="QZ1" s="18"/>
      <c r="RA1" s="18"/>
      <c r="RB1" s="18"/>
      <c r="RC1" s="18"/>
      <c r="RD1" s="18"/>
      <c r="RE1" s="18"/>
      <c r="RF1" s="18"/>
      <c r="RG1" s="18"/>
      <c r="RH1" s="18"/>
      <c r="RI1" s="18"/>
      <c r="RJ1" s="18"/>
      <c r="RK1" s="18"/>
      <c r="RL1" s="18"/>
      <c r="RM1" s="18"/>
      <c r="RN1" s="18"/>
      <c r="RO1" s="18"/>
      <c r="RP1" s="18"/>
      <c r="RQ1" s="18"/>
      <c r="RR1" s="18"/>
      <c r="RS1" s="18"/>
      <c r="RT1" s="18"/>
      <c r="RU1" s="18"/>
      <c r="RV1" s="18"/>
    </row>
    <row r="2" spans="1:490" s="19" customFormat="1" ht="24.95" customHeight="1">
      <c r="A2" s="8" t="s">
        <v>128</v>
      </c>
      <c r="B2" s="702">
        <v>2012</v>
      </c>
      <c r="C2" s="702"/>
      <c r="D2" s="702"/>
      <c r="E2" s="703"/>
      <c r="F2" s="699">
        <v>2013</v>
      </c>
      <c r="G2" s="702"/>
      <c r="H2" s="702"/>
      <c r="I2" s="703"/>
      <c r="J2" s="702">
        <v>2014</v>
      </c>
      <c r="K2" s="702"/>
      <c r="L2" s="702"/>
      <c r="M2" s="702"/>
      <c r="N2" s="706">
        <v>2015</v>
      </c>
      <c r="O2" s="704"/>
      <c r="P2" s="704"/>
      <c r="Q2" s="705"/>
      <c r="R2" s="699">
        <v>2016</v>
      </c>
      <c r="S2" s="702"/>
      <c r="T2" s="702"/>
      <c r="U2" s="703"/>
      <c r="V2" s="699" t="s">
        <v>254</v>
      </c>
      <c r="W2" s="702"/>
      <c r="X2" s="702"/>
      <c r="Y2" s="703"/>
      <c r="Z2" s="699" t="s">
        <v>272</v>
      </c>
      <c r="AA2" s="700"/>
      <c r="AB2" s="700"/>
      <c r="AC2" s="701"/>
      <c r="AD2" s="699" t="s">
        <v>292</v>
      </c>
      <c r="AE2" s="700"/>
      <c r="AF2" s="700"/>
      <c r="AG2" s="701"/>
      <c r="AH2" s="18"/>
      <c r="AI2" s="699" t="s">
        <v>293</v>
      </c>
      <c r="AJ2" s="700"/>
      <c r="AK2" s="700"/>
      <c r="AL2" s="701"/>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c r="IS2" s="18"/>
      <c r="IT2" s="18"/>
      <c r="IU2" s="18"/>
      <c r="IV2" s="18"/>
      <c r="IW2" s="18"/>
      <c r="IX2" s="18"/>
      <c r="IY2" s="18"/>
      <c r="IZ2" s="18"/>
      <c r="JA2" s="18"/>
      <c r="JB2" s="18"/>
      <c r="JC2" s="18"/>
      <c r="JD2" s="18"/>
      <c r="JE2" s="18"/>
      <c r="JF2" s="18"/>
      <c r="JG2" s="18"/>
      <c r="JH2" s="18"/>
      <c r="JI2" s="18"/>
      <c r="JJ2" s="18"/>
      <c r="JK2" s="18"/>
      <c r="JL2" s="18"/>
      <c r="JM2" s="18"/>
      <c r="JN2" s="18"/>
      <c r="JO2" s="18"/>
      <c r="JP2" s="18"/>
      <c r="JQ2" s="18"/>
      <c r="JR2" s="18"/>
      <c r="JS2" s="18"/>
      <c r="JT2" s="18"/>
      <c r="JU2" s="18"/>
      <c r="JV2" s="18"/>
      <c r="JW2" s="18"/>
      <c r="JX2" s="18"/>
      <c r="JY2" s="18"/>
      <c r="JZ2" s="18"/>
      <c r="KA2" s="18"/>
      <c r="KB2" s="18"/>
      <c r="KC2" s="18"/>
      <c r="KD2" s="18"/>
      <c r="KE2" s="18"/>
      <c r="KF2" s="18"/>
      <c r="KG2" s="18"/>
      <c r="KH2" s="18"/>
      <c r="KI2" s="18"/>
      <c r="KJ2" s="18"/>
      <c r="KK2" s="18"/>
      <c r="KL2" s="18"/>
      <c r="KM2" s="18"/>
      <c r="KN2" s="18"/>
      <c r="KO2" s="18"/>
      <c r="KP2" s="18"/>
      <c r="KQ2" s="18"/>
      <c r="KR2" s="18"/>
      <c r="KS2" s="18"/>
      <c r="KT2" s="18"/>
      <c r="KU2" s="18"/>
      <c r="KV2" s="18"/>
      <c r="KW2" s="18"/>
      <c r="KX2" s="18"/>
      <c r="KY2" s="18"/>
      <c r="KZ2" s="18"/>
      <c r="LA2" s="18"/>
      <c r="LB2" s="18"/>
      <c r="LC2" s="18"/>
      <c r="LD2" s="18"/>
      <c r="LE2" s="18"/>
      <c r="LF2" s="18"/>
      <c r="LG2" s="18"/>
      <c r="LH2" s="18"/>
      <c r="LI2" s="18"/>
      <c r="LJ2" s="18"/>
      <c r="LK2" s="18"/>
      <c r="LL2" s="18"/>
      <c r="LM2" s="18"/>
      <c r="LN2" s="18"/>
      <c r="LO2" s="18"/>
      <c r="LP2" s="18"/>
      <c r="LQ2" s="18"/>
      <c r="LR2" s="18"/>
      <c r="LS2" s="18"/>
      <c r="LT2" s="18"/>
      <c r="LU2" s="18"/>
      <c r="LV2" s="18"/>
      <c r="LW2" s="18"/>
      <c r="LX2" s="18"/>
      <c r="LY2" s="18"/>
      <c r="LZ2" s="18"/>
      <c r="MA2" s="18"/>
      <c r="MB2" s="18"/>
      <c r="MC2" s="18"/>
      <c r="MD2" s="18"/>
      <c r="ME2" s="18"/>
      <c r="MF2" s="18"/>
      <c r="MG2" s="18"/>
      <c r="MH2" s="18"/>
      <c r="MI2" s="18"/>
      <c r="MJ2" s="18"/>
      <c r="MK2" s="18"/>
      <c r="ML2" s="18"/>
      <c r="MM2" s="18"/>
      <c r="MN2" s="18"/>
      <c r="MO2" s="18"/>
      <c r="MP2" s="18"/>
      <c r="MQ2" s="18"/>
      <c r="MR2" s="18"/>
      <c r="MS2" s="18"/>
      <c r="MT2" s="18"/>
      <c r="MU2" s="18"/>
      <c r="MV2" s="18"/>
      <c r="MW2" s="18"/>
      <c r="MX2" s="18"/>
      <c r="MY2" s="18"/>
      <c r="MZ2" s="18"/>
      <c r="NA2" s="18"/>
      <c r="NB2" s="18"/>
      <c r="NC2" s="18"/>
      <c r="ND2" s="18"/>
      <c r="NE2" s="18"/>
      <c r="NF2" s="18"/>
      <c r="NG2" s="18"/>
      <c r="NH2" s="18"/>
      <c r="NI2" s="18"/>
      <c r="NJ2" s="18"/>
      <c r="NK2" s="18"/>
      <c r="NL2" s="18"/>
      <c r="NM2" s="18"/>
      <c r="NN2" s="18"/>
      <c r="NO2" s="18"/>
      <c r="NP2" s="18"/>
      <c r="NQ2" s="18"/>
      <c r="NR2" s="18"/>
      <c r="NS2" s="18"/>
      <c r="NT2" s="18"/>
      <c r="NU2" s="18"/>
      <c r="NV2" s="18"/>
      <c r="NW2" s="18"/>
      <c r="NX2" s="18"/>
      <c r="NY2" s="18"/>
      <c r="NZ2" s="18"/>
      <c r="OA2" s="18"/>
      <c r="OB2" s="18"/>
      <c r="OC2" s="18"/>
      <c r="OD2" s="18"/>
      <c r="OE2" s="18"/>
      <c r="OF2" s="18"/>
      <c r="OG2" s="18"/>
      <c r="OH2" s="18"/>
      <c r="OI2" s="18"/>
      <c r="OJ2" s="18"/>
      <c r="OK2" s="18"/>
      <c r="OL2" s="18"/>
      <c r="OM2" s="18"/>
      <c r="ON2" s="18"/>
      <c r="OO2" s="18"/>
      <c r="OP2" s="18"/>
      <c r="OQ2" s="18"/>
      <c r="OR2" s="18"/>
      <c r="OS2" s="18"/>
      <c r="OT2" s="18"/>
      <c r="OU2" s="18"/>
      <c r="OV2" s="18"/>
      <c r="OW2" s="18"/>
      <c r="OX2" s="18"/>
      <c r="OY2" s="18"/>
      <c r="OZ2" s="18"/>
      <c r="PA2" s="18"/>
      <c r="PB2" s="18"/>
      <c r="PC2" s="18"/>
      <c r="PD2" s="18"/>
      <c r="PE2" s="18"/>
      <c r="PF2" s="18"/>
      <c r="PG2" s="18"/>
      <c r="PH2" s="18"/>
      <c r="PI2" s="18"/>
      <c r="PJ2" s="18"/>
      <c r="PK2" s="18"/>
      <c r="PL2" s="18"/>
      <c r="PM2" s="18"/>
      <c r="PN2" s="18"/>
      <c r="PO2" s="18"/>
      <c r="PP2" s="18"/>
      <c r="PQ2" s="18"/>
      <c r="PR2" s="18"/>
      <c r="PS2" s="18"/>
      <c r="PT2" s="18"/>
      <c r="PU2" s="18"/>
      <c r="PV2" s="18"/>
      <c r="PW2" s="18"/>
      <c r="PX2" s="18"/>
      <c r="PY2" s="18"/>
      <c r="PZ2" s="18"/>
      <c r="QA2" s="18"/>
      <c r="QB2" s="18"/>
      <c r="QC2" s="18"/>
      <c r="QD2" s="18"/>
      <c r="QE2" s="18"/>
      <c r="QF2" s="18"/>
      <c r="QG2" s="18"/>
      <c r="QH2" s="18"/>
      <c r="QI2" s="18"/>
      <c r="QJ2" s="18"/>
      <c r="QK2" s="18"/>
      <c r="QL2" s="18"/>
      <c r="QM2" s="18"/>
      <c r="QN2" s="18"/>
      <c r="QO2" s="18"/>
      <c r="QP2" s="18"/>
      <c r="QQ2" s="18"/>
      <c r="QR2" s="18"/>
      <c r="QS2" s="18"/>
      <c r="QT2" s="18"/>
      <c r="QU2" s="18"/>
      <c r="QV2" s="18"/>
      <c r="QW2" s="18"/>
      <c r="QX2" s="18"/>
      <c r="QY2" s="18"/>
      <c r="QZ2" s="18"/>
      <c r="RA2" s="18"/>
      <c r="RB2" s="18"/>
      <c r="RC2" s="18"/>
      <c r="RD2" s="18"/>
      <c r="RE2" s="18"/>
      <c r="RF2" s="18"/>
      <c r="RG2" s="18"/>
      <c r="RH2" s="18"/>
      <c r="RI2" s="18"/>
      <c r="RJ2" s="18"/>
      <c r="RK2" s="18"/>
      <c r="RL2" s="18"/>
      <c r="RM2" s="18"/>
      <c r="RN2" s="18"/>
      <c r="RO2" s="18"/>
      <c r="RP2" s="18"/>
      <c r="RQ2" s="18"/>
      <c r="RR2" s="18"/>
      <c r="RS2" s="18"/>
      <c r="RT2" s="18"/>
      <c r="RU2" s="18"/>
      <c r="RV2" s="18"/>
    </row>
    <row r="3" spans="1:490" ht="39.950000000000003" customHeight="1" thickBot="1">
      <c r="A3" s="9" t="s">
        <v>101</v>
      </c>
      <c r="B3" s="100" t="s">
        <v>123</v>
      </c>
      <c r="C3" s="100" t="s">
        <v>124</v>
      </c>
      <c r="D3" s="100" t="s">
        <v>125</v>
      </c>
      <c r="E3" s="102" t="s">
        <v>126</v>
      </c>
      <c r="F3" s="101" t="s">
        <v>123</v>
      </c>
      <c r="G3" s="100" t="s">
        <v>124</v>
      </c>
      <c r="H3" s="100" t="s">
        <v>125</v>
      </c>
      <c r="I3" s="102" t="s">
        <v>126</v>
      </c>
      <c r="J3" s="100" t="s">
        <v>123</v>
      </c>
      <c r="K3" s="100" t="s">
        <v>124</v>
      </c>
      <c r="L3" s="100" t="s">
        <v>125</v>
      </c>
      <c r="M3" s="103" t="s">
        <v>126</v>
      </c>
      <c r="N3" s="101" t="s">
        <v>123</v>
      </c>
      <c r="O3" s="100" t="s">
        <v>124</v>
      </c>
      <c r="P3" s="100" t="s">
        <v>125</v>
      </c>
      <c r="Q3" s="226" t="s">
        <v>126</v>
      </c>
      <c r="R3" s="101" t="s">
        <v>123</v>
      </c>
      <c r="S3" s="100" t="s">
        <v>124</v>
      </c>
      <c r="T3" s="100" t="s">
        <v>125</v>
      </c>
      <c r="U3" s="226" t="s">
        <v>126</v>
      </c>
      <c r="V3" s="101" t="s">
        <v>123</v>
      </c>
      <c r="W3" s="100" t="s">
        <v>124</v>
      </c>
      <c r="X3" s="100" t="s">
        <v>125</v>
      </c>
      <c r="Y3" s="226" t="s">
        <v>126</v>
      </c>
      <c r="Z3" s="101" t="s">
        <v>123</v>
      </c>
      <c r="AA3" s="100" t="s">
        <v>124</v>
      </c>
      <c r="AB3" s="100" t="s">
        <v>125</v>
      </c>
      <c r="AC3" s="226" t="s">
        <v>126</v>
      </c>
      <c r="AD3" s="101" t="s">
        <v>123</v>
      </c>
      <c r="AE3" s="100" t="s">
        <v>124</v>
      </c>
      <c r="AF3" s="100" t="s">
        <v>125</v>
      </c>
      <c r="AG3" s="226" t="s">
        <v>126</v>
      </c>
      <c r="AI3" s="101" t="s">
        <v>123</v>
      </c>
      <c r="AJ3" s="100" t="s">
        <v>124</v>
      </c>
      <c r="AK3" s="100" t="s">
        <v>125</v>
      </c>
      <c r="AL3" s="226" t="s">
        <v>126</v>
      </c>
    </row>
    <row r="4" spans="1:490" s="10" customFormat="1" ht="20.100000000000001" customHeight="1" thickBot="1">
      <c r="A4" s="219" t="s">
        <v>127</v>
      </c>
      <c r="B4" s="237">
        <v>205.10900000000001</v>
      </c>
      <c r="C4" s="237">
        <v>304.61200000000002</v>
      </c>
      <c r="D4" s="237">
        <v>476.67400000000004</v>
      </c>
      <c r="E4" s="307">
        <v>598.298</v>
      </c>
      <c r="F4" s="236">
        <v>95.105000000000004</v>
      </c>
      <c r="G4" s="237">
        <v>175.85</v>
      </c>
      <c r="H4" s="237">
        <v>352.30099999999999</v>
      </c>
      <c r="I4" s="307">
        <v>525.44500000000005</v>
      </c>
      <c r="J4" s="237">
        <v>98.171999999999997</v>
      </c>
      <c r="K4" s="237">
        <f>'Skonsolidowany P&amp;L'!L26+'Skonsolidowany P&amp;L'!M26</f>
        <v>230.29999999999967</v>
      </c>
      <c r="L4" s="237">
        <v>278.5</v>
      </c>
      <c r="M4" s="248">
        <v>292.5</v>
      </c>
      <c r="N4" s="236">
        <v>170.8</v>
      </c>
      <c r="O4" s="237">
        <v>475.29999999999984</v>
      </c>
      <c r="P4" s="237">
        <f>SUM('Skonsolidowany P&amp;L'!Q26:S26)</f>
        <v>977.7999999999995</v>
      </c>
      <c r="Q4" s="238">
        <f>SUM('Skonsolidowany P&amp;L'!U26)</f>
        <v>1163.3999999999994</v>
      </c>
      <c r="R4" s="236">
        <f>'Skonsolidowany P&amp;L'!V26</f>
        <v>178.50000000000006</v>
      </c>
      <c r="S4" s="237">
        <f>'Skonsolidowany P&amp;L'!V26+'Skonsolidowany P&amp;L'!W26</f>
        <v>409.4000000000002</v>
      </c>
      <c r="T4" s="237">
        <f>S4+'Skonsolidowany P&amp;L'!X26</f>
        <v>679.20000000000061</v>
      </c>
      <c r="U4" s="238">
        <f>'Skonsolidowany P&amp;L'!Z26</f>
        <v>1021.0000000000001</v>
      </c>
      <c r="V4" s="236">
        <v>271.40000000000032</v>
      </c>
      <c r="W4" s="237">
        <v>553.10000000000025</v>
      </c>
      <c r="X4" s="237">
        <v>788</v>
      </c>
      <c r="Y4" s="238">
        <v>945.2</v>
      </c>
      <c r="Z4" s="596">
        <v>292.2</v>
      </c>
      <c r="AA4" s="237">
        <v>523.6</v>
      </c>
      <c r="AB4" s="596">
        <v>750.7</v>
      </c>
      <c r="AC4" s="238">
        <v>816.1</v>
      </c>
      <c r="AD4" s="596">
        <v>300.8</v>
      </c>
      <c r="AE4" s="596"/>
      <c r="AF4" s="596"/>
      <c r="AG4" s="238"/>
      <c r="AI4" s="236">
        <v>297.3</v>
      </c>
      <c r="AJ4" s="596"/>
      <c r="AK4" s="596"/>
      <c r="AL4" s="238"/>
      <c r="AN4" s="249"/>
      <c r="AO4" s="46"/>
    </row>
    <row r="5" spans="1:490" s="10" customFormat="1" ht="20.100000000000001" customHeight="1" thickBot="1">
      <c r="A5" s="219" t="s">
        <v>29</v>
      </c>
      <c r="B5" s="308">
        <f t="shared" ref="B5:Y5" si="0">SUM(B6:B27)</f>
        <v>27.58799999999999</v>
      </c>
      <c r="C5" s="308">
        <f t="shared" si="0"/>
        <v>110.99899999999997</v>
      </c>
      <c r="D5" s="308">
        <f t="shared" si="0"/>
        <v>152.09600000000003</v>
      </c>
      <c r="E5" s="307">
        <f t="shared" si="0"/>
        <v>244.9200000000001</v>
      </c>
      <c r="F5" s="236">
        <f t="shared" si="0"/>
        <v>70.556999999999988</v>
      </c>
      <c r="G5" s="237">
        <f t="shared" si="0"/>
        <v>176.07799999999997</v>
      </c>
      <c r="H5" s="237">
        <f t="shared" si="0"/>
        <v>195.94299999999996</v>
      </c>
      <c r="I5" s="307">
        <f t="shared" si="0"/>
        <v>334.28999999999991</v>
      </c>
      <c r="J5" s="237">
        <f t="shared" si="0"/>
        <v>86.532000000000011</v>
      </c>
      <c r="K5" s="237">
        <f t="shared" si="0"/>
        <v>505.40000000000015</v>
      </c>
      <c r="L5" s="237">
        <f t="shared" si="0"/>
        <v>1145.4000000000003</v>
      </c>
      <c r="M5" s="248">
        <f t="shared" si="0"/>
        <v>1825.2999999999997</v>
      </c>
      <c r="N5" s="236">
        <f t="shared" si="0"/>
        <v>282.2000000000001</v>
      </c>
      <c r="O5" s="237">
        <f t="shared" si="0"/>
        <v>852.69999999999982</v>
      </c>
      <c r="P5" s="237">
        <f t="shared" si="0"/>
        <v>1195.6999999999994</v>
      </c>
      <c r="Q5" s="238">
        <f t="shared" si="0"/>
        <v>1821.6999999999998</v>
      </c>
      <c r="R5" s="236">
        <f t="shared" si="0"/>
        <v>405.9</v>
      </c>
      <c r="S5" s="237">
        <f t="shared" si="0"/>
        <v>1140</v>
      </c>
      <c r="T5" s="237">
        <f t="shared" si="0"/>
        <v>1678.3000000000002</v>
      </c>
      <c r="U5" s="238">
        <f t="shared" si="0"/>
        <v>2130.5</v>
      </c>
      <c r="V5" s="236">
        <f t="shared" si="0"/>
        <v>509.29999999999995</v>
      </c>
      <c r="W5" s="237">
        <f t="shared" si="0"/>
        <v>1062.8</v>
      </c>
      <c r="X5" s="237">
        <f t="shared" si="0"/>
        <v>1457.6999999999998</v>
      </c>
      <c r="Y5" s="238">
        <f t="shared" si="0"/>
        <v>2181.1000000000004</v>
      </c>
      <c r="Z5" s="596">
        <f>SUM(Z6:Z27)</f>
        <v>340.90000000000009</v>
      </c>
      <c r="AA5" s="237">
        <f>SUM(AA6:AA27)</f>
        <v>873.30000000000007</v>
      </c>
      <c r="AB5" s="596">
        <v>1470.1</v>
      </c>
      <c r="AC5" s="238">
        <f>SUM(AC6:AC27)</f>
        <v>2416</v>
      </c>
      <c r="AD5" s="596">
        <f>SUM(AD6:AD27)</f>
        <v>402.4</v>
      </c>
      <c r="AE5" s="596">
        <f t="shared" ref="AE5:AG5" si="1">SUM(AE6:AE27)</f>
        <v>0</v>
      </c>
      <c r="AF5" s="596">
        <f t="shared" si="1"/>
        <v>0</v>
      </c>
      <c r="AG5" s="238">
        <f t="shared" si="1"/>
        <v>0</v>
      </c>
      <c r="AI5" s="236">
        <f>SUM(AI6:AI27)</f>
        <v>464.9</v>
      </c>
      <c r="AJ5" s="596">
        <f t="shared" ref="AJ5:AL5" si="2">SUM(AJ6:AJ27)</f>
        <v>0</v>
      </c>
      <c r="AK5" s="596">
        <f t="shared" si="2"/>
        <v>0</v>
      </c>
      <c r="AL5" s="238">
        <f t="shared" si="2"/>
        <v>0</v>
      </c>
      <c r="AN5" s="249"/>
    </row>
    <row r="6" spans="1:490" s="10" customFormat="1" ht="20.100000000000001" customHeight="1">
      <c r="A6" s="220" t="s">
        <v>75</v>
      </c>
      <c r="B6" s="240">
        <v>54.433</v>
      </c>
      <c r="C6" s="240">
        <v>111.117</v>
      </c>
      <c r="D6" s="240">
        <v>171.35499999999999</v>
      </c>
      <c r="E6" s="309">
        <v>243.066</v>
      </c>
      <c r="F6" s="239">
        <v>60.698</v>
      </c>
      <c r="G6" s="240">
        <v>122.961</v>
      </c>
      <c r="H6" s="240">
        <v>187.82599999999999</v>
      </c>
      <c r="I6" s="309">
        <v>256.416</v>
      </c>
      <c r="J6" s="249">
        <v>62.434000000000005</v>
      </c>
      <c r="K6" s="249">
        <v>373.8</v>
      </c>
      <c r="L6" s="249">
        <v>852.1</v>
      </c>
      <c r="M6" s="250">
        <v>1295.9000000000001</v>
      </c>
      <c r="N6" s="239">
        <v>467.9</v>
      </c>
      <c r="O6" s="240">
        <v>861.4</v>
      </c>
      <c r="P6" s="240">
        <v>1262.5999999999999</v>
      </c>
      <c r="Q6" s="241">
        <v>1699.3</v>
      </c>
      <c r="R6" s="239">
        <v>423.7</v>
      </c>
      <c r="S6" s="240">
        <v>951.2</v>
      </c>
      <c r="T6" s="240">
        <v>1459.1</v>
      </c>
      <c r="U6" s="241">
        <v>1971.5</v>
      </c>
      <c r="V6" s="239">
        <v>472.3</v>
      </c>
      <c r="W6" s="240">
        <v>919</v>
      </c>
      <c r="X6" s="240">
        <v>1348.2</v>
      </c>
      <c r="Y6" s="241">
        <v>1783</v>
      </c>
      <c r="Z6" s="597">
        <v>454.5</v>
      </c>
      <c r="AA6" s="240">
        <v>925.3</v>
      </c>
      <c r="AB6" s="597">
        <v>1448.8</v>
      </c>
      <c r="AC6" s="241">
        <v>1970.7</v>
      </c>
      <c r="AD6" s="597">
        <v>440.1</v>
      </c>
      <c r="AE6" s="597"/>
      <c r="AF6" s="597"/>
      <c r="AG6" s="241"/>
      <c r="AI6" s="239">
        <v>547.1</v>
      </c>
      <c r="AJ6" s="597"/>
      <c r="AK6" s="597"/>
      <c r="AL6" s="241"/>
      <c r="AN6" s="249"/>
    </row>
    <row r="7" spans="1:490" s="10" customFormat="1" ht="20.100000000000001" customHeight="1">
      <c r="A7" s="220" t="s">
        <v>50</v>
      </c>
      <c r="B7" s="240">
        <v>-29.711000000000002</v>
      </c>
      <c r="C7" s="240">
        <v>-88.683000000000007</v>
      </c>
      <c r="D7" s="240">
        <v>-140.589</v>
      </c>
      <c r="E7" s="309">
        <v>-177.86799999999999</v>
      </c>
      <c r="F7" s="239">
        <v>-44.32</v>
      </c>
      <c r="G7" s="240">
        <v>-122.45100000000001</v>
      </c>
      <c r="H7" s="240">
        <v>-189.477</v>
      </c>
      <c r="I7" s="309">
        <v>-222.45600000000002</v>
      </c>
      <c r="J7" s="249">
        <v>-109.42100000000001</v>
      </c>
      <c r="K7" s="249">
        <v>-148.9</v>
      </c>
      <c r="L7" s="249">
        <v>-224.7</v>
      </c>
      <c r="M7" s="250">
        <v>-306.8</v>
      </c>
      <c r="N7" s="239">
        <v>-41.5</v>
      </c>
      <c r="O7" s="240">
        <v>-115.2</v>
      </c>
      <c r="P7" s="240">
        <v>-195.4</v>
      </c>
      <c r="Q7" s="241">
        <v>-238.1</v>
      </c>
      <c r="R7" s="239">
        <v>-58.1</v>
      </c>
      <c r="S7" s="240">
        <v>-119</v>
      </c>
      <c r="T7" s="240">
        <v>-189.6</v>
      </c>
      <c r="U7" s="241">
        <v>-246.5</v>
      </c>
      <c r="V7" s="239">
        <v>-33.299999999999997</v>
      </c>
      <c r="W7" s="240">
        <v>-94.2</v>
      </c>
      <c r="X7" s="240">
        <v>-246.2</v>
      </c>
      <c r="Y7" s="241">
        <v>-305.10000000000002</v>
      </c>
      <c r="Z7" s="597">
        <v>-62.4</v>
      </c>
      <c r="AA7" s="240">
        <v>-124.7</v>
      </c>
      <c r="AB7" s="597">
        <v>-411.2</v>
      </c>
      <c r="AC7" s="241">
        <v>-363.5</v>
      </c>
      <c r="AD7" s="597">
        <v>-156.30000000000001</v>
      </c>
      <c r="AE7" s="597"/>
      <c r="AF7" s="597"/>
      <c r="AG7" s="241"/>
      <c r="AI7" s="239">
        <v>-156.30000000000001</v>
      </c>
      <c r="AJ7" s="597"/>
      <c r="AK7" s="597"/>
      <c r="AL7" s="241"/>
      <c r="AN7" s="249"/>
    </row>
    <row r="8" spans="1:490" s="10" customFormat="1" ht="20.100000000000001" customHeight="1">
      <c r="A8" s="220" t="s">
        <v>51</v>
      </c>
      <c r="B8" s="240">
        <v>46.908999999999999</v>
      </c>
      <c r="C8" s="240">
        <v>99.832000000000008</v>
      </c>
      <c r="D8" s="240">
        <v>145.40600000000001</v>
      </c>
      <c r="E8" s="309">
        <v>194.52100000000002</v>
      </c>
      <c r="F8" s="239">
        <v>46.048999999999999</v>
      </c>
      <c r="G8" s="240">
        <v>102.423</v>
      </c>
      <c r="H8" s="240">
        <v>162.63200000000001</v>
      </c>
      <c r="I8" s="309">
        <v>220.37100000000001</v>
      </c>
      <c r="J8" s="249">
        <v>40.084000000000003</v>
      </c>
      <c r="K8" s="249">
        <v>85.1</v>
      </c>
      <c r="L8" s="249">
        <v>162.19999999999999</v>
      </c>
      <c r="M8" s="250">
        <v>224.4</v>
      </c>
      <c r="N8" s="239">
        <v>43.7</v>
      </c>
      <c r="O8" s="240">
        <v>90.5</v>
      </c>
      <c r="P8" s="240">
        <v>149.9</v>
      </c>
      <c r="Q8" s="241">
        <v>212.6</v>
      </c>
      <c r="R8" s="239">
        <v>49.1</v>
      </c>
      <c r="S8" s="240">
        <v>125.3</v>
      </c>
      <c r="T8" s="240">
        <v>173.5</v>
      </c>
      <c r="U8" s="241">
        <v>230.7</v>
      </c>
      <c r="V8" s="239">
        <v>48.5</v>
      </c>
      <c r="W8" s="240">
        <v>102.7</v>
      </c>
      <c r="X8" s="240">
        <v>166.1</v>
      </c>
      <c r="Y8" s="241">
        <v>228.6</v>
      </c>
      <c r="Z8" s="597">
        <v>45.7</v>
      </c>
      <c r="AA8" s="240">
        <v>103.8</v>
      </c>
      <c r="AB8" s="597">
        <v>100.5</v>
      </c>
      <c r="AC8" s="241">
        <v>337</v>
      </c>
      <c r="AD8" s="597">
        <v>123.3</v>
      </c>
      <c r="AE8" s="597"/>
      <c r="AF8" s="597"/>
      <c r="AG8" s="241"/>
      <c r="AI8" s="239">
        <v>123.3</v>
      </c>
      <c r="AJ8" s="597"/>
      <c r="AK8" s="597"/>
      <c r="AL8" s="241"/>
      <c r="AN8" s="249"/>
    </row>
    <row r="9" spans="1:490" s="10" customFormat="1" ht="20.100000000000001" customHeight="1">
      <c r="A9" s="220" t="s">
        <v>90</v>
      </c>
      <c r="B9" s="240">
        <v>-1.0999999999999999E-2</v>
      </c>
      <c r="C9" s="240">
        <v>-0.25700000000000001</v>
      </c>
      <c r="D9" s="240">
        <v>-0.48299999999999998</v>
      </c>
      <c r="E9" s="309">
        <v>-0.111</v>
      </c>
      <c r="F9" s="239">
        <v>5.8000000000000003E-2</v>
      </c>
      <c r="G9" s="240">
        <v>7.2999999999999995E-2</v>
      </c>
      <c r="H9" s="240">
        <v>-38.896000000000001</v>
      </c>
      <c r="I9" s="309">
        <v>-35.765000000000001</v>
      </c>
      <c r="J9" s="249">
        <v>-5.2999999999999999E-2</v>
      </c>
      <c r="K9" s="249">
        <v>-0.7</v>
      </c>
      <c r="L9" s="249">
        <v>-2.4</v>
      </c>
      <c r="M9" s="250">
        <v>-2.9</v>
      </c>
      <c r="N9" s="239">
        <v>-0.4</v>
      </c>
      <c r="O9" s="240">
        <v>-4.8</v>
      </c>
      <c r="P9" s="240">
        <v>-5.7</v>
      </c>
      <c r="Q9" s="241">
        <v>-6.9</v>
      </c>
      <c r="R9" s="317" t="s">
        <v>63</v>
      </c>
      <c r="S9" s="318" t="s">
        <v>63</v>
      </c>
      <c r="T9" s="318" t="s">
        <v>63</v>
      </c>
      <c r="U9" s="383" t="s">
        <v>63</v>
      </c>
      <c r="V9" s="317" t="s">
        <v>63</v>
      </c>
      <c r="W9" s="318" t="s">
        <v>63</v>
      </c>
      <c r="X9" s="318" t="s">
        <v>63</v>
      </c>
      <c r="Y9" s="383" t="s">
        <v>63</v>
      </c>
      <c r="Z9" s="600" t="s">
        <v>63</v>
      </c>
      <c r="AA9" s="318" t="s">
        <v>63</v>
      </c>
      <c r="AB9" s="600" t="s">
        <v>63</v>
      </c>
      <c r="AC9" s="383" t="s">
        <v>63</v>
      </c>
      <c r="AD9" s="600" t="s">
        <v>63</v>
      </c>
      <c r="AE9" s="600"/>
      <c r="AF9" s="600"/>
      <c r="AG9" s="383"/>
      <c r="AI9" s="317" t="s">
        <v>63</v>
      </c>
      <c r="AJ9" s="600"/>
      <c r="AK9" s="600"/>
      <c r="AL9" s="383"/>
      <c r="AN9" s="249"/>
    </row>
    <row r="10" spans="1:490" s="10" customFormat="1" ht="20.100000000000001" customHeight="1">
      <c r="A10" s="220" t="s">
        <v>52</v>
      </c>
      <c r="B10" s="240">
        <v>2.3109999999999999</v>
      </c>
      <c r="C10" s="240">
        <v>4.6020000000000003</v>
      </c>
      <c r="D10" s="240">
        <v>6.1379999999999999</v>
      </c>
      <c r="E10" s="309">
        <v>9.2439999999999998</v>
      </c>
      <c r="F10" s="239">
        <v>3.504</v>
      </c>
      <c r="G10" s="240">
        <v>5.843</v>
      </c>
      <c r="H10" s="240">
        <v>6.3049999999999997</v>
      </c>
      <c r="I10" s="309">
        <v>6.407</v>
      </c>
      <c r="J10" s="249">
        <v>4.1000000000000002E-2</v>
      </c>
      <c r="K10" s="249">
        <v>0.1</v>
      </c>
      <c r="L10" s="249">
        <v>30.4</v>
      </c>
      <c r="M10" s="250">
        <v>30.5</v>
      </c>
      <c r="N10" s="239">
        <v>0.1</v>
      </c>
      <c r="O10" s="240">
        <v>0.5</v>
      </c>
      <c r="P10" s="240">
        <v>0.5</v>
      </c>
      <c r="Q10" s="241">
        <v>1.4</v>
      </c>
      <c r="R10" s="317" t="s">
        <v>63</v>
      </c>
      <c r="S10" s="318" t="s">
        <v>63</v>
      </c>
      <c r="T10" s="318" t="s">
        <v>63</v>
      </c>
      <c r="U10" s="383" t="s">
        <v>63</v>
      </c>
      <c r="V10" s="317" t="s">
        <v>63</v>
      </c>
      <c r="W10" s="318" t="s">
        <v>63</v>
      </c>
      <c r="X10" s="318" t="s">
        <v>63</v>
      </c>
      <c r="Y10" s="383" t="s">
        <v>63</v>
      </c>
      <c r="Z10" s="600" t="s">
        <v>63</v>
      </c>
      <c r="AA10" s="318" t="s">
        <v>63</v>
      </c>
      <c r="AB10" s="600" t="s">
        <v>63</v>
      </c>
      <c r="AC10" s="383" t="s">
        <v>63</v>
      </c>
      <c r="AD10" s="600" t="s">
        <v>63</v>
      </c>
      <c r="AE10" s="600"/>
      <c r="AF10" s="600"/>
      <c r="AG10" s="383"/>
      <c r="AI10" s="317" t="s">
        <v>63</v>
      </c>
      <c r="AJ10" s="600"/>
      <c r="AK10" s="600"/>
      <c r="AL10" s="383"/>
      <c r="AN10" s="249"/>
    </row>
    <row r="11" spans="1:490" s="10" customFormat="1" ht="20.100000000000001" customHeight="1">
      <c r="A11" s="220" t="s">
        <v>30</v>
      </c>
      <c r="B11" s="240">
        <v>52.017000000000003</v>
      </c>
      <c r="C11" s="240">
        <v>105.822</v>
      </c>
      <c r="D11" s="240">
        <v>156.893</v>
      </c>
      <c r="E11" s="309">
        <v>205.185</v>
      </c>
      <c r="F11" s="239">
        <v>46.368000000000002</v>
      </c>
      <c r="G11" s="240">
        <v>93.388999999999996</v>
      </c>
      <c r="H11" s="240">
        <v>140.42699999999999</v>
      </c>
      <c r="I11" s="309">
        <v>183.81100000000001</v>
      </c>
      <c r="J11" s="249">
        <v>90.381</v>
      </c>
      <c r="K11" s="249">
        <v>248.5</v>
      </c>
      <c r="L11" s="249">
        <v>421.4</v>
      </c>
      <c r="M11" s="250">
        <v>603.70000000000005</v>
      </c>
      <c r="N11" s="239">
        <v>177.4</v>
      </c>
      <c r="O11" s="240">
        <v>348.5</v>
      </c>
      <c r="P11" s="240">
        <v>581.29999999999995</v>
      </c>
      <c r="Q11" s="241">
        <v>763.6</v>
      </c>
      <c r="R11" s="239">
        <v>144.69999999999999</v>
      </c>
      <c r="S11" s="240">
        <v>285.89999999999998</v>
      </c>
      <c r="T11" s="240">
        <v>417.4</v>
      </c>
      <c r="U11" s="241">
        <v>541.9</v>
      </c>
      <c r="V11" s="239">
        <v>114.5</v>
      </c>
      <c r="W11" s="240">
        <v>228.7</v>
      </c>
      <c r="X11" s="240">
        <v>331.1</v>
      </c>
      <c r="Y11" s="241">
        <v>432.3</v>
      </c>
      <c r="Z11" s="597">
        <v>68.5</v>
      </c>
      <c r="AA11" s="240">
        <v>166.7</v>
      </c>
      <c r="AB11" s="597">
        <v>269</v>
      </c>
      <c r="AC11" s="241">
        <v>401.6</v>
      </c>
      <c r="AD11" s="597">
        <v>94.5</v>
      </c>
      <c r="AE11" s="597"/>
      <c r="AF11" s="597"/>
      <c r="AG11" s="241"/>
      <c r="AI11" s="239">
        <v>107.2</v>
      </c>
      <c r="AJ11" s="597"/>
      <c r="AK11" s="597"/>
      <c r="AL11" s="241"/>
      <c r="AN11" s="249"/>
    </row>
    <row r="12" spans="1:490" s="10" customFormat="1" ht="20.100000000000001" customHeight="1">
      <c r="A12" s="220" t="s">
        <v>31</v>
      </c>
      <c r="B12" s="240">
        <v>-7.2490000000000006</v>
      </c>
      <c r="C12" s="240">
        <v>-7.3810000000000002</v>
      </c>
      <c r="D12" s="240">
        <v>1.093</v>
      </c>
      <c r="E12" s="309">
        <v>16.173000000000002</v>
      </c>
      <c r="F12" s="239">
        <v>11.273</v>
      </c>
      <c r="G12" s="240">
        <v>4.4740000000000002</v>
      </c>
      <c r="H12" s="240">
        <v>5.9119999999999999</v>
      </c>
      <c r="I12" s="309">
        <v>14.839</v>
      </c>
      <c r="J12" s="249">
        <v>-16.302</v>
      </c>
      <c r="K12" s="249">
        <v>-41.8</v>
      </c>
      <c r="L12" s="249">
        <v>-14.7</v>
      </c>
      <c r="M12" s="250">
        <v>0.5</v>
      </c>
      <c r="N12" s="239">
        <v>48.6</v>
      </c>
      <c r="O12" s="240">
        <v>45.6</v>
      </c>
      <c r="P12" s="240">
        <v>43.3</v>
      </c>
      <c r="Q12" s="241">
        <v>26.4</v>
      </c>
      <c r="R12" s="239">
        <v>21.5</v>
      </c>
      <c r="S12" s="240">
        <v>11.7</v>
      </c>
      <c r="T12" s="240">
        <v>0.7</v>
      </c>
      <c r="U12" s="241">
        <v>3</v>
      </c>
      <c r="V12" s="239">
        <v>41.5</v>
      </c>
      <c r="W12" s="240">
        <v>-0.3</v>
      </c>
      <c r="X12" s="240">
        <v>-16.899999999999999</v>
      </c>
      <c r="Y12" s="241">
        <v>-5</v>
      </c>
      <c r="Z12" s="597">
        <v>7.7</v>
      </c>
      <c r="AA12" s="240">
        <v>-45.1</v>
      </c>
      <c r="AB12" s="597">
        <v>-70.8</v>
      </c>
      <c r="AC12" s="241">
        <v>-77.2</v>
      </c>
      <c r="AD12" s="597">
        <v>60.3</v>
      </c>
      <c r="AE12" s="597"/>
      <c r="AF12" s="597"/>
      <c r="AG12" s="241"/>
      <c r="AI12" s="239">
        <v>60.3</v>
      </c>
      <c r="AJ12" s="597"/>
      <c r="AK12" s="597"/>
      <c r="AL12" s="241"/>
      <c r="AN12" s="249"/>
    </row>
    <row r="13" spans="1:490" s="10" customFormat="1" ht="20.100000000000001" customHeight="1">
      <c r="A13" s="220" t="s">
        <v>32</v>
      </c>
      <c r="B13" s="240">
        <v>-48.496000000000002</v>
      </c>
      <c r="C13" s="240">
        <v>-85.073000000000008</v>
      </c>
      <c r="D13" s="240">
        <v>-90.59</v>
      </c>
      <c r="E13" s="309">
        <v>-106.816</v>
      </c>
      <c r="F13" s="239">
        <v>-18.654</v>
      </c>
      <c r="G13" s="240">
        <v>-16.358000000000001</v>
      </c>
      <c r="H13" s="240">
        <v>16.681000000000001</v>
      </c>
      <c r="I13" s="309">
        <v>60.908000000000001</v>
      </c>
      <c r="J13" s="249">
        <v>-5.1610000000000005</v>
      </c>
      <c r="K13" s="249">
        <v>-29.2</v>
      </c>
      <c r="L13" s="249">
        <v>-87.6</v>
      </c>
      <c r="M13" s="250">
        <v>-191.9</v>
      </c>
      <c r="N13" s="239">
        <v>-211.8</v>
      </c>
      <c r="O13" s="240">
        <v>-581.20000000000005</v>
      </c>
      <c r="P13" s="240">
        <v>-349.3</v>
      </c>
      <c r="Q13" s="241">
        <v>-478.2</v>
      </c>
      <c r="R13" s="239">
        <v>-33.9</v>
      </c>
      <c r="S13" s="240">
        <v>-105.3</v>
      </c>
      <c r="T13" s="240">
        <v>-164.6</v>
      </c>
      <c r="U13" s="241">
        <v>-329.9</v>
      </c>
      <c r="V13" s="239">
        <v>21.5</v>
      </c>
      <c r="W13" s="240">
        <v>-112.7</v>
      </c>
      <c r="X13" s="240">
        <v>-224.5</v>
      </c>
      <c r="Y13" s="241">
        <v>-470.8</v>
      </c>
      <c r="Z13" s="597">
        <v>38.1</v>
      </c>
      <c r="AA13" s="240">
        <v>-516.5</v>
      </c>
      <c r="AB13" s="597">
        <v>-266.89999999999998</v>
      </c>
      <c r="AC13" s="241">
        <v>-289.10000000000002</v>
      </c>
      <c r="AD13" s="597">
        <v>155.9</v>
      </c>
      <c r="AE13" s="597"/>
      <c r="AF13" s="597"/>
      <c r="AG13" s="241"/>
      <c r="AI13" s="239">
        <v>158.4</v>
      </c>
      <c r="AJ13" s="597"/>
      <c r="AK13" s="597"/>
      <c r="AL13" s="241"/>
      <c r="AN13" s="249"/>
    </row>
    <row r="14" spans="1:490" s="10" customFormat="1" ht="20.100000000000001" customHeight="1">
      <c r="A14" s="220" t="s">
        <v>64</v>
      </c>
      <c r="B14" s="240">
        <v>53.564</v>
      </c>
      <c r="C14" s="240">
        <v>51.881</v>
      </c>
      <c r="D14" s="240">
        <v>66.406999999999996</v>
      </c>
      <c r="E14" s="309">
        <v>67.872</v>
      </c>
      <c r="F14" s="239">
        <v>-36.840000000000003</v>
      </c>
      <c r="G14" s="240">
        <v>-56.231999999999999</v>
      </c>
      <c r="H14" s="240">
        <v>-85.896000000000001</v>
      </c>
      <c r="I14" s="309">
        <v>-104.93900000000001</v>
      </c>
      <c r="J14" s="249">
        <v>31.469000000000001</v>
      </c>
      <c r="K14" s="249">
        <v>-73.8</v>
      </c>
      <c r="L14" s="249">
        <v>-175.9</v>
      </c>
      <c r="M14" s="250">
        <v>-277.7</v>
      </c>
      <c r="N14" s="239">
        <v>-216.1</v>
      </c>
      <c r="O14" s="240">
        <v>69.3</v>
      </c>
      <c r="P14" s="240">
        <v>-184.3</v>
      </c>
      <c r="Q14" s="241">
        <v>-118</v>
      </c>
      <c r="R14" s="239">
        <v>-205.9</v>
      </c>
      <c r="S14" s="240">
        <v>-106.7</v>
      </c>
      <c r="T14" s="240">
        <v>-141.30000000000001</v>
      </c>
      <c r="U14" s="241">
        <v>-33.299999999999997</v>
      </c>
      <c r="V14" s="239">
        <v>-181.5</v>
      </c>
      <c r="W14" s="240">
        <v>-112.9</v>
      </c>
      <c r="X14" s="240">
        <v>-90.1</v>
      </c>
      <c r="Y14" s="241">
        <v>183.1</v>
      </c>
      <c r="Z14" s="597">
        <v>-259.2</v>
      </c>
      <c r="AA14" s="240">
        <v>125.8</v>
      </c>
      <c r="AB14" s="597">
        <v>88</v>
      </c>
      <c r="AC14" s="241">
        <v>-44.2</v>
      </c>
      <c r="AD14" s="597">
        <v>-379.7</v>
      </c>
      <c r="AE14" s="597"/>
      <c r="AF14" s="597"/>
      <c r="AG14" s="241"/>
      <c r="AI14" s="239">
        <v>-439.5</v>
      </c>
      <c r="AJ14" s="597"/>
      <c r="AK14" s="597"/>
      <c r="AL14" s="241"/>
      <c r="AN14" s="249"/>
    </row>
    <row r="15" spans="1:490" s="10" customFormat="1" ht="20.100000000000001" customHeight="1">
      <c r="A15" s="220" t="s">
        <v>244</v>
      </c>
      <c r="B15" s="240"/>
      <c r="C15" s="240"/>
      <c r="D15" s="240"/>
      <c r="E15" s="309"/>
      <c r="F15" s="239"/>
      <c r="G15" s="240"/>
      <c r="H15" s="240"/>
      <c r="I15" s="309"/>
      <c r="J15" s="249"/>
      <c r="K15" s="249"/>
      <c r="L15" s="249"/>
      <c r="M15" s="250"/>
      <c r="N15" s="239"/>
      <c r="O15" s="240"/>
      <c r="P15" s="240"/>
      <c r="Q15" s="241"/>
      <c r="R15" s="239"/>
      <c r="S15" s="240"/>
      <c r="T15" s="240"/>
      <c r="U15" s="241"/>
      <c r="V15" s="239"/>
      <c r="W15" s="240"/>
      <c r="X15" s="240"/>
      <c r="Y15" s="241"/>
      <c r="Z15" s="597">
        <v>29.6</v>
      </c>
      <c r="AA15" s="240">
        <v>48.1</v>
      </c>
      <c r="AB15" s="597">
        <v>55.2</v>
      </c>
      <c r="AC15" s="241">
        <v>47.8</v>
      </c>
      <c r="AD15" s="597">
        <v>-9.1999999999999993</v>
      </c>
      <c r="AE15" s="597"/>
      <c r="AF15" s="597"/>
      <c r="AG15" s="241"/>
      <c r="AI15" s="239">
        <v>-9.1999999999999993</v>
      </c>
      <c r="AJ15" s="597"/>
      <c r="AK15" s="597"/>
      <c r="AL15" s="241"/>
      <c r="AN15" s="249"/>
    </row>
    <row r="16" spans="1:490" s="10" customFormat="1" ht="20.100000000000001" customHeight="1">
      <c r="A16" s="220" t="s">
        <v>245</v>
      </c>
      <c r="B16" s="240"/>
      <c r="C16" s="240"/>
      <c r="D16" s="240"/>
      <c r="E16" s="309"/>
      <c r="F16" s="239"/>
      <c r="G16" s="240"/>
      <c r="H16" s="240"/>
      <c r="I16" s="309"/>
      <c r="J16" s="249"/>
      <c r="K16" s="249"/>
      <c r="L16" s="249"/>
      <c r="M16" s="250"/>
      <c r="N16" s="239"/>
      <c r="O16" s="240"/>
      <c r="P16" s="240"/>
      <c r="Q16" s="241"/>
      <c r="R16" s="239"/>
      <c r="S16" s="240"/>
      <c r="T16" s="240"/>
      <c r="U16" s="241"/>
      <c r="V16" s="239"/>
      <c r="W16" s="240"/>
      <c r="X16" s="240"/>
      <c r="Y16" s="241"/>
      <c r="Z16" s="597">
        <v>-9.6</v>
      </c>
      <c r="AA16" s="240">
        <v>39.5</v>
      </c>
      <c r="AB16" s="597">
        <v>43.2</v>
      </c>
      <c r="AC16" s="241">
        <v>107.6</v>
      </c>
      <c r="AD16" s="597">
        <v>17.399999999999999</v>
      </c>
      <c r="AE16" s="597"/>
      <c r="AF16" s="597"/>
      <c r="AG16" s="241"/>
      <c r="AI16" s="239">
        <v>17.399999999999999</v>
      </c>
      <c r="AJ16" s="597"/>
      <c r="AK16" s="597"/>
      <c r="AL16" s="241"/>
      <c r="AN16" s="249"/>
    </row>
    <row r="17" spans="1:40" s="10" customFormat="1" ht="20.100000000000001" customHeight="1">
      <c r="A17" s="220" t="s">
        <v>53</v>
      </c>
      <c r="B17" s="240">
        <v>-0.186</v>
      </c>
      <c r="C17" s="240">
        <v>4.0730000000000004</v>
      </c>
      <c r="D17" s="240">
        <v>0.502</v>
      </c>
      <c r="E17" s="309">
        <v>2.093</v>
      </c>
      <c r="F17" s="239">
        <v>-1.048</v>
      </c>
      <c r="G17" s="240">
        <v>2.4170000000000003</v>
      </c>
      <c r="H17" s="240">
        <v>-3.5390000000000001</v>
      </c>
      <c r="I17" s="309">
        <v>6.4770000000000003</v>
      </c>
      <c r="J17" s="249">
        <v>-13.309000000000001</v>
      </c>
      <c r="K17" s="249">
        <v>-1.5</v>
      </c>
      <c r="L17" s="249">
        <v>-17.399999999999999</v>
      </c>
      <c r="M17" s="250">
        <v>-4.9000000000000004</v>
      </c>
      <c r="N17" s="239">
        <v>-11.7</v>
      </c>
      <c r="O17" s="240">
        <v>-7.6</v>
      </c>
      <c r="P17" s="240">
        <v>-17.7</v>
      </c>
      <c r="Q17" s="241">
        <v>-3.9</v>
      </c>
      <c r="R17" s="239">
        <v>-11.1</v>
      </c>
      <c r="S17" s="240">
        <v>1</v>
      </c>
      <c r="T17" s="240">
        <v>-5.6</v>
      </c>
      <c r="U17" s="241">
        <v>-6.1</v>
      </c>
      <c r="V17" s="317" t="s">
        <v>63</v>
      </c>
      <c r="W17" s="240">
        <v>9.4</v>
      </c>
      <c r="X17" s="240">
        <v>1.4</v>
      </c>
      <c r="Y17" s="241">
        <v>3.9</v>
      </c>
      <c r="Z17" s="600" t="s">
        <v>63</v>
      </c>
      <c r="AA17" s="595" t="s">
        <v>63</v>
      </c>
      <c r="AB17" s="600" t="s">
        <v>63</v>
      </c>
      <c r="AC17" s="383" t="s">
        <v>63</v>
      </c>
      <c r="AD17" s="600" t="s">
        <v>63</v>
      </c>
      <c r="AE17" s="600"/>
      <c r="AF17" s="600"/>
      <c r="AG17" s="383"/>
      <c r="AI17" s="317" t="s">
        <v>63</v>
      </c>
      <c r="AJ17" s="600"/>
      <c r="AK17" s="600"/>
      <c r="AL17" s="383"/>
      <c r="AN17" s="249"/>
    </row>
    <row r="18" spans="1:40" s="10" customFormat="1" ht="20.100000000000001" customHeight="1">
      <c r="A18" s="220" t="s">
        <v>54</v>
      </c>
      <c r="B18" s="240">
        <v>-9.7880000000000003</v>
      </c>
      <c r="C18" s="240">
        <v>-10.354000000000001</v>
      </c>
      <c r="D18" s="240">
        <v>-21.978000000000002</v>
      </c>
      <c r="E18" s="309">
        <v>-31.345000000000002</v>
      </c>
      <c r="F18" s="239">
        <v>3.66</v>
      </c>
      <c r="G18" s="240">
        <v>9.0690000000000008</v>
      </c>
      <c r="H18" s="240">
        <v>11.329000000000001</v>
      </c>
      <c r="I18" s="309">
        <v>14.404</v>
      </c>
      <c r="J18" s="249">
        <v>11.066000000000001</v>
      </c>
      <c r="K18" s="249">
        <v>11.1</v>
      </c>
      <c r="L18" s="249">
        <v>-0.2</v>
      </c>
      <c r="M18" s="250">
        <v>-3.9</v>
      </c>
      <c r="N18" s="239">
        <v>-0.6</v>
      </c>
      <c r="O18" s="240">
        <v>5.3</v>
      </c>
      <c r="P18" s="240">
        <v>4.8</v>
      </c>
      <c r="Q18" s="241">
        <v>6.6</v>
      </c>
      <c r="R18" s="239">
        <v>2.5</v>
      </c>
      <c r="S18" s="240">
        <v>4.7</v>
      </c>
      <c r="T18" s="240">
        <v>7.3</v>
      </c>
      <c r="U18" s="241">
        <v>9.8000000000000007</v>
      </c>
      <c r="V18" s="317" t="s">
        <v>63</v>
      </c>
      <c r="W18" s="318" t="s">
        <v>63</v>
      </c>
      <c r="X18" s="318" t="s">
        <v>63</v>
      </c>
      <c r="Y18" s="383" t="s">
        <v>63</v>
      </c>
      <c r="Z18" s="600" t="s">
        <v>63</v>
      </c>
      <c r="AA18" s="318" t="s">
        <v>63</v>
      </c>
      <c r="AB18" s="600" t="s">
        <v>63</v>
      </c>
      <c r="AC18" s="383" t="s">
        <v>63</v>
      </c>
      <c r="AD18" s="600" t="s">
        <v>63</v>
      </c>
      <c r="AE18" s="600"/>
      <c r="AF18" s="600"/>
      <c r="AG18" s="383"/>
      <c r="AI18" s="317" t="s">
        <v>63</v>
      </c>
      <c r="AJ18" s="600"/>
      <c r="AK18" s="600"/>
      <c r="AL18" s="383"/>
      <c r="AN18" s="249"/>
    </row>
    <row r="19" spans="1:40" s="378" customFormat="1" ht="20.100000000000001" customHeight="1">
      <c r="A19" s="423" t="s">
        <v>230</v>
      </c>
      <c r="B19" s="259">
        <v>-0.73</v>
      </c>
      <c r="C19" s="259">
        <v>-1.5010000000000001</v>
      </c>
      <c r="D19" s="259">
        <v>-2.044</v>
      </c>
      <c r="E19" s="424">
        <v>-2.8970000000000002</v>
      </c>
      <c r="F19" s="425">
        <v>-0.76200000000000001</v>
      </c>
      <c r="G19" s="259">
        <v>-1.58</v>
      </c>
      <c r="H19" s="259">
        <v>-2.3290000000000002</v>
      </c>
      <c r="I19" s="424">
        <v>-2.9239999999999999</v>
      </c>
      <c r="J19" s="426">
        <v>-0.63300000000000001</v>
      </c>
      <c r="K19" s="426">
        <v>-1.3</v>
      </c>
      <c r="L19" s="426">
        <v>-2</v>
      </c>
      <c r="M19" s="250">
        <v>-2.6</v>
      </c>
      <c r="N19" s="425">
        <v>-0.5</v>
      </c>
      <c r="O19" s="259">
        <v>-1.4</v>
      </c>
      <c r="P19" s="259">
        <v>-1.9</v>
      </c>
      <c r="Q19" s="241">
        <v>-2.6</v>
      </c>
      <c r="R19" s="425">
        <v>-0.8</v>
      </c>
      <c r="S19" s="259">
        <v>0</v>
      </c>
      <c r="T19" s="259">
        <v>0</v>
      </c>
      <c r="U19" s="241">
        <v>0</v>
      </c>
      <c r="V19" s="430" t="s">
        <v>63</v>
      </c>
      <c r="W19" s="431" t="s">
        <v>63</v>
      </c>
      <c r="X19" s="431" t="s">
        <v>63</v>
      </c>
      <c r="Y19" s="383" t="s">
        <v>63</v>
      </c>
      <c r="Z19" s="600" t="s">
        <v>63</v>
      </c>
      <c r="AA19" s="431" t="s">
        <v>63</v>
      </c>
      <c r="AB19" s="602" t="s">
        <v>63</v>
      </c>
      <c r="AC19" s="383" t="s">
        <v>63</v>
      </c>
      <c r="AD19" s="600" t="s">
        <v>63</v>
      </c>
      <c r="AE19" s="602"/>
      <c r="AF19" s="602"/>
      <c r="AG19" s="383"/>
      <c r="AI19" s="430" t="s">
        <v>63</v>
      </c>
      <c r="AJ19" s="602"/>
      <c r="AK19" s="602"/>
      <c r="AL19" s="383"/>
      <c r="AN19" s="249"/>
    </row>
    <row r="20" spans="1:40" s="378" customFormat="1" ht="20.100000000000001" customHeight="1">
      <c r="A20" s="423" t="s">
        <v>229</v>
      </c>
      <c r="B20" s="259">
        <v>-0.73</v>
      </c>
      <c r="C20" s="259"/>
      <c r="D20" s="259"/>
      <c r="E20" s="424"/>
      <c r="F20" s="425"/>
      <c r="G20" s="259"/>
      <c r="H20" s="259"/>
      <c r="I20" s="424"/>
      <c r="J20" s="426"/>
      <c r="K20" s="426"/>
      <c r="L20" s="426"/>
      <c r="M20" s="250"/>
      <c r="N20" s="425"/>
      <c r="O20" s="259"/>
      <c r="P20" s="259"/>
      <c r="Q20" s="241"/>
      <c r="R20" s="425"/>
      <c r="S20" s="259"/>
      <c r="T20" s="259"/>
      <c r="U20" s="241">
        <v>0</v>
      </c>
      <c r="V20" s="430"/>
      <c r="W20" s="431"/>
      <c r="X20" s="431"/>
      <c r="Y20" s="241">
        <v>-2.8</v>
      </c>
      <c r="Z20" s="597">
        <v>-5.2</v>
      </c>
      <c r="AA20" s="597">
        <v>-5.0999999999999996</v>
      </c>
      <c r="AB20" s="597">
        <v>-1.6</v>
      </c>
      <c r="AC20" s="241">
        <v>1.2</v>
      </c>
      <c r="AD20" s="597">
        <v>1.7</v>
      </c>
      <c r="AE20" s="597"/>
      <c r="AF20" s="597"/>
      <c r="AG20" s="241"/>
      <c r="AI20" s="239">
        <v>1.7</v>
      </c>
      <c r="AJ20" s="597"/>
      <c r="AK20" s="597"/>
      <c r="AL20" s="241"/>
      <c r="AN20" s="249"/>
    </row>
    <row r="21" spans="1:40" s="10" customFormat="1" ht="20.100000000000001" customHeight="1">
      <c r="A21" s="220" t="s">
        <v>61</v>
      </c>
      <c r="B21" s="240">
        <v>-87.786000000000001</v>
      </c>
      <c r="C21" s="240">
        <v>-51.798000000000002</v>
      </c>
      <c r="D21" s="240">
        <v>-102.06700000000001</v>
      </c>
      <c r="E21" s="309">
        <v>-111.07600000000001</v>
      </c>
      <c r="F21" s="239">
        <v>25.975999999999999</v>
      </c>
      <c r="G21" s="240">
        <v>77.412999999999997</v>
      </c>
      <c r="H21" s="240">
        <v>39.252000000000002</v>
      </c>
      <c r="I21" s="309">
        <v>16.294</v>
      </c>
      <c r="J21" s="249">
        <v>10.337</v>
      </c>
      <c r="K21" s="249">
        <v>8.8000000000000007</v>
      </c>
      <c r="L21" s="249">
        <v>164.9</v>
      </c>
      <c r="M21" s="250">
        <v>369.9</v>
      </c>
      <c r="N21" s="239">
        <v>37.1</v>
      </c>
      <c r="O21" s="240">
        <v>99.2</v>
      </c>
      <c r="P21" s="240">
        <v>135.80000000000001</v>
      </c>
      <c r="Q21" s="241">
        <v>222</v>
      </c>
      <c r="R21" s="239">
        <v>250.2</v>
      </c>
      <c r="S21" s="240">
        <v>276.10000000000002</v>
      </c>
      <c r="T21" s="240">
        <v>258.3</v>
      </c>
      <c r="U21" s="241">
        <v>270.89999999999998</v>
      </c>
      <c r="V21" s="239">
        <v>-28.4</v>
      </c>
      <c r="W21" s="240">
        <v>-27.4</v>
      </c>
      <c r="X21" s="240">
        <v>-15.1</v>
      </c>
      <c r="Y21" s="241">
        <v>-31.1</v>
      </c>
      <c r="Z21" s="597">
        <v>4.5999999999999996</v>
      </c>
      <c r="AA21" s="240">
        <v>24.1</v>
      </c>
      <c r="AB21" s="597">
        <v>11.1</v>
      </c>
      <c r="AC21" s="241">
        <v>15.8</v>
      </c>
      <c r="AD21" s="597">
        <v>1.1000000000000001</v>
      </c>
      <c r="AE21" s="597"/>
      <c r="AF21" s="597"/>
      <c r="AG21" s="241"/>
      <c r="AI21" s="239">
        <v>1.9</v>
      </c>
      <c r="AJ21" s="597"/>
      <c r="AK21" s="597"/>
      <c r="AL21" s="241"/>
      <c r="AN21" s="249"/>
    </row>
    <row r="22" spans="1:40" s="10" customFormat="1" ht="20.100000000000001" customHeight="1">
      <c r="A22" s="220" t="s">
        <v>33</v>
      </c>
      <c r="B22" s="240">
        <v>41.158999999999999</v>
      </c>
      <c r="C22" s="240">
        <v>54.56</v>
      </c>
      <c r="D22" s="240">
        <v>80.768000000000001</v>
      </c>
      <c r="E22" s="309">
        <v>97.349000000000004</v>
      </c>
      <c r="F22" s="239">
        <v>14.031000000000001</v>
      </c>
      <c r="G22" s="240">
        <v>27.457000000000001</v>
      </c>
      <c r="H22" s="240">
        <v>51.835000000000001</v>
      </c>
      <c r="I22" s="309">
        <v>67.376000000000005</v>
      </c>
      <c r="J22" s="249">
        <v>14.384</v>
      </c>
      <c r="K22" s="249">
        <v>31.1</v>
      </c>
      <c r="L22" s="249">
        <v>32.200000000000003</v>
      </c>
      <c r="M22" s="250">
        <v>21.7</v>
      </c>
      <c r="N22" s="239">
        <v>26</v>
      </c>
      <c r="O22" s="240">
        <v>71.900000000000006</v>
      </c>
      <c r="P22" s="240">
        <v>182.7</v>
      </c>
      <c r="Q22" s="241">
        <v>169</v>
      </c>
      <c r="R22" s="239">
        <v>27.2</v>
      </c>
      <c r="S22" s="240">
        <v>48.4</v>
      </c>
      <c r="T22" s="240">
        <v>113.5</v>
      </c>
      <c r="U22" s="241">
        <v>12.4</v>
      </c>
      <c r="V22" s="239">
        <v>30.8</v>
      </c>
      <c r="W22" s="240">
        <v>138.4</v>
      </c>
      <c r="X22" s="240">
        <v>192.6</v>
      </c>
      <c r="Y22" s="241">
        <v>389.8</v>
      </c>
      <c r="Z22" s="597">
        <v>72.5</v>
      </c>
      <c r="AA22" s="240">
        <v>171.8</v>
      </c>
      <c r="AB22" s="597">
        <v>247.8</v>
      </c>
      <c r="AC22" s="241">
        <v>490</v>
      </c>
      <c r="AD22" s="597">
        <v>78</v>
      </c>
      <c r="AE22" s="597"/>
      <c r="AF22" s="597"/>
      <c r="AG22" s="241"/>
      <c r="AI22" s="239">
        <v>77.3</v>
      </c>
      <c r="AJ22" s="597"/>
      <c r="AK22" s="597"/>
      <c r="AL22" s="241"/>
      <c r="AN22" s="249"/>
    </row>
    <row r="23" spans="1:40" s="10" customFormat="1" ht="20.100000000000001" customHeight="1">
      <c r="A23" s="220" t="s">
        <v>65</v>
      </c>
      <c r="B23" s="240">
        <v>-38.363</v>
      </c>
      <c r="C23" s="240">
        <v>-76.626000000000005</v>
      </c>
      <c r="D23" s="240">
        <v>-120.02500000000001</v>
      </c>
      <c r="E23" s="309">
        <v>-164.00800000000001</v>
      </c>
      <c r="F23" s="239">
        <v>-40.92</v>
      </c>
      <c r="G23" s="240">
        <v>-81.858999999999995</v>
      </c>
      <c r="H23" s="240">
        <v>-116.813</v>
      </c>
      <c r="I23" s="309">
        <v>-158.85900000000001</v>
      </c>
      <c r="J23" s="249">
        <v>-30.564</v>
      </c>
      <c r="K23" s="249">
        <v>-65.3</v>
      </c>
      <c r="L23" s="249">
        <v>-142.1</v>
      </c>
      <c r="M23" s="250">
        <v>-193.1</v>
      </c>
      <c r="N23" s="239">
        <v>-43.6</v>
      </c>
      <c r="O23" s="240">
        <v>-72.2</v>
      </c>
      <c r="P23" s="240">
        <v>-96.7</v>
      </c>
      <c r="Q23" s="241">
        <v>-134.69999999999999</v>
      </c>
      <c r="R23" s="239">
        <v>-31.1</v>
      </c>
      <c r="S23" s="240">
        <v>-71.2</v>
      </c>
      <c r="T23" s="240">
        <v>-111</v>
      </c>
      <c r="U23" s="241">
        <v>-153</v>
      </c>
      <c r="V23" s="239">
        <v>-33.1</v>
      </c>
      <c r="W23" s="240">
        <v>-65.599999999999994</v>
      </c>
      <c r="X23" s="240">
        <v>-97.4</v>
      </c>
      <c r="Y23" s="241">
        <v>-137.5</v>
      </c>
      <c r="Z23" s="597">
        <v>-25.7</v>
      </c>
      <c r="AA23" s="240">
        <v>-42.9</v>
      </c>
      <c r="AB23" s="597">
        <v>-61.2</v>
      </c>
      <c r="AC23" s="241">
        <v>-83.9</v>
      </c>
      <c r="AD23" s="597">
        <v>-25.8</v>
      </c>
      <c r="AE23" s="597"/>
      <c r="AF23" s="597"/>
      <c r="AG23" s="241"/>
      <c r="AI23" s="239">
        <v>-25.8</v>
      </c>
      <c r="AJ23" s="597"/>
      <c r="AK23" s="597"/>
      <c r="AL23" s="241"/>
      <c r="AN23" s="249"/>
    </row>
    <row r="24" spans="1:40" s="10" customFormat="1" ht="30" customHeight="1">
      <c r="A24" s="433" t="s">
        <v>207</v>
      </c>
      <c r="B24" s="254">
        <v>0</v>
      </c>
      <c r="C24" s="254">
        <v>0</v>
      </c>
      <c r="D24" s="254">
        <v>0</v>
      </c>
      <c r="E24" s="255">
        <v>0</v>
      </c>
      <c r="F24" s="256">
        <v>0</v>
      </c>
      <c r="G24" s="254">
        <v>0</v>
      </c>
      <c r="H24" s="254">
        <v>0</v>
      </c>
      <c r="I24" s="255">
        <v>0</v>
      </c>
      <c r="J24" s="257">
        <v>0</v>
      </c>
      <c r="K24" s="249">
        <v>82.1</v>
      </c>
      <c r="L24" s="249">
        <v>82.1</v>
      </c>
      <c r="M24" s="250">
        <v>82.1</v>
      </c>
      <c r="N24" s="239">
        <v>0</v>
      </c>
      <c r="O24" s="240">
        <v>0</v>
      </c>
      <c r="P24" s="259">
        <v>-371.4</v>
      </c>
      <c r="Q24" s="241">
        <v>-371.4</v>
      </c>
      <c r="R24" s="239">
        <v>0</v>
      </c>
      <c r="S24" s="240">
        <v>0</v>
      </c>
      <c r="T24" s="240">
        <v>0</v>
      </c>
      <c r="U24" s="241">
        <v>0</v>
      </c>
      <c r="V24" s="239">
        <v>0</v>
      </c>
      <c r="W24" s="240">
        <v>0</v>
      </c>
      <c r="X24" s="240">
        <v>0</v>
      </c>
      <c r="Y24" s="241">
        <v>0</v>
      </c>
      <c r="Z24" s="597">
        <v>0</v>
      </c>
      <c r="AA24" s="240">
        <v>0</v>
      </c>
      <c r="AB24" s="597">
        <v>0</v>
      </c>
      <c r="AC24" s="241">
        <v>0</v>
      </c>
      <c r="AD24" s="597">
        <v>0</v>
      </c>
      <c r="AE24" s="597"/>
      <c r="AF24" s="597"/>
      <c r="AG24" s="241"/>
      <c r="AI24" s="239">
        <v>0</v>
      </c>
      <c r="AJ24" s="597"/>
      <c r="AK24" s="597"/>
      <c r="AL24" s="241"/>
      <c r="AN24" s="249"/>
    </row>
    <row r="25" spans="1:40" s="10" customFormat="1" ht="20.100000000000001" customHeight="1">
      <c r="A25" s="433" t="s">
        <v>233</v>
      </c>
      <c r="B25" s="254"/>
      <c r="C25" s="254"/>
      <c r="D25" s="254"/>
      <c r="E25" s="255"/>
      <c r="F25" s="256"/>
      <c r="G25" s="254"/>
      <c r="H25" s="254"/>
      <c r="I25" s="255"/>
      <c r="J25" s="257"/>
      <c r="K25" s="249"/>
      <c r="L25" s="249"/>
      <c r="M25" s="250"/>
      <c r="N25" s="239"/>
      <c r="O25" s="240"/>
      <c r="P25" s="259"/>
      <c r="Q25" s="241"/>
      <c r="R25" s="239"/>
      <c r="S25" s="240"/>
      <c r="T25" s="240"/>
      <c r="U25" s="241">
        <v>0</v>
      </c>
      <c r="V25" s="239">
        <v>58.7</v>
      </c>
      <c r="W25" s="240">
        <v>58.7</v>
      </c>
      <c r="X25" s="240">
        <v>58.7</v>
      </c>
      <c r="Y25" s="241">
        <v>58.7</v>
      </c>
      <c r="Z25" s="597">
        <v>0</v>
      </c>
      <c r="AA25" s="240">
        <v>0</v>
      </c>
      <c r="AB25" s="315">
        <v>0</v>
      </c>
      <c r="AC25" s="241">
        <v>0</v>
      </c>
      <c r="AD25" s="597">
        <v>0</v>
      </c>
      <c r="AE25" s="597"/>
      <c r="AF25" s="315"/>
      <c r="AG25" s="241"/>
      <c r="AI25" s="239">
        <v>0</v>
      </c>
      <c r="AJ25" s="597"/>
      <c r="AK25" s="315"/>
      <c r="AL25" s="241"/>
      <c r="AN25" s="249"/>
    </row>
    <row r="26" spans="1:40" s="10" customFormat="1" ht="20.100000000000001" customHeight="1">
      <c r="A26" s="220" t="s">
        <v>206</v>
      </c>
      <c r="B26" s="254">
        <v>0</v>
      </c>
      <c r="C26" s="254">
        <v>0</v>
      </c>
      <c r="D26" s="254">
        <v>0</v>
      </c>
      <c r="E26" s="255">
        <v>0</v>
      </c>
      <c r="F26" s="256">
        <v>0</v>
      </c>
      <c r="G26" s="254">
        <v>0</v>
      </c>
      <c r="H26" s="254">
        <v>0</v>
      </c>
      <c r="I26" s="255">
        <v>0</v>
      </c>
      <c r="J26" s="257">
        <v>0</v>
      </c>
      <c r="K26" s="249">
        <v>16.5</v>
      </c>
      <c r="L26" s="249">
        <v>55.4</v>
      </c>
      <c r="M26" s="250">
        <v>84.3</v>
      </c>
      <c r="N26" s="239">
        <v>10.6</v>
      </c>
      <c r="O26" s="240">
        <v>33.9</v>
      </c>
      <c r="P26" s="240">
        <v>37.6</v>
      </c>
      <c r="Q26" s="241">
        <v>53</v>
      </c>
      <c r="R26" s="239">
        <v>-174.6</v>
      </c>
      <c r="S26" s="240">
        <v>-160.19999999999999</v>
      </c>
      <c r="T26" s="240">
        <v>-161.9</v>
      </c>
      <c r="U26" s="241">
        <v>-164.9</v>
      </c>
      <c r="V26" s="239">
        <v>-0.1</v>
      </c>
      <c r="W26" s="240">
        <v>0.9</v>
      </c>
      <c r="X26" s="240">
        <v>-1.3</v>
      </c>
      <c r="Y26" s="241">
        <v>-1.5</v>
      </c>
      <c r="Z26" s="600" t="s">
        <v>63</v>
      </c>
      <c r="AA26" s="600" t="s">
        <v>63</v>
      </c>
      <c r="AB26" s="600" t="s">
        <v>63</v>
      </c>
      <c r="AC26" s="383" t="s">
        <v>63</v>
      </c>
      <c r="AD26" s="600" t="s">
        <v>63</v>
      </c>
      <c r="AE26" s="600"/>
      <c r="AF26" s="600"/>
      <c r="AG26" s="383"/>
      <c r="AI26" s="317" t="s">
        <v>63</v>
      </c>
      <c r="AJ26" s="600"/>
      <c r="AK26" s="600"/>
      <c r="AL26" s="383"/>
      <c r="AN26" s="249"/>
    </row>
    <row r="27" spans="1:40" s="10" customFormat="1" ht="20.100000000000001" customHeight="1" thickBot="1">
      <c r="A27" s="220" t="s">
        <v>34</v>
      </c>
      <c r="B27" s="240">
        <v>0.245</v>
      </c>
      <c r="C27" s="240">
        <v>0.78500000000000003</v>
      </c>
      <c r="D27" s="240">
        <v>1.31</v>
      </c>
      <c r="E27" s="309">
        <v>3.5380000000000003</v>
      </c>
      <c r="F27" s="239">
        <v>1.484</v>
      </c>
      <c r="G27" s="259">
        <f>4.197+4.842</f>
        <v>9.0389999999999997</v>
      </c>
      <c r="H27" s="259">
        <f>5.852+4.842</f>
        <v>10.693999999999999</v>
      </c>
      <c r="I27" s="309">
        <v>11.93</v>
      </c>
      <c r="J27" s="249">
        <v>1.7790000000000001</v>
      </c>
      <c r="K27" s="249">
        <v>10.8</v>
      </c>
      <c r="L27" s="249">
        <v>11.7</v>
      </c>
      <c r="M27" s="250">
        <v>96.1</v>
      </c>
      <c r="N27" s="239">
        <v>-3</v>
      </c>
      <c r="O27" s="240">
        <v>9</v>
      </c>
      <c r="P27" s="240">
        <v>19.600000000000001</v>
      </c>
      <c r="Q27" s="241">
        <v>21.6</v>
      </c>
      <c r="R27" s="239">
        <v>2.5</v>
      </c>
      <c r="S27" s="240">
        <v>-1.9</v>
      </c>
      <c r="T27" s="240">
        <v>22.5</v>
      </c>
      <c r="U27" s="241">
        <v>24</v>
      </c>
      <c r="V27" s="239">
        <v>-2.1</v>
      </c>
      <c r="W27" s="240">
        <v>18.100000000000001</v>
      </c>
      <c r="X27" s="240">
        <v>51.1</v>
      </c>
      <c r="Y27" s="241">
        <v>55.5</v>
      </c>
      <c r="Z27" s="597">
        <v>-18.2</v>
      </c>
      <c r="AA27" s="240">
        <v>2.5</v>
      </c>
      <c r="AB27" s="597">
        <v>18.2</v>
      </c>
      <c r="AC27" s="241">
        <v>-97.8</v>
      </c>
      <c r="AD27" s="597">
        <v>1.1000000000000001</v>
      </c>
      <c r="AE27" s="597"/>
      <c r="AF27" s="597"/>
      <c r="AG27" s="241"/>
      <c r="AI27" s="239">
        <v>1.1000000000000001</v>
      </c>
      <c r="AJ27" s="597"/>
      <c r="AK27" s="597"/>
      <c r="AL27" s="241"/>
      <c r="AN27" s="249"/>
    </row>
    <row r="28" spans="1:40" s="10" customFormat="1" ht="20.100000000000001" customHeight="1" thickBot="1">
      <c r="A28" s="219" t="s">
        <v>37</v>
      </c>
      <c r="B28" s="237">
        <f t="shared" ref="B28:V28" si="3">B4+B5</f>
        <v>232.697</v>
      </c>
      <c r="C28" s="237">
        <f t="shared" si="3"/>
        <v>415.61099999999999</v>
      </c>
      <c r="D28" s="237">
        <f t="shared" si="3"/>
        <v>628.7700000000001</v>
      </c>
      <c r="E28" s="307">
        <f t="shared" si="3"/>
        <v>843.21800000000007</v>
      </c>
      <c r="F28" s="236">
        <f t="shared" si="3"/>
        <v>165.66199999999998</v>
      </c>
      <c r="G28" s="237">
        <f t="shared" si="3"/>
        <v>351.928</v>
      </c>
      <c r="H28" s="237">
        <f t="shared" si="3"/>
        <v>548.24399999999991</v>
      </c>
      <c r="I28" s="307">
        <f t="shared" si="3"/>
        <v>859.7349999999999</v>
      </c>
      <c r="J28" s="237">
        <f t="shared" si="3"/>
        <v>184.70400000000001</v>
      </c>
      <c r="K28" s="237">
        <f t="shared" si="3"/>
        <v>735.69999999999982</v>
      </c>
      <c r="L28" s="237">
        <f t="shared" si="3"/>
        <v>1423.9000000000003</v>
      </c>
      <c r="M28" s="248">
        <f t="shared" si="3"/>
        <v>2117.7999999999997</v>
      </c>
      <c r="N28" s="236">
        <f t="shared" si="3"/>
        <v>453.00000000000011</v>
      </c>
      <c r="O28" s="237">
        <f t="shared" si="3"/>
        <v>1327.9999999999995</v>
      </c>
      <c r="P28" s="237">
        <f t="shared" si="3"/>
        <v>2173.4999999999991</v>
      </c>
      <c r="Q28" s="238">
        <f t="shared" si="3"/>
        <v>2985.0999999999995</v>
      </c>
      <c r="R28" s="236">
        <f t="shared" si="3"/>
        <v>584.40000000000009</v>
      </c>
      <c r="S28" s="237">
        <f t="shared" si="3"/>
        <v>1549.4</v>
      </c>
      <c r="T28" s="237">
        <f t="shared" si="3"/>
        <v>2357.5000000000009</v>
      </c>
      <c r="U28" s="238">
        <f t="shared" si="3"/>
        <v>3151.5</v>
      </c>
      <c r="V28" s="236">
        <f t="shared" si="3"/>
        <v>780.70000000000027</v>
      </c>
      <c r="W28" s="237">
        <f t="shared" ref="W28:AC28" si="4">W4+W5</f>
        <v>1615.9</v>
      </c>
      <c r="X28" s="237">
        <f t="shared" si="4"/>
        <v>2245.6999999999998</v>
      </c>
      <c r="Y28" s="238">
        <f t="shared" si="4"/>
        <v>3126.3</v>
      </c>
      <c r="Z28" s="596">
        <f t="shared" si="4"/>
        <v>633.10000000000014</v>
      </c>
      <c r="AA28" s="237">
        <f t="shared" si="4"/>
        <v>1396.9</v>
      </c>
      <c r="AB28" s="596">
        <v>2220.8000000000002</v>
      </c>
      <c r="AC28" s="238">
        <f t="shared" si="4"/>
        <v>3232.1</v>
      </c>
      <c r="AD28" s="596">
        <f>AD4+AD5</f>
        <v>703.2</v>
      </c>
      <c r="AE28" s="596">
        <f t="shared" ref="AE28:AG28" si="5">AE4+AE5</f>
        <v>0</v>
      </c>
      <c r="AF28" s="596">
        <f t="shared" si="5"/>
        <v>0</v>
      </c>
      <c r="AG28" s="238">
        <f t="shared" si="5"/>
        <v>0</v>
      </c>
      <c r="AI28" s="236">
        <f>AI4+AI5</f>
        <v>762.2</v>
      </c>
      <c r="AJ28" s="596">
        <f t="shared" ref="AJ28:AL28" si="6">AJ4+AJ5</f>
        <v>0</v>
      </c>
      <c r="AK28" s="596">
        <f t="shared" si="6"/>
        <v>0</v>
      </c>
      <c r="AL28" s="238">
        <f t="shared" si="6"/>
        <v>0</v>
      </c>
      <c r="AN28" s="249"/>
    </row>
    <row r="29" spans="1:40" s="10" customFormat="1" ht="20.100000000000001" customHeight="1">
      <c r="A29" s="220" t="s">
        <v>35</v>
      </c>
      <c r="B29" s="240">
        <v>-12.561</v>
      </c>
      <c r="C29" s="240">
        <v>-47.188000000000002</v>
      </c>
      <c r="D29" s="240">
        <v>-59.765999999999998</v>
      </c>
      <c r="E29" s="309">
        <v>-78.733000000000004</v>
      </c>
      <c r="F29" s="239">
        <v>-13.763</v>
      </c>
      <c r="G29" s="240">
        <v>-26.318999999999999</v>
      </c>
      <c r="H29" s="240">
        <v>-37.451999999999998</v>
      </c>
      <c r="I29" s="309">
        <v>-67.486000000000004</v>
      </c>
      <c r="J29" s="249">
        <v>-17.809000000000001</v>
      </c>
      <c r="K29" s="249">
        <v>-99.5</v>
      </c>
      <c r="L29" s="249">
        <v>-135.19999999999999</v>
      </c>
      <c r="M29" s="250">
        <v>-189.1</v>
      </c>
      <c r="N29" s="239">
        <v>-48.5</v>
      </c>
      <c r="O29" s="240">
        <v>-44.2</v>
      </c>
      <c r="P29" s="240">
        <v>-94.2</v>
      </c>
      <c r="Q29" s="241">
        <v>-136.19999999999999</v>
      </c>
      <c r="R29" s="239">
        <v>-145.69999999999999</v>
      </c>
      <c r="S29" s="240">
        <v>-186.5</v>
      </c>
      <c r="T29" s="240">
        <v>-236.1</v>
      </c>
      <c r="U29" s="241">
        <v>-292.7</v>
      </c>
      <c r="V29" s="239">
        <v>-43.5</v>
      </c>
      <c r="W29" s="240">
        <v>-112.5</v>
      </c>
      <c r="X29" s="240">
        <v>-181.5</v>
      </c>
      <c r="Y29" s="241">
        <v>-216.2</v>
      </c>
      <c r="Z29" s="597">
        <v>-70.599999999999994</v>
      </c>
      <c r="AA29" s="240">
        <v>-191.3</v>
      </c>
      <c r="AB29" s="597">
        <v>-265.10000000000002</v>
      </c>
      <c r="AC29" s="241">
        <v>-343.2</v>
      </c>
      <c r="AD29" s="597">
        <v>-66.099999999999994</v>
      </c>
      <c r="AE29" s="597"/>
      <c r="AF29" s="597"/>
      <c r="AG29" s="241"/>
      <c r="AI29" s="239">
        <v>-66.099999999999994</v>
      </c>
      <c r="AJ29" s="597"/>
      <c r="AK29" s="597"/>
      <c r="AL29" s="241"/>
      <c r="AN29" s="249"/>
    </row>
    <row r="30" spans="1:40" s="10" customFormat="1" ht="20.100000000000001" customHeight="1" thickBot="1">
      <c r="A30" s="220" t="s">
        <v>36</v>
      </c>
      <c r="B30" s="240">
        <v>3.843</v>
      </c>
      <c r="C30" s="240">
        <v>8.1440000000000001</v>
      </c>
      <c r="D30" s="240">
        <v>12.96</v>
      </c>
      <c r="E30" s="309">
        <v>16.882000000000001</v>
      </c>
      <c r="F30" s="239">
        <v>3.544</v>
      </c>
      <c r="G30" s="240">
        <v>6.1040000000000001</v>
      </c>
      <c r="H30" s="240">
        <v>8.5630000000000006</v>
      </c>
      <c r="I30" s="309">
        <v>10.41</v>
      </c>
      <c r="J30" s="249">
        <v>2.165</v>
      </c>
      <c r="K30" s="249">
        <v>13.4</v>
      </c>
      <c r="L30" s="249">
        <v>33.1</v>
      </c>
      <c r="M30" s="250">
        <v>45.2</v>
      </c>
      <c r="N30" s="239">
        <v>13.2</v>
      </c>
      <c r="O30" s="240">
        <v>20.5</v>
      </c>
      <c r="P30" s="240">
        <v>30.5</v>
      </c>
      <c r="Q30" s="241">
        <v>38.799999999999997</v>
      </c>
      <c r="R30" s="239">
        <v>8.1</v>
      </c>
      <c r="S30" s="240">
        <v>13.1</v>
      </c>
      <c r="T30" s="240">
        <v>19.5</v>
      </c>
      <c r="U30" s="241">
        <v>25.9</v>
      </c>
      <c r="V30" s="239">
        <v>14.5</v>
      </c>
      <c r="W30" s="240">
        <v>16</v>
      </c>
      <c r="X30" s="240">
        <v>23.5</v>
      </c>
      <c r="Y30" s="241">
        <v>31.3</v>
      </c>
      <c r="Z30" s="597">
        <v>7.5</v>
      </c>
      <c r="AA30" s="240">
        <v>14.6</v>
      </c>
      <c r="AB30" s="597">
        <v>20.5</v>
      </c>
      <c r="AC30" s="241">
        <v>26.2</v>
      </c>
      <c r="AD30" s="597">
        <v>4.8</v>
      </c>
      <c r="AE30" s="597"/>
      <c r="AF30" s="597"/>
      <c r="AG30" s="241"/>
      <c r="AI30" s="239">
        <v>4.8</v>
      </c>
      <c r="AJ30" s="597"/>
      <c r="AK30" s="597"/>
      <c r="AL30" s="241"/>
      <c r="AN30" s="249"/>
    </row>
    <row r="31" spans="1:40" s="10" customFormat="1" ht="24.95" customHeight="1" thickBot="1">
      <c r="A31" s="13" t="s">
        <v>66</v>
      </c>
      <c r="B31" s="243">
        <f t="shared" ref="B31:Q31" si="7">SUM(B28:B30)</f>
        <v>223.97899999999998</v>
      </c>
      <c r="C31" s="243">
        <f t="shared" si="7"/>
        <v>376.56700000000001</v>
      </c>
      <c r="D31" s="243">
        <f t="shared" si="7"/>
        <v>581.96400000000017</v>
      </c>
      <c r="E31" s="232">
        <f t="shared" si="7"/>
        <v>781.36700000000008</v>
      </c>
      <c r="F31" s="242">
        <f t="shared" si="7"/>
        <v>155.44299999999998</v>
      </c>
      <c r="G31" s="243">
        <f t="shared" si="7"/>
        <v>331.71299999999997</v>
      </c>
      <c r="H31" s="243">
        <f t="shared" si="7"/>
        <v>519.3549999999999</v>
      </c>
      <c r="I31" s="232">
        <f t="shared" si="7"/>
        <v>802.65899999999988</v>
      </c>
      <c r="J31" s="243">
        <f t="shared" si="7"/>
        <v>169.06</v>
      </c>
      <c r="K31" s="243">
        <f t="shared" si="7"/>
        <v>649.5999999999998</v>
      </c>
      <c r="L31" s="243">
        <f t="shared" si="7"/>
        <v>1321.8000000000002</v>
      </c>
      <c r="M31" s="251">
        <f t="shared" si="7"/>
        <v>1973.8999999999999</v>
      </c>
      <c r="N31" s="242">
        <f t="shared" si="7"/>
        <v>417.7000000000001</v>
      </c>
      <c r="O31" s="243">
        <f t="shared" si="7"/>
        <v>1304.2999999999995</v>
      </c>
      <c r="P31" s="243">
        <f t="shared" si="7"/>
        <v>2109.7999999999993</v>
      </c>
      <c r="Q31" s="244">
        <f t="shared" si="7"/>
        <v>2887.7</v>
      </c>
      <c r="R31" s="242">
        <f t="shared" ref="R31" si="8">SUM(R28:R30)</f>
        <v>446.80000000000013</v>
      </c>
      <c r="S31" s="243">
        <f t="shared" ref="S31:T31" si="9">SUM(S28:S30)</f>
        <v>1376</v>
      </c>
      <c r="T31" s="243">
        <f t="shared" si="9"/>
        <v>2140.900000000001</v>
      </c>
      <c r="U31" s="244">
        <f t="shared" ref="U31:Y31" si="10">SUM(U28:U30)</f>
        <v>2884.7000000000003</v>
      </c>
      <c r="V31" s="242">
        <f t="shared" si="10"/>
        <v>751.70000000000027</v>
      </c>
      <c r="W31" s="243">
        <f t="shared" si="10"/>
        <v>1519.4</v>
      </c>
      <c r="X31" s="243">
        <f t="shared" si="10"/>
        <v>2087.6999999999998</v>
      </c>
      <c r="Y31" s="244">
        <f t="shared" si="10"/>
        <v>2941.4000000000005</v>
      </c>
      <c r="Z31" s="242">
        <f t="shared" ref="Z31:AC31" si="11">SUM(Z28:Z30)</f>
        <v>570.00000000000011</v>
      </c>
      <c r="AA31" s="243">
        <f>SUM(AA28:AA30)</f>
        <v>1220.2</v>
      </c>
      <c r="AB31" s="598">
        <f>SUM(AB28:AB30)</f>
        <v>1976.2000000000003</v>
      </c>
      <c r="AC31" s="244">
        <f t="shared" si="11"/>
        <v>2915.1</v>
      </c>
      <c r="AD31" s="242">
        <f t="shared" ref="AD31:AG31" si="12">SUM(AD28:AD30)</f>
        <v>641.9</v>
      </c>
      <c r="AE31" s="598">
        <f t="shared" si="12"/>
        <v>0</v>
      </c>
      <c r="AF31" s="598">
        <f t="shared" si="12"/>
        <v>0</v>
      </c>
      <c r="AG31" s="244">
        <f t="shared" si="12"/>
        <v>0</v>
      </c>
      <c r="AI31" s="242">
        <f t="shared" ref="AI31:AL31" si="13">SUM(AI28:AI30)</f>
        <v>700.9</v>
      </c>
      <c r="AJ31" s="598">
        <f t="shared" si="13"/>
        <v>0</v>
      </c>
      <c r="AK31" s="598">
        <f t="shared" si="13"/>
        <v>0</v>
      </c>
      <c r="AL31" s="244">
        <f t="shared" si="13"/>
        <v>0</v>
      </c>
      <c r="AN31" s="249"/>
    </row>
    <row r="32" spans="1:40" s="10" customFormat="1" ht="20.100000000000001" customHeight="1">
      <c r="A32" s="220" t="s">
        <v>39</v>
      </c>
      <c r="B32" s="240">
        <v>-13.759</v>
      </c>
      <c r="C32" s="240">
        <v>-28.18</v>
      </c>
      <c r="D32" s="240">
        <v>-40.478000000000002</v>
      </c>
      <c r="E32" s="309">
        <v>-54.936999999999998</v>
      </c>
      <c r="F32" s="239">
        <v>-21.702999999999999</v>
      </c>
      <c r="G32" s="240">
        <v>-40.633000000000003</v>
      </c>
      <c r="H32" s="240">
        <v>-53.000999999999998</v>
      </c>
      <c r="I32" s="309">
        <v>-60.844999999999999</v>
      </c>
      <c r="J32" s="249">
        <v>-19.433</v>
      </c>
      <c r="K32" s="249">
        <v>-93</v>
      </c>
      <c r="L32" s="249">
        <v>-180</v>
      </c>
      <c r="M32" s="250">
        <v>-263.60000000000002</v>
      </c>
      <c r="N32" s="239">
        <v>-137.6</v>
      </c>
      <c r="O32" s="240">
        <v>-187</v>
      </c>
      <c r="P32" s="240">
        <v>-323.2</v>
      </c>
      <c r="Q32" s="241">
        <v>-417.8</v>
      </c>
      <c r="R32" s="239">
        <v>-98.4</v>
      </c>
      <c r="S32" s="240">
        <v>-179.5</v>
      </c>
      <c r="T32" s="240">
        <v>-301.2</v>
      </c>
      <c r="U32" s="241">
        <v>-436.2</v>
      </c>
      <c r="V32" s="239">
        <v>-138.9</v>
      </c>
      <c r="W32" s="240">
        <v>-268.8</v>
      </c>
      <c r="X32" s="240">
        <v>-418.9</v>
      </c>
      <c r="Y32" s="241">
        <v>-524.79999999999995</v>
      </c>
      <c r="Z32" s="597">
        <v>-131.6</v>
      </c>
      <c r="AA32" s="240">
        <v>-266.7</v>
      </c>
      <c r="AB32" s="597">
        <v>-465</v>
      </c>
      <c r="AC32" s="241">
        <v>-624.29999999999995</v>
      </c>
      <c r="AD32" s="597">
        <v>-251.4</v>
      </c>
      <c r="AE32" s="597"/>
      <c r="AF32" s="597"/>
      <c r="AG32" s="241"/>
      <c r="AI32" s="239">
        <v>-251.4</v>
      </c>
      <c r="AJ32" s="597"/>
      <c r="AK32" s="597"/>
      <c r="AL32" s="241"/>
      <c r="AN32" s="249"/>
    </row>
    <row r="33" spans="1:40" s="10" customFormat="1" ht="20.100000000000001" customHeight="1">
      <c r="A33" s="220" t="s">
        <v>38</v>
      </c>
      <c r="B33" s="240">
        <v>-7.0449999999999999</v>
      </c>
      <c r="C33" s="240">
        <v>-11.33</v>
      </c>
      <c r="D33" s="240">
        <v>-23.225000000000001</v>
      </c>
      <c r="E33" s="309">
        <v>-36.24</v>
      </c>
      <c r="F33" s="239">
        <v>-13.377000000000001</v>
      </c>
      <c r="G33" s="240">
        <v>-20.378</v>
      </c>
      <c r="H33" s="240">
        <v>-45.453000000000003</v>
      </c>
      <c r="I33" s="309">
        <v>-62.041000000000004</v>
      </c>
      <c r="J33" s="249">
        <v>-19.987000000000002</v>
      </c>
      <c r="K33" s="249">
        <v>-46.6</v>
      </c>
      <c r="L33" s="249">
        <v>-57.4</v>
      </c>
      <c r="M33" s="250">
        <v>-71.8</v>
      </c>
      <c r="N33" s="239">
        <v>-19.100000000000001</v>
      </c>
      <c r="O33" s="240">
        <v>-90.7</v>
      </c>
      <c r="P33" s="240">
        <v>-111.1</v>
      </c>
      <c r="Q33" s="241">
        <v>-165.3</v>
      </c>
      <c r="R33" s="239">
        <v>-20.3</v>
      </c>
      <c r="S33" s="240">
        <v>-61.3</v>
      </c>
      <c r="T33" s="240">
        <v>-94.6</v>
      </c>
      <c r="U33" s="241">
        <v>-154.19999999999999</v>
      </c>
      <c r="V33" s="239">
        <v>-33.200000000000003</v>
      </c>
      <c r="W33" s="240">
        <v>-114.2</v>
      </c>
      <c r="X33" s="240">
        <v>-137.30000000000001</v>
      </c>
      <c r="Y33" s="241">
        <v>-214.3</v>
      </c>
      <c r="Z33" s="597">
        <v>-42.8</v>
      </c>
      <c r="AA33" s="240">
        <v>-83.9</v>
      </c>
      <c r="AB33" s="597">
        <v>-168.4</v>
      </c>
      <c r="AC33" s="241">
        <v>-304.10000000000002</v>
      </c>
      <c r="AD33" s="597">
        <v>-108.5</v>
      </c>
      <c r="AE33" s="597"/>
      <c r="AF33" s="597"/>
      <c r="AG33" s="241"/>
      <c r="AI33" s="239">
        <v>-108.5</v>
      </c>
      <c r="AJ33" s="597"/>
      <c r="AK33" s="597"/>
      <c r="AL33" s="241"/>
      <c r="AN33" s="249"/>
    </row>
    <row r="34" spans="1:40" s="378" customFormat="1" ht="20.100000000000001" customHeight="1">
      <c r="A34" s="423" t="s">
        <v>198</v>
      </c>
      <c r="B34" s="259"/>
      <c r="C34" s="259"/>
      <c r="D34" s="259"/>
      <c r="E34" s="424"/>
      <c r="F34" s="425"/>
      <c r="G34" s="259"/>
      <c r="H34" s="259"/>
      <c r="I34" s="424"/>
      <c r="J34" s="426"/>
      <c r="K34" s="426"/>
      <c r="L34" s="426"/>
      <c r="M34" s="250"/>
      <c r="N34" s="425"/>
      <c r="O34" s="259"/>
      <c r="P34" s="259"/>
      <c r="Q34" s="241"/>
      <c r="R34" s="425"/>
      <c r="S34" s="259"/>
      <c r="T34" s="259"/>
      <c r="U34" s="241">
        <v>0</v>
      </c>
      <c r="V34" s="425"/>
      <c r="W34" s="259"/>
      <c r="X34" s="259"/>
      <c r="Y34" s="241">
        <v>-9.3000000000000007</v>
      </c>
      <c r="Z34" s="597">
        <v>0</v>
      </c>
      <c r="AA34" s="259">
        <v>0</v>
      </c>
      <c r="AB34" s="601">
        <v>0</v>
      </c>
      <c r="AC34" s="241">
        <v>-9.1999999999999993</v>
      </c>
      <c r="AD34" s="597">
        <v>0</v>
      </c>
      <c r="AE34" s="601"/>
      <c r="AF34" s="601"/>
      <c r="AG34" s="241"/>
      <c r="AI34" s="239">
        <v>0</v>
      </c>
      <c r="AJ34" s="601"/>
      <c r="AK34" s="601"/>
      <c r="AL34" s="241"/>
      <c r="AN34" s="249"/>
    </row>
    <row r="35" spans="1:40" s="378" customFormat="1" ht="20.100000000000001" customHeight="1">
      <c r="A35" s="423" t="s">
        <v>94</v>
      </c>
      <c r="B35" s="427">
        <v>0</v>
      </c>
      <c r="C35" s="427">
        <v>0</v>
      </c>
      <c r="D35" s="427">
        <v>0</v>
      </c>
      <c r="E35" s="428">
        <v>0</v>
      </c>
      <c r="F35" s="429">
        <v>0</v>
      </c>
      <c r="G35" s="427">
        <v>0</v>
      </c>
      <c r="H35" s="427">
        <v>0</v>
      </c>
      <c r="I35" s="428">
        <v>0</v>
      </c>
      <c r="J35" s="429">
        <v>0</v>
      </c>
      <c r="K35" s="259">
        <v>0</v>
      </c>
      <c r="L35" s="259">
        <v>-482.3</v>
      </c>
      <c r="M35" s="250">
        <v>-482.3</v>
      </c>
      <c r="N35" s="425">
        <v>0</v>
      </c>
      <c r="O35" s="259">
        <v>0</v>
      </c>
      <c r="P35" s="259">
        <v>-118.7</v>
      </c>
      <c r="Q35" s="241">
        <v>-118.7</v>
      </c>
      <c r="R35" s="425">
        <v>-147.69999999999999</v>
      </c>
      <c r="S35" s="259">
        <v>-147.69999999999999</v>
      </c>
      <c r="T35" s="259">
        <v>-268.5</v>
      </c>
      <c r="U35" s="241">
        <v>-268.5</v>
      </c>
      <c r="V35" s="425">
        <v>0</v>
      </c>
      <c r="W35" s="259">
        <v>0</v>
      </c>
      <c r="X35" s="259">
        <v>-120.7</v>
      </c>
      <c r="Y35" s="241">
        <v>-120.7</v>
      </c>
      <c r="Z35" s="597">
        <v>0</v>
      </c>
      <c r="AA35" s="259">
        <v>0</v>
      </c>
      <c r="AB35" s="601">
        <v>-119.6</v>
      </c>
      <c r="AC35" s="241">
        <v>-119.6</v>
      </c>
      <c r="AD35" s="597">
        <v>0</v>
      </c>
      <c r="AE35" s="601"/>
      <c r="AF35" s="601"/>
      <c r="AG35" s="241"/>
      <c r="AI35" s="425">
        <v>0</v>
      </c>
      <c r="AJ35" s="601"/>
      <c r="AK35" s="601"/>
      <c r="AL35" s="241"/>
      <c r="AN35" s="249"/>
    </row>
    <row r="36" spans="1:40" s="378" customFormat="1" ht="20.100000000000001" customHeight="1">
      <c r="A36" s="423" t="s">
        <v>246</v>
      </c>
      <c r="B36" s="427"/>
      <c r="C36" s="427"/>
      <c r="D36" s="427"/>
      <c r="E36" s="428"/>
      <c r="F36" s="427"/>
      <c r="G36" s="427"/>
      <c r="H36" s="427"/>
      <c r="I36" s="428"/>
      <c r="J36" s="427"/>
      <c r="K36" s="427"/>
      <c r="L36" s="427"/>
      <c r="M36" s="250"/>
      <c r="N36" s="239"/>
      <c r="O36" s="427"/>
      <c r="P36" s="427"/>
      <c r="Q36" s="241"/>
      <c r="R36" s="427">
        <v>0</v>
      </c>
      <c r="S36" s="427">
        <v>0</v>
      </c>
      <c r="T36" s="427">
        <v>0</v>
      </c>
      <c r="U36" s="241">
        <v>0</v>
      </c>
      <c r="V36" s="425">
        <v>0</v>
      </c>
      <c r="W36" s="259">
        <v>0</v>
      </c>
      <c r="X36" s="259">
        <v>0</v>
      </c>
      <c r="Y36" s="241">
        <v>-662.5</v>
      </c>
      <c r="Z36" s="597">
        <v>-11.3</v>
      </c>
      <c r="AA36" s="259">
        <v>-15.7</v>
      </c>
      <c r="AB36" s="601">
        <v>-15.7</v>
      </c>
      <c r="AC36" s="241">
        <v>-16.100000000000001</v>
      </c>
      <c r="AD36" s="597">
        <v>0</v>
      </c>
      <c r="AE36" s="601"/>
      <c r="AF36" s="601"/>
      <c r="AG36" s="241"/>
      <c r="AI36" s="239">
        <v>0</v>
      </c>
      <c r="AJ36" s="601"/>
      <c r="AK36" s="601"/>
      <c r="AL36" s="241"/>
      <c r="AN36" s="249"/>
    </row>
    <row r="37" spans="1:40" s="10" customFormat="1" ht="20.100000000000001" customHeight="1">
      <c r="A37" s="220" t="s">
        <v>69</v>
      </c>
      <c r="B37" s="240">
        <v>-2.3290000000000002</v>
      </c>
      <c r="C37" s="240">
        <v>-45.099000000000004</v>
      </c>
      <c r="D37" s="240">
        <v>-45.329000000000001</v>
      </c>
      <c r="E37" s="309">
        <v>-45.710999999999999</v>
      </c>
      <c r="F37" s="239">
        <v>-0.153</v>
      </c>
      <c r="G37" s="240">
        <v>-0.26800000000000002</v>
      </c>
      <c r="H37" s="240">
        <v>-64.186999999999998</v>
      </c>
      <c r="I37" s="309">
        <v>-64.266000000000005</v>
      </c>
      <c r="J37" s="257">
        <v>0</v>
      </c>
      <c r="K37" s="249">
        <v>1800.4</v>
      </c>
      <c r="L37" s="249">
        <v>1800.4</v>
      </c>
      <c r="M37" s="250">
        <v>1800.4</v>
      </c>
      <c r="N37" s="239">
        <v>-4.2</v>
      </c>
      <c r="O37" s="240">
        <v>-29.5</v>
      </c>
      <c r="P37" s="240">
        <v>-29.5</v>
      </c>
      <c r="Q37" s="241">
        <v>-29.5</v>
      </c>
      <c r="R37" s="239">
        <v>262.2</v>
      </c>
      <c r="S37" s="240">
        <v>-145.30000000000001</v>
      </c>
      <c r="T37" s="240">
        <v>-144.4</v>
      </c>
      <c r="U37" s="241">
        <v>-144.4</v>
      </c>
      <c r="V37" s="239">
        <v>0</v>
      </c>
      <c r="W37" s="240">
        <v>0</v>
      </c>
      <c r="X37" s="240">
        <v>1.6</v>
      </c>
      <c r="Y37" s="241">
        <v>-66.8</v>
      </c>
      <c r="Z37" s="597">
        <v>-16.7</v>
      </c>
      <c r="AA37" s="240">
        <v>-276.8</v>
      </c>
      <c r="AB37" s="597">
        <v>-453.7</v>
      </c>
      <c r="AC37" s="241">
        <v>-792.4</v>
      </c>
      <c r="AD37" s="597">
        <v>0</v>
      </c>
      <c r="AE37" s="597"/>
      <c r="AF37" s="597"/>
      <c r="AG37" s="241"/>
      <c r="AI37" s="425">
        <v>0</v>
      </c>
      <c r="AJ37" s="597"/>
      <c r="AK37" s="597"/>
      <c r="AL37" s="241"/>
      <c r="AN37" s="249"/>
    </row>
    <row r="38" spans="1:40" s="10" customFormat="1" ht="20.100000000000001" customHeight="1">
      <c r="A38" s="220" t="s">
        <v>195</v>
      </c>
      <c r="B38" s="254">
        <v>0</v>
      </c>
      <c r="C38" s="254">
        <v>0</v>
      </c>
      <c r="D38" s="254">
        <v>0</v>
      </c>
      <c r="E38" s="255">
        <v>0</v>
      </c>
      <c r="F38" s="256">
        <v>0</v>
      </c>
      <c r="G38" s="254">
        <v>0</v>
      </c>
      <c r="H38" s="240">
        <v>48.219000000000001</v>
      </c>
      <c r="I38" s="309">
        <v>48.736000000000004</v>
      </c>
      <c r="J38" s="257">
        <v>0</v>
      </c>
      <c r="K38" s="249">
        <v>0</v>
      </c>
      <c r="L38" s="249">
        <v>0</v>
      </c>
      <c r="M38" s="250">
        <v>0</v>
      </c>
      <c r="N38" s="239">
        <v>0</v>
      </c>
      <c r="O38" s="240">
        <v>0</v>
      </c>
      <c r="P38" s="240">
        <v>0</v>
      </c>
      <c r="Q38" s="241">
        <v>0</v>
      </c>
      <c r="R38" s="239">
        <v>0</v>
      </c>
      <c r="S38" s="259">
        <v>0.2</v>
      </c>
      <c r="T38" s="259">
        <v>0.2</v>
      </c>
      <c r="U38" s="241">
        <v>0</v>
      </c>
      <c r="V38" s="239">
        <v>0</v>
      </c>
      <c r="W38" s="259">
        <v>0</v>
      </c>
      <c r="X38" s="259">
        <v>0</v>
      </c>
      <c r="Y38" s="241">
        <v>0</v>
      </c>
      <c r="Z38" s="597">
        <v>0</v>
      </c>
      <c r="AA38" s="259">
        <v>0</v>
      </c>
      <c r="AB38" s="601">
        <v>0</v>
      </c>
      <c r="AC38" s="241">
        <v>0</v>
      </c>
      <c r="AD38" s="597">
        <v>0</v>
      </c>
      <c r="AE38" s="601"/>
      <c r="AF38" s="601"/>
      <c r="AG38" s="241"/>
      <c r="AI38" s="239">
        <v>0</v>
      </c>
      <c r="AJ38" s="601"/>
      <c r="AK38" s="601"/>
      <c r="AL38" s="241"/>
      <c r="AN38" s="249"/>
    </row>
    <row r="39" spans="1:40" s="10" customFormat="1" ht="20.100000000000001" customHeight="1">
      <c r="A39" s="220" t="s">
        <v>47</v>
      </c>
      <c r="B39" s="240">
        <v>0.09</v>
      </c>
      <c r="C39" s="240">
        <v>0.121</v>
      </c>
      <c r="D39" s="240">
        <v>0.69000000000000006</v>
      </c>
      <c r="E39" s="309">
        <v>0.751</v>
      </c>
      <c r="F39" s="239">
        <v>0.35000000000000003</v>
      </c>
      <c r="G39" s="240">
        <v>0.41000000000000003</v>
      </c>
      <c r="H39" s="240">
        <v>1.756</v>
      </c>
      <c r="I39" s="309">
        <v>2.0640000000000001</v>
      </c>
      <c r="J39" s="257">
        <v>0.33700000000000002</v>
      </c>
      <c r="K39" s="249">
        <v>1.6</v>
      </c>
      <c r="L39" s="249">
        <v>4</v>
      </c>
      <c r="M39" s="250">
        <v>4.0999999999999996</v>
      </c>
      <c r="N39" s="239">
        <v>0.2</v>
      </c>
      <c r="O39" s="240">
        <v>13.3</v>
      </c>
      <c r="P39" s="240">
        <v>15.1</v>
      </c>
      <c r="Q39" s="241">
        <v>16.899999999999999</v>
      </c>
      <c r="R39" s="239">
        <v>3.5</v>
      </c>
      <c r="S39" s="240">
        <v>5</v>
      </c>
      <c r="T39" s="240">
        <v>6.3</v>
      </c>
      <c r="U39" s="241">
        <v>9.5</v>
      </c>
      <c r="V39" s="239">
        <v>12.8</v>
      </c>
      <c r="W39" s="240">
        <v>16</v>
      </c>
      <c r="X39" s="240">
        <v>15.8</v>
      </c>
      <c r="Y39" s="241">
        <v>19.3</v>
      </c>
      <c r="Z39" s="597">
        <v>3.4</v>
      </c>
      <c r="AA39" s="240">
        <v>10.6</v>
      </c>
      <c r="AB39" s="597">
        <v>11.6</v>
      </c>
      <c r="AC39" s="241">
        <v>11.6</v>
      </c>
      <c r="AD39" s="597">
        <v>2.5</v>
      </c>
      <c r="AE39" s="597"/>
      <c r="AF39" s="597"/>
      <c r="AG39" s="241"/>
      <c r="AI39" s="239">
        <v>2.5</v>
      </c>
      <c r="AJ39" s="597"/>
      <c r="AK39" s="597"/>
      <c r="AL39" s="241"/>
      <c r="AN39" s="249"/>
    </row>
    <row r="40" spans="1:40" s="10" customFormat="1" ht="20.100000000000001" customHeight="1">
      <c r="A40" s="423" t="s">
        <v>257</v>
      </c>
      <c r="B40" s="240"/>
      <c r="C40" s="240"/>
      <c r="D40" s="240"/>
      <c r="E40" s="309"/>
      <c r="F40" s="239"/>
      <c r="G40" s="240"/>
      <c r="H40" s="240"/>
      <c r="I40" s="309"/>
      <c r="J40" s="257"/>
      <c r="K40" s="249"/>
      <c r="L40" s="249"/>
      <c r="M40" s="250"/>
      <c r="N40" s="239"/>
      <c r="O40" s="240"/>
      <c r="P40" s="240"/>
      <c r="Q40" s="241"/>
      <c r="R40" s="239"/>
      <c r="S40" s="240"/>
      <c r="T40" s="240"/>
      <c r="U40" s="241"/>
      <c r="V40" s="239"/>
      <c r="W40" s="240"/>
      <c r="X40" s="240"/>
      <c r="Y40" s="241"/>
      <c r="Z40" s="597">
        <v>-45</v>
      </c>
      <c r="AA40" s="240">
        <f>-50+50.3</f>
        <v>0.29999999999999716</v>
      </c>
      <c r="AB40" s="597">
        <f>-95+95.4</f>
        <v>0.40000000000000568</v>
      </c>
      <c r="AC40" s="241">
        <f>-130+130.5</f>
        <v>0.5</v>
      </c>
      <c r="AD40" s="597">
        <v>0.1</v>
      </c>
      <c r="AE40" s="597"/>
      <c r="AF40" s="597"/>
      <c r="AG40" s="241"/>
      <c r="AI40" s="239">
        <v>0.1</v>
      </c>
      <c r="AJ40" s="597"/>
      <c r="AK40" s="597"/>
      <c r="AL40" s="241"/>
      <c r="AN40" s="249"/>
    </row>
    <row r="41" spans="1:40" s="10" customFormat="1" ht="20.100000000000001" customHeight="1">
      <c r="A41" s="220" t="s">
        <v>91</v>
      </c>
      <c r="B41" s="254">
        <v>0</v>
      </c>
      <c r="C41" s="254">
        <v>0</v>
      </c>
      <c r="D41" s="254">
        <v>0</v>
      </c>
      <c r="E41" s="255">
        <v>0</v>
      </c>
      <c r="F41" s="256">
        <v>0</v>
      </c>
      <c r="G41" s="254">
        <v>0</v>
      </c>
      <c r="H41" s="254">
        <v>0</v>
      </c>
      <c r="I41" s="255">
        <v>0</v>
      </c>
      <c r="J41" s="257">
        <v>0</v>
      </c>
      <c r="K41" s="249">
        <v>-270</v>
      </c>
      <c r="L41" s="249">
        <v>-30</v>
      </c>
      <c r="M41" s="250">
        <v>0</v>
      </c>
      <c r="N41" s="239">
        <v>-42.7</v>
      </c>
      <c r="O41" s="240">
        <v>-42.7</v>
      </c>
      <c r="P41" s="240">
        <v>0</v>
      </c>
      <c r="Q41" s="241">
        <v>0</v>
      </c>
      <c r="R41" s="239">
        <v>-12.4</v>
      </c>
      <c r="S41" s="240">
        <v>0</v>
      </c>
      <c r="T41" s="240">
        <v>0</v>
      </c>
      <c r="U41" s="241">
        <v>0</v>
      </c>
      <c r="V41" s="239">
        <v>0</v>
      </c>
      <c r="W41" s="240">
        <v>0</v>
      </c>
      <c r="X41" s="240">
        <v>0</v>
      </c>
      <c r="Y41" s="241">
        <v>0</v>
      </c>
      <c r="Z41" s="597">
        <v>0</v>
      </c>
      <c r="AA41" s="240">
        <v>0</v>
      </c>
      <c r="AB41" s="597">
        <v>0</v>
      </c>
      <c r="AC41" s="241">
        <v>0</v>
      </c>
      <c r="AD41" s="597">
        <v>0</v>
      </c>
      <c r="AE41" s="597"/>
      <c r="AF41" s="597"/>
      <c r="AG41" s="241"/>
      <c r="AI41" s="239">
        <v>0</v>
      </c>
      <c r="AJ41" s="597"/>
      <c r="AK41" s="597"/>
      <c r="AL41" s="241"/>
      <c r="AN41" s="249"/>
    </row>
    <row r="42" spans="1:40" s="10" customFormat="1" ht="20.100000000000001" customHeight="1">
      <c r="A42" s="220" t="s">
        <v>46</v>
      </c>
      <c r="B42" s="240">
        <v>-1.1000000000000001</v>
      </c>
      <c r="C42" s="240">
        <v>-1.1000000000000001</v>
      </c>
      <c r="D42" s="240">
        <v>-1.1000000000000001</v>
      </c>
      <c r="E42" s="309">
        <v>-1.1000000000000001</v>
      </c>
      <c r="F42" s="256">
        <v>0</v>
      </c>
      <c r="G42" s="254">
        <v>0</v>
      </c>
      <c r="H42" s="254">
        <v>0</v>
      </c>
      <c r="I42" s="255">
        <v>0</v>
      </c>
      <c r="J42" s="257">
        <v>0</v>
      </c>
      <c r="K42" s="249">
        <v>-5.8</v>
      </c>
      <c r="L42" s="249">
        <v>-20.399999999999999</v>
      </c>
      <c r="M42" s="250">
        <v>-23.1</v>
      </c>
      <c r="N42" s="239">
        <v>-6</v>
      </c>
      <c r="O42" s="240">
        <v>-8.9</v>
      </c>
      <c r="P42" s="240">
        <v>-12.1</v>
      </c>
      <c r="Q42" s="241">
        <v>-16.100000000000001</v>
      </c>
      <c r="R42" s="239">
        <v>-6.8</v>
      </c>
      <c r="S42" s="240">
        <v>-9.5</v>
      </c>
      <c r="T42" s="240">
        <v>-10.5</v>
      </c>
      <c r="U42" s="241">
        <v>-11.6</v>
      </c>
      <c r="V42" s="239">
        <v>0</v>
      </c>
      <c r="W42" s="240">
        <v>0</v>
      </c>
      <c r="X42" s="240">
        <v>-28.6</v>
      </c>
      <c r="Y42" s="241">
        <v>-31.1</v>
      </c>
      <c r="Z42" s="597">
        <v>-11</v>
      </c>
      <c r="AA42" s="240">
        <v>-11</v>
      </c>
      <c r="AB42" s="597">
        <v>-11</v>
      </c>
      <c r="AC42" s="241">
        <v>-12.4</v>
      </c>
      <c r="AD42" s="597">
        <v>-12.9</v>
      </c>
      <c r="AE42" s="597"/>
      <c r="AF42" s="597"/>
      <c r="AG42" s="241"/>
      <c r="AI42" s="239">
        <v>-12.9</v>
      </c>
      <c r="AJ42" s="597"/>
      <c r="AK42" s="597"/>
      <c r="AL42" s="241"/>
      <c r="AN42" s="249"/>
    </row>
    <row r="43" spans="1:40" s="10" customFormat="1" ht="20.100000000000001" customHeight="1">
      <c r="A43" s="220" t="s">
        <v>48</v>
      </c>
      <c r="B43" s="240">
        <v>0</v>
      </c>
      <c r="C43" s="240">
        <v>1.1000000000000001</v>
      </c>
      <c r="D43" s="240">
        <v>1.1000000000000001</v>
      </c>
      <c r="E43" s="309">
        <v>1.1000000000000001</v>
      </c>
      <c r="F43" s="256">
        <v>0</v>
      </c>
      <c r="G43" s="254">
        <v>0</v>
      </c>
      <c r="H43" s="254">
        <v>0</v>
      </c>
      <c r="I43" s="255">
        <v>0</v>
      </c>
      <c r="J43" s="257">
        <v>0</v>
      </c>
      <c r="K43" s="249">
        <v>0</v>
      </c>
      <c r="L43" s="249">
        <v>0</v>
      </c>
      <c r="M43" s="250">
        <v>0</v>
      </c>
      <c r="N43" s="239">
        <v>0</v>
      </c>
      <c r="O43" s="240">
        <v>0</v>
      </c>
      <c r="P43" s="240">
        <v>0</v>
      </c>
      <c r="Q43" s="241">
        <v>0</v>
      </c>
      <c r="R43" s="239">
        <v>0</v>
      </c>
      <c r="S43" s="240">
        <v>0</v>
      </c>
      <c r="T43" s="240">
        <v>0</v>
      </c>
      <c r="U43" s="241">
        <v>0.1</v>
      </c>
      <c r="V43" s="239">
        <v>0</v>
      </c>
      <c r="W43" s="240">
        <v>0</v>
      </c>
      <c r="X43" s="240">
        <v>25</v>
      </c>
      <c r="Y43" s="241">
        <v>30.5</v>
      </c>
      <c r="Z43" s="597">
        <v>0</v>
      </c>
      <c r="AA43" s="240">
        <v>6.4</v>
      </c>
      <c r="AB43" s="597">
        <v>30</v>
      </c>
      <c r="AC43" s="241">
        <v>29.3</v>
      </c>
      <c r="AD43" s="597">
        <v>0</v>
      </c>
      <c r="AE43" s="597"/>
      <c r="AF43" s="597"/>
      <c r="AG43" s="241"/>
      <c r="AI43" s="239">
        <v>0</v>
      </c>
      <c r="AJ43" s="597"/>
      <c r="AK43" s="597"/>
      <c r="AL43" s="241"/>
      <c r="AN43" s="249"/>
    </row>
    <row r="44" spans="1:40" s="10" customFormat="1" ht="20.100000000000001" customHeight="1">
      <c r="A44" s="220" t="s">
        <v>232</v>
      </c>
      <c r="B44" s="254">
        <v>0</v>
      </c>
      <c r="C44" s="254">
        <v>0</v>
      </c>
      <c r="D44" s="254">
        <v>0</v>
      </c>
      <c r="E44" s="255">
        <v>0</v>
      </c>
      <c r="F44" s="256">
        <v>0</v>
      </c>
      <c r="G44" s="254">
        <v>0</v>
      </c>
      <c r="H44" s="254">
        <v>0</v>
      </c>
      <c r="I44" s="255">
        <v>0</v>
      </c>
      <c r="J44" s="257">
        <v>0</v>
      </c>
      <c r="K44" s="249">
        <v>5</v>
      </c>
      <c r="L44" s="249">
        <v>5.5</v>
      </c>
      <c r="M44" s="250">
        <v>6.6</v>
      </c>
      <c r="N44" s="239">
        <v>1.2</v>
      </c>
      <c r="O44" s="240">
        <v>-2.1</v>
      </c>
      <c r="P44" s="240">
        <v>3.2</v>
      </c>
      <c r="Q44" s="241">
        <v>3.9</v>
      </c>
      <c r="R44" s="239">
        <v>-5</v>
      </c>
      <c r="S44" s="240">
        <v>-4</v>
      </c>
      <c r="T44" s="240">
        <v>-3.5</v>
      </c>
      <c r="U44" s="241">
        <v>-1.6</v>
      </c>
      <c r="V44" s="239">
        <v>-1.1000000000000001</v>
      </c>
      <c r="W44" s="240">
        <v>0</v>
      </c>
      <c r="X44" s="318" t="s">
        <v>214</v>
      </c>
      <c r="Y44" s="383" t="s">
        <v>214</v>
      </c>
      <c r="Z44" s="597">
        <v>-1.5</v>
      </c>
      <c r="AA44" s="240">
        <v>0</v>
      </c>
      <c r="AB44" s="597">
        <v>0</v>
      </c>
      <c r="AC44" s="383">
        <v>0</v>
      </c>
      <c r="AD44" s="597">
        <v>0</v>
      </c>
      <c r="AE44" s="597"/>
      <c r="AF44" s="597"/>
      <c r="AG44" s="383"/>
      <c r="AI44" s="239">
        <v>0</v>
      </c>
      <c r="AJ44" s="597"/>
      <c r="AK44" s="597"/>
      <c r="AL44" s="383"/>
      <c r="AN44" s="249"/>
    </row>
    <row r="45" spans="1:40" s="10" customFormat="1" ht="20.100000000000001" customHeight="1">
      <c r="A45" s="220" t="s">
        <v>76</v>
      </c>
      <c r="B45" s="254">
        <v>0</v>
      </c>
      <c r="C45" s="240">
        <v>1.258</v>
      </c>
      <c r="D45" s="240">
        <v>1.258</v>
      </c>
      <c r="E45" s="309">
        <v>2.706</v>
      </c>
      <c r="F45" s="239">
        <v>0</v>
      </c>
      <c r="G45" s="240">
        <v>2.5150000000000001</v>
      </c>
      <c r="H45" s="240">
        <v>2.5150000000000001</v>
      </c>
      <c r="I45" s="309">
        <v>2.5150000000000001</v>
      </c>
      <c r="J45" s="249">
        <v>2.5300000000000002</v>
      </c>
      <c r="K45" s="249">
        <v>2.5</v>
      </c>
      <c r="L45" s="249">
        <v>2.5</v>
      </c>
      <c r="M45" s="250">
        <v>2.5</v>
      </c>
      <c r="N45" s="239">
        <v>0</v>
      </c>
      <c r="O45" s="240">
        <v>0</v>
      </c>
      <c r="P45" s="240">
        <v>0</v>
      </c>
      <c r="Q45" s="241">
        <v>0</v>
      </c>
      <c r="R45" s="239">
        <v>0</v>
      </c>
      <c r="S45" s="240">
        <v>0</v>
      </c>
      <c r="T45" s="240">
        <v>0</v>
      </c>
      <c r="U45" s="241">
        <v>0</v>
      </c>
      <c r="V45" s="239">
        <v>0</v>
      </c>
      <c r="W45" s="240">
        <v>0</v>
      </c>
      <c r="X45" s="240">
        <v>0</v>
      </c>
      <c r="Y45" s="241">
        <v>0</v>
      </c>
      <c r="Z45" s="597">
        <v>0</v>
      </c>
      <c r="AA45" s="240">
        <v>0</v>
      </c>
      <c r="AB45" s="597">
        <v>0</v>
      </c>
      <c r="AC45" s="241">
        <v>0</v>
      </c>
      <c r="AD45" s="597">
        <v>0</v>
      </c>
      <c r="AE45" s="597"/>
      <c r="AF45" s="597"/>
      <c r="AG45" s="241"/>
      <c r="AI45" s="239">
        <v>0</v>
      </c>
      <c r="AJ45" s="597"/>
      <c r="AK45" s="597"/>
      <c r="AL45" s="241"/>
      <c r="AN45" s="249"/>
    </row>
    <row r="46" spans="1:40" s="10" customFormat="1" ht="20.100000000000001" customHeight="1" thickBot="1">
      <c r="A46" s="220" t="s">
        <v>217</v>
      </c>
      <c r="B46" s="254">
        <v>0</v>
      </c>
      <c r="C46" s="254">
        <v>0</v>
      </c>
      <c r="D46" s="254">
        <v>0</v>
      </c>
      <c r="E46" s="255">
        <v>0</v>
      </c>
      <c r="F46" s="256">
        <v>0</v>
      </c>
      <c r="G46" s="254">
        <v>0</v>
      </c>
      <c r="H46" s="254">
        <v>0</v>
      </c>
      <c r="I46" s="255">
        <v>0</v>
      </c>
      <c r="J46" s="257">
        <v>0</v>
      </c>
      <c r="K46" s="249">
        <v>0</v>
      </c>
      <c r="L46" s="249">
        <v>0</v>
      </c>
      <c r="M46" s="250">
        <v>0</v>
      </c>
      <c r="N46" s="239">
        <v>0</v>
      </c>
      <c r="O46" s="240">
        <v>0</v>
      </c>
      <c r="P46" s="240">
        <v>0</v>
      </c>
      <c r="Q46" s="241">
        <v>0</v>
      </c>
      <c r="R46" s="239">
        <v>0</v>
      </c>
      <c r="S46" s="240">
        <v>1</v>
      </c>
      <c r="T46" s="240">
        <v>1</v>
      </c>
      <c r="U46" s="241">
        <v>3.5</v>
      </c>
      <c r="V46" s="239">
        <v>1.2</v>
      </c>
      <c r="W46" s="259">
        <v>-0.5</v>
      </c>
      <c r="X46" s="240">
        <v>5.9</v>
      </c>
      <c r="Y46" s="241">
        <v>6.4</v>
      </c>
      <c r="Z46" s="597">
        <v>1.1000000000000001</v>
      </c>
      <c r="AA46" s="259">
        <v>-0.9</v>
      </c>
      <c r="AB46" s="601">
        <v>-5.9</v>
      </c>
      <c r="AC46" s="241">
        <v>1.2</v>
      </c>
      <c r="AD46" s="597">
        <v>3</v>
      </c>
      <c r="AE46" s="601"/>
      <c r="AF46" s="601"/>
      <c r="AG46" s="241"/>
      <c r="AI46" s="239">
        <v>3</v>
      </c>
      <c r="AJ46" s="601"/>
      <c r="AK46" s="601"/>
      <c r="AL46" s="241"/>
      <c r="AN46" s="249"/>
    </row>
    <row r="47" spans="1:40" s="10" customFormat="1" ht="24.95" customHeight="1" thickBot="1">
      <c r="A47" s="13" t="s">
        <v>67</v>
      </c>
      <c r="B47" s="243">
        <f t="shared" ref="B47:Y47" si="14">SUM(B32:B46)</f>
        <v>-24.143000000000004</v>
      </c>
      <c r="C47" s="243">
        <f t="shared" si="14"/>
        <v>-83.230000000000018</v>
      </c>
      <c r="D47" s="243">
        <f t="shared" si="14"/>
        <v>-107.08400000000002</v>
      </c>
      <c r="E47" s="232">
        <f t="shared" si="14"/>
        <v>-133.43099999999998</v>
      </c>
      <c r="F47" s="242">
        <f t="shared" si="14"/>
        <v>-34.882999999999996</v>
      </c>
      <c r="G47" s="243">
        <f t="shared" si="14"/>
        <v>-58.354000000000006</v>
      </c>
      <c r="H47" s="243">
        <f t="shared" si="14"/>
        <v>-110.15100000000002</v>
      </c>
      <c r="I47" s="232">
        <f t="shared" si="14"/>
        <v>-133.83700000000002</v>
      </c>
      <c r="J47" s="242">
        <f t="shared" si="14"/>
        <v>-36.552999999999997</v>
      </c>
      <c r="K47" s="243">
        <f t="shared" si="14"/>
        <v>1394.1000000000001</v>
      </c>
      <c r="L47" s="243">
        <f t="shared" si="14"/>
        <v>1042.3</v>
      </c>
      <c r="M47" s="251">
        <f t="shared" si="14"/>
        <v>972.80000000000007</v>
      </c>
      <c r="N47" s="242">
        <f t="shared" si="14"/>
        <v>-208.2</v>
      </c>
      <c r="O47" s="243">
        <f t="shared" si="14"/>
        <v>-347.59999999999997</v>
      </c>
      <c r="P47" s="243">
        <f t="shared" si="14"/>
        <v>-576.29999999999995</v>
      </c>
      <c r="Q47" s="244">
        <f t="shared" si="14"/>
        <v>-726.60000000000014</v>
      </c>
      <c r="R47" s="242">
        <f t="shared" si="14"/>
        <v>-24.899999999999988</v>
      </c>
      <c r="S47" s="243">
        <f t="shared" si="14"/>
        <v>-541.09999999999991</v>
      </c>
      <c r="T47" s="243">
        <f t="shared" si="14"/>
        <v>-815.19999999999993</v>
      </c>
      <c r="U47" s="244">
        <f t="shared" si="14"/>
        <v>-1003.4</v>
      </c>
      <c r="V47" s="242">
        <f t="shared" si="14"/>
        <v>-159.20000000000002</v>
      </c>
      <c r="W47" s="243">
        <f t="shared" si="14"/>
        <v>-367.5</v>
      </c>
      <c r="X47" s="243">
        <f t="shared" si="14"/>
        <v>-657.20000000000016</v>
      </c>
      <c r="Y47" s="232">
        <f t="shared" si="14"/>
        <v>-1573.2999999999997</v>
      </c>
      <c r="Z47" s="242">
        <f>SUM(Z32:Z46)</f>
        <v>-255.4</v>
      </c>
      <c r="AA47" s="243">
        <f>SUM(AA32:AA46)</f>
        <v>-637.70000000000005</v>
      </c>
      <c r="AB47" s="598">
        <f>SUM(AB32:AB46)</f>
        <v>-1197.3000000000002</v>
      </c>
      <c r="AC47" s="244">
        <f>SUM(AC32:AC46)</f>
        <v>-1835.5</v>
      </c>
      <c r="AD47" s="242">
        <f>SUM(AD32:AD46)</f>
        <v>-367.19999999999993</v>
      </c>
      <c r="AE47" s="598">
        <f t="shared" ref="AE47:AG47" si="15">SUM(AE32:AE46)</f>
        <v>0</v>
      </c>
      <c r="AF47" s="598">
        <f t="shared" si="15"/>
        <v>0</v>
      </c>
      <c r="AG47" s="244">
        <f t="shared" si="15"/>
        <v>0</v>
      </c>
      <c r="AI47" s="242">
        <f>SUM(AI32:AI46)</f>
        <v>-367.19999999999993</v>
      </c>
      <c r="AJ47" s="598">
        <f t="shared" ref="AJ47:AL47" si="16">SUM(AJ32:AJ46)</f>
        <v>0</v>
      </c>
      <c r="AK47" s="598">
        <f t="shared" si="16"/>
        <v>0</v>
      </c>
      <c r="AL47" s="244">
        <f t="shared" si="16"/>
        <v>0</v>
      </c>
      <c r="AN47" s="249"/>
    </row>
    <row r="48" spans="1:40" s="10" customFormat="1" ht="20.100000000000001" customHeight="1">
      <c r="A48" s="220" t="s">
        <v>43</v>
      </c>
      <c r="B48" s="240">
        <v>-26.754999999999999</v>
      </c>
      <c r="C48" s="240">
        <v>-155.76300000000001</v>
      </c>
      <c r="D48" s="240">
        <v>-397.57499999999999</v>
      </c>
      <c r="E48" s="309">
        <v>-453.32400000000001</v>
      </c>
      <c r="F48" s="239">
        <v>-49.813000000000002</v>
      </c>
      <c r="G48" s="240">
        <v>-192.59</v>
      </c>
      <c r="H48" s="240">
        <v>-366.16200000000003</v>
      </c>
      <c r="I48" s="309">
        <v>-431.11700000000002</v>
      </c>
      <c r="J48" s="249">
        <v>-37.393999999999998</v>
      </c>
      <c r="K48" s="249">
        <v>-547.1</v>
      </c>
      <c r="L48" s="249">
        <v>-747.1</v>
      </c>
      <c r="M48" s="250">
        <v>-1087.0999999999999</v>
      </c>
      <c r="N48" s="239">
        <v>-157</v>
      </c>
      <c r="O48" s="240">
        <v>-954.2</v>
      </c>
      <c r="P48" s="240">
        <v>-9222.2000000000007</v>
      </c>
      <c r="Q48" s="241">
        <v>-9222.2000000000007</v>
      </c>
      <c r="R48" s="239">
        <v>-916.1</v>
      </c>
      <c r="S48" s="240">
        <v>-1498.9</v>
      </c>
      <c r="T48" s="240">
        <v>-1706.9</v>
      </c>
      <c r="U48" s="241">
        <v>-1940.9</v>
      </c>
      <c r="V48" s="239">
        <v>-234</v>
      </c>
      <c r="W48" s="240">
        <v>-568</v>
      </c>
      <c r="X48" s="240">
        <v>-802</v>
      </c>
      <c r="Y48" s="241">
        <v>-1162.5</v>
      </c>
      <c r="Z48" s="240">
        <v>-550</v>
      </c>
      <c r="AA48" s="240">
        <v>-652</v>
      </c>
      <c r="AB48" s="597">
        <v>-1077.8</v>
      </c>
      <c r="AC48" s="241">
        <v>-1282.2</v>
      </c>
      <c r="AD48" s="597">
        <v>-584.4</v>
      </c>
      <c r="AE48" s="597"/>
      <c r="AF48" s="597"/>
      <c r="AG48" s="241"/>
      <c r="AI48" s="239">
        <v>-584.4</v>
      </c>
      <c r="AJ48" s="597"/>
      <c r="AK48" s="597"/>
      <c r="AL48" s="241"/>
      <c r="AN48" s="249"/>
    </row>
    <row r="49" spans="1:40" s="10" customFormat="1" ht="20.100000000000001" customHeight="1">
      <c r="A49" s="220" t="s">
        <v>98</v>
      </c>
      <c r="B49" s="254">
        <v>0</v>
      </c>
      <c r="C49" s="254">
        <v>0</v>
      </c>
      <c r="D49" s="254">
        <v>0</v>
      </c>
      <c r="E49" s="255">
        <v>0</v>
      </c>
      <c r="F49" s="256">
        <v>0</v>
      </c>
      <c r="G49" s="254">
        <v>0</v>
      </c>
      <c r="H49" s="254">
        <v>0</v>
      </c>
      <c r="I49" s="255">
        <v>0</v>
      </c>
      <c r="J49" s="257">
        <v>0</v>
      </c>
      <c r="K49" s="249">
        <v>2800</v>
      </c>
      <c r="L49" s="249">
        <v>2800</v>
      </c>
      <c r="M49" s="250">
        <v>2800</v>
      </c>
      <c r="N49" s="239">
        <v>50</v>
      </c>
      <c r="O49" s="240">
        <v>120</v>
      </c>
      <c r="P49" s="240">
        <v>6820</v>
      </c>
      <c r="Q49" s="241">
        <v>6820</v>
      </c>
      <c r="R49" s="239">
        <v>5500</v>
      </c>
      <c r="S49" s="240">
        <v>5500</v>
      </c>
      <c r="T49" s="240">
        <v>5500</v>
      </c>
      <c r="U49" s="241">
        <v>5500</v>
      </c>
      <c r="V49" s="239">
        <v>0</v>
      </c>
      <c r="W49" s="240">
        <v>600</v>
      </c>
      <c r="X49" s="240">
        <v>600</v>
      </c>
      <c r="Y49" s="241">
        <v>1200</v>
      </c>
      <c r="Z49" s="240">
        <v>0</v>
      </c>
      <c r="AA49" s="240">
        <v>18.100000000000001</v>
      </c>
      <c r="AB49" s="597">
        <v>635.29999999999995</v>
      </c>
      <c r="AC49" s="241">
        <v>635.29999999999995</v>
      </c>
      <c r="AD49" s="597">
        <v>0</v>
      </c>
      <c r="AE49" s="597"/>
      <c r="AF49" s="597"/>
      <c r="AG49" s="241"/>
      <c r="AI49" s="239">
        <v>0</v>
      </c>
      <c r="AJ49" s="597"/>
      <c r="AK49" s="597"/>
      <c r="AL49" s="241"/>
      <c r="AN49" s="249"/>
    </row>
    <row r="50" spans="1:40" s="10" customFormat="1" ht="20.100000000000001" customHeight="1">
      <c r="A50" s="220" t="s">
        <v>196</v>
      </c>
      <c r="B50" s="254">
        <v>0</v>
      </c>
      <c r="C50" s="254">
        <v>0</v>
      </c>
      <c r="D50" s="254">
        <v>0</v>
      </c>
      <c r="E50" s="255">
        <v>0</v>
      </c>
      <c r="F50" s="256">
        <v>0</v>
      </c>
      <c r="G50" s="254">
        <v>0</v>
      </c>
      <c r="H50" s="254">
        <v>0</v>
      </c>
      <c r="I50" s="255">
        <v>0</v>
      </c>
      <c r="J50" s="257">
        <v>0</v>
      </c>
      <c r="K50" s="249">
        <v>-2275.9</v>
      </c>
      <c r="L50" s="249">
        <v>-2275.9</v>
      </c>
      <c r="M50" s="250">
        <v>-2275.9</v>
      </c>
      <c r="N50" s="239">
        <v>0</v>
      </c>
      <c r="O50" s="240">
        <v>0</v>
      </c>
      <c r="P50" s="240">
        <v>1000</v>
      </c>
      <c r="Q50" s="241">
        <v>1000</v>
      </c>
      <c r="R50" s="239">
        <v>-4483.8</v>
      </c>
      <c r="S50" s="240">
        <v>-4483.8</v>
      </c>
      <c r="T50" s="240">
        <v>-4483.8</v>
      </c>
      <c r="U50" s="241">
        <v>-4484</v>
      </c>
      <c r="V50" s="239">
        <v>0</v>
      </c>
      <c r="W50" s="240">
        <v>-886.7</v>
      </c>
      <c r="X50" s="240">
        <v>-886.7</v>
      </c>
      <c r="Y50" s="241">
        <v>-886.7</v>
      </c>
      <c r="Z50" s="240">
        <v>0</v>
      </c>
      <c r="AA50" s="240">
        <v>0</v>
      </c>
      <c r="AB50" s="597">
        <v>0</v>
      </c>
      <c r="AC50" s="241">
        <v>0</v>
      </c>
      <c r="AD50" s="597">
        <v>0</v>
      </c>
      <c r="AE50" s="597"/>
      <c r="AF50" s="597"/>
      <c r="AG50" s="241"/>
      <c r="AI50" s="239">
        <v>0</v>
      </c>
      <c r="AJ50" s="597"/>
      <c r="AK50" s="597"/>
      <c r="AL50" s="241"/>
      <c r="AN50" s="249"/>
    </row>
    <row r="51" spans="1:40" s="10" customFormat="1" ht="20.100000000000001" customHeight="1">
      <c r="A51" s="220" t="s">
        <v>235</v>
      </c>
      <c r="B51" s="254"/>
      <c r="C51" s="254"/>
      <c r="D51" s="254"/>
      <c r="E51" s="255"/>
      <c r="F51" s="256"/>
      <c r="G51" s="254"/>
      <c r="H51" s="254"/>
      <c r="I51" s="255"/>
      <c r="J51" s="257"/>
      <c r="K51" s="249"/>
      <c r="L51" s="249"/>
      <c r="M51" s="250"/>
      <c r="N51" s="239"/>
      <c r="O51" s="240"/>
      <c r="P51" s="240"/>
      <c r="Q51" s="241"/>
      <c r="R51" s="239">
        <v>-262.10000000000002</v>
      </c>
      <c r="S51" s="240">
        <v>-262.10000000000002</v>
      </c>
      <c r="T51" s="240">
        <v>-262.10000000000002</v>
      </c>
      <c r="U51" s="241">
        <v>-262.10000000000002</v>
      </c>
      <c r="V51" s="239">
        <v>0</v>
      </c>
      <c r="W51" s="240">
        <v>-58.7</v>
      </c>
      <c r="X51" s="240">
        <v>-58.7</v>
      </c>
      <c r="Y51" s="241">
        <v>-58.7</v>
      </c>
      <c r="Z51" s="240">
        <v>0</v>
      </c>
      <c r="AA51" s="240">
        <v>0</v>
      </c>
      <c r="AB51" s="597">
        <v>0</v>
      </c>
      <c r="AC51" s="241">
        <v>0</v>
      </c>
      <c r="AD51" s="597">
        <v>0</v>
      </c>
      <c r="AE51" s="597"/>
      <c r="AF51" s="597"/>
      <c r="AG51" s="241"/>
      <c r="AI51" s="239">
        <v>0</v>
      </c>
      <c r="AJ51" s="597"/>
      <c r="AK51" s="597"/>
      <c r="AL51" s="241"/>
      <c r="AN51" s="249"/>
    </row>
    <row r="52" spans="1:40" s="10" customFormat="1" ht="20.100000000000001" customHeight="1">
      <c r="A52" s="220" t="s">
        <v>174</v>
      </c>
      <c r="B52" s="254"/>
      <c r="C52" s="254"/>
      <c r="D52" s="254"/>
      <c r="E52" s="255"/>
      <c r="F52" s="256"/>
      <c r="G52" s="254"/>
      <c r="H52" s="254"/>
      <c r="I52" s="255"/>
      <c r="J52" s="257"/>
      <c r="K52" s="249"/>
      <c r="L52" s="249"/>
      <c r="M52" s="250"/>
      <c r="N52" s="239"/>
      <c r="O52" s="240"/>
      <c r="P52" s="240"/>
      <c r="Q52" s="241"/>
      <c r="R52" s="239">
        <v>175.4</v>
      </c>
      <c r="S52" s="240">
        <v>175.4</v>
      </c>
      <c r="T52" s="240">
        <v>175.4</v>
      </c>
      <c r="U52" s="241">
        <v>175.4</v>
      </c>
      <c r="V52" s="239">
        <v>0</v>
      </c>
      <c r="W52" s="240">
        <v>0</v>
      </c>
      <c r="X52" s="240">
        <v>0</v>
      </c>
      <c r="Y52" s="241">
        <v>0</v>
      </c>
      <c r="Z52" s="240">
        <v>0</v>
      </c>
      <c r="AA52" s="240">
        <v>0</v>
      </c>
      <c r="AB52" s="597">
        <v>0</v>
      </c>
      <c r="AC52" s="241">
        <v>0</v>
      </c>
      <c r="AD52" s="597">
        <v>0</v>
      </c>
      <c r="AE52" s="597"/>
      <c r="AF52" s="597"/>
      <c r="AG52" s="241"/>
      <c r="AI52" s="239">
        <v>0</v>
      </c>
      <c r="AJ52" s="597"/>
      <c r="AK52" s="597"/>
      <c r="AL52" s="241"/>
      <c r="AN52" s="249"/>
    </row>
    <row r="53" spans="1:40" s="10" customFormat="1" ht="27.75">
      <c r="A53" s="221" t="s">
        <v>197</v>
      </c>
      <c r="B53" s="240">
        <v>-26.132999999999999</v>
      </c>
      <c r="C53" s="240">
        <f>(-103258-821)*0.001</f>
        <v>-104.07900000000001</v>
      </c>
      <c r="D53" s="240">
        <f>(-125824-2250)*0.001</f>
        <v>-128.07400000000001</v>
      </c>
      <c r="E53" s="309">
        <f>(-195934-3683)*0.001</f>
        <v>-199.61699999999999</v>
      </c>
      <c r="F53" s="239">
        <f>(-15811-1035)*0.001</f>
        <v>-16.846</v>
      </c>
      <c r="G53" s="240">
        <f>(-84439-1241)*0.001</f>
        <v>-85.68</v>
      </c>
      <c r="H53" s="240">
        <f>(-96215-1689)*0.001</f>
        <v>-97.903999999999996</v>
      </c>
      <c r="I53" s="309">
        <v>-165.017</v>
      </c>
      <c r="J53" s="249">
        <v>-9.0950000000000006</v>
      </c>
      <c r="K53" s="249">
        <v>-348.3</v>
      </c>
      <c r="L53" s="249">
        <v>-733.5</v>
      </c>
      <c r="M53" s="250">
        <v>-872.2</v>
      </c>
      <c r="N53" s="239">
        <v>-357.9</v>
      </c>
      <c r="O53" s="240">
        <v>-472.3</v>
      </c>
      <c r="P53" s="240">
        <v>-804.1</v>
      </c>
      <c r="Q53" s="241">
        <v>-978.9</v>
      </c>
      <c r="R53" s="239">
        <v>-383.2</v>
      </c>
      <c r="S53" s="240">
        <v>-507.9</v>
      </c>
      <c r="T53" s="240">
        <v>-631.70000000000005</v>
      </c>
      <c r="U53" s="241">
        <v>-729.6</v>
      </c>
      <c r="V53" s="239">
        <v>-112.5</v>
      </c>
      <c r="W53" s="240">
        <v>-206</v>
      </c>
      <c r="X53" s="240">
        <v>-319.60000000000002</v>
      </c>
      <c r="Y53" s="241">
        <v>-409.9</v>
      </c>
      <c r="Z53" s="240">
        <v>-138</v>
      </c>
      <c r="AA53" s="240">
        <v>-230.9</v>
      </c>
      <c r="AB53" s="597">
        <v>-342.8</v>
      </c>
      <c r="AC53" s="241">
        <v>-419</v>
      </c>
      <c r="AD53" s="597">
        <v>-107.1</v>
      </c>
      <c r="AE53" s="650"/>
      <c r="AF53" s="597"/>
      <c r="AG53" s="241"/>
      <c r="AI53" s="239">
        <v>-107.1</v>
      </c>
      <c r="AJ53" s="650"/>
      <c r="AK53" s="597"/>
      <c r="AL53" s="241"/>
      <c r="AN53" s="249"/>
    </row>
    <row r="54" spans="1:40" s="10" customFormat="1" ht="15">
      <c r="A54" s="221" t="s">
        <v>308</v>
      </c>
      <c r="B54" s="597"/>
      <c r="C54" s="597"/>
      <c r="D54" s="597"/>
      <c r="E54" s="309"/>
      <c r="F54" s="239"/>
      <c r="G54" s="597"/>
      <c r="H54" s="597"/>
      <c r="I54" s="309"/>
      <c r="J54" s="249"/>
      <c r="K54" s="249"/>
      <c r="L54" s="249"/>
      <c r="M54" s="250"/>
      <c r="N54" s="239"/>
      <c r="O54" s="597"/>
      <c r="P54" s="597"/>
      <c r="Q54" s="241"/>
      <c r="R54" s="239"/>
      <c r="S54" s="597"/>
      <c r="T54" s="597"/>
      <c r="U54" s="241"/>
      <c r="V54" s="239"/>
      <c r="W54" s="597"/>
      <c r="X54" s="597"/>
      <c r="Y54" s="241"/>
      <c r="Z54" s="597"/>
      <c r="AA54" s="597"/>
      <c r="AB54" s="597"/>
      <c r="AC54" s="241"/>
      <c r="AD54" s="597">
        <v>-0.2</v>
      </c>
      <c r="AE54" s="650"/>
      <c r="AF54" s="597"/>
      <c r="AG54" s="241"/>
      <c r="AI54" s="239">
        <v>-7.8</v>
      </c>
      <c r="AJ54" s="650"/>
      <c r="AK54" s="597"/>
      <c r="AL54" s="241"/>
      <c r="AN54" s="249"/>
    </row>
    <row r="55" spans="1:40" s="10" customFormat="1" ht="15">
      <c r="A55" s="221" t="s">
        <v>309</v>
      </c>
      <c r="B55" s="597"/>
      <c r="C55" s="597"/>
      <c r="D55" s="597"/>
      <c r="E55" s="309"/>
      <c r="F55" s="239"/>
      <c r="G55" s="597"/>
      <c r="H55" s="597"/>
      <c r="I55" s="309"/>
      <c r="J55" s="249"/>
      <c r="K55" s="249"/>
      <c r="L55" s="249"/>
      <c r="M55" s="250"/>
      <c r="N55" s="239"/>
      <c r="O55" s="597"/>
      <c r="P55" s="597"/>
      <c r="Q55" s="241"/>
      <c r="R55" s="239"/>
      <c r="S55" s="597"/>
      <c r="T55" s="597"/>
      <c r="U55" s="241"/>
      <c r="V55" s="239"/>
      <c r="W55" s="597"/>
      <c r="X55" s="597"/>
      <c r="Y55" s="241"/>
      <c r="Z55" s="597"/>
      <c r="AA55" s="597"/>
      <c r="AB55" s="597"/>
      <c r="AC55" s="241"/>
      <c r="AD55" s="597">
        <v>-3.1</v>
      </c>
      <c r="AE55" s="650"/>
      <c r="AF55" s="597"/>
      <c r="AG55" s="241"/>
      <c r="AI55" s="239">
        <v>-54.5</v>
      </c>
      <c r="AJ55" s="650"/>
      <c r="AK55" s="597"/>
      <c r="AL55" s="241"/>
      <c r="AN55" s="249"/>
    </row>
    <row r="56" spans="1:40" s="10" customFormat="1" ht="20.100000000000001" customHeight="1">
      <c r="A56" s="220" t="s">
        <v>215</v>
      </c>
      <c r="B56" s="254">
        <v>0</v>
      </c>
      <c r="C56" s="254">
        <v>0</v>
      </c>
      <c r="D56" s="254">
        <v>0</v>
      </c>
      <c r="E56" s="255">
        <v>0</v>
      </c>
      <c r="F56" s="256">
        <v>0</v>
      </c>
      <c r="G56" s="254">
        <v>0</v>
      </c>
      <c r="H56" s="254">
        <v>0</v>
      </c>
      <c r="I56" s="255">
        <v>0</v>
      </c>
      <c r="J56" s="257">
        <v>0</v>
      </c>
      <c r="K56" s="249">
        <v>-102.9</v>
      </c>
      <c r="L56" s="249">
        <v>-102.9</v>
      </c>
      <c r="M56" s="250">
        <v>-102.9</v>
      </c>
      <c r="N56" s="239">
        <v>0</v>
      </c>
      <c r="O56" s="240">
        <v>0</v>
      </c>
      <c r="P56" s="240">
        <v>0</v>
      </c>
      <c r="Q56" s="241">
        <v>0</v>
      </c>
      <c r="R56" s="239">
        <v>0</v>
      </c>
      <c r="S56" s="240">
        <v>0</v>
      </c>
      <c r="T56" s="240">
        <v>0</v>
      </c>
      <c r="U56" s="241">
        <v>0</v>
      </c>
      <c r="V56" s="239">
        <v>0</v>
      </c>
      <c r="W56" s="240">
        <v>0</v>
      </c>
      <c r="X56" s="240">
        <v>-204.7</v>
      </c>
      <c r="Y56" s="241">
        <v>-204.7</v>
      </c>
      <c r="Z56" s="240">
        <v>0</v>
      </c>
      <c r="AA56" s="240">
        <v>0</v>
      </c>
      <c r="AB56" s="597">
        <v>0</v>
      </c>
      <c r="AC56" s="241">
        <v>0</v>
      </c>
      <c r="AD56" s="597">
        <v>0</v>
      </c>
      <c r="AE56" s="597"/>
      <c r="AF56" s="597"/>
      <c r="AG56" s="241"/>
      <c r="AI56" s="239">
        <v>0</v>
      </c>
      <c r="AJ56" s="597"/>
      <c r="AK56" s="597"/>
      <c r="AL56" s="241"/>
      <c r="AN56" s="249"/>
    </row>
    <row r="57" spans="1:40" s="378" customFormat="1" ht="20.100000000000001" customHeight="1">
      <c r="A57" s="423" t="s">
        <v>231</v>
      </c>
      <c r="B57" s="427"/>
      <c r="C57" s="427"/>
      <c r="D57" s="427"/>
      <c r="E57" s="428"/>
      <c r="F57" s="429"/>
      <c r="G57" s="427"/>
      <c r="H57" s="427"/>
      <c r="I57" s="428"/>
      <c r="J57" s="432"/>
      <c r="K57" s="426"/>
      <c r="L57" s="426"/>
      <c r="M57" s="250"/>
      <c r="N57" s="425"/>
      <c r="O57" s="259"/>
      <c r="P57" s="259"/>
      <c r="Q57" s="241"/>
      <c r="R57" s="425"/>
      <c r="S57" s="259">
        <v>-323.60000000000002</v>
      </c>
      <c r="T57" s="259">
        <v>-323.60000000000002</v>
      </c>
      <c r="U57" s="241">
        <v>-323.60000000000002</v>
      </c>
      <c r="V57" s="425">
        <v>0</v>
      </c>
      <c r="W57" s="259">
        <v>0</v>
      </c>
      <c r="X57" s="259">
        <v>0</v>
      </c>
      <c r="Y57" s="241">
        <v>0</v>
      </c>
      <c r="Z57" s="259">
        <v>0</v>
      </c>
      <c r="AA57" s="259">
        <v>0</v>
      </c>
      <c r="AB57" s="601">
        <v>0</v>
      </c>
      <c r="AC57" s="241">
        <v>0</v>
      </c>
      <c r="AD57" s="597">
        <v>0</v>
      </c>
      <c r="AE57" s="601"/>
      <c r="AF57" s="601"/>
      <c r="AG57" s="241"/>
      <c r="AI57" s="425">
        <v>0</v>
      </c>
      <c r="AJ57" s="601"/>
      <c r="AK57" s="601"/>
      <c r="AL57" s="241"/>
      <c r="AN57" s="249"/>
    </row>
    <row r="58" spans="1:40" s="10" customFormat="1" ht="20.100000000000001" customHeight="1">
      <c r="A58" s="220" t="s">
        <v>208</v>
      </c>
      <c r="B58" s="240">
        <v>-8.4000000000000005E-2</v>
      </c>
      <c r="C58" s="240">
        <v>-0.23899999999999999</v>
      </c>
      <c r="D58" s="240">
        <v>-0.315</v>
      </c>
      <c r="E58" s="309">
        <v>-0.40600000000000003</v>
      </c>
      <c r="F58" s="239">
        <v>-7.8E-2</v>
      </c>
      <c r="G58" s="240">
        <v>-0.16800000000000001</v>
      </c>
      <c r="H58" s="240">
        <v>-0.25600000000000001</v>
      </c>
      <c r="I58" s="309">
        <v>-0.33</v>
      </c>
      <c r="J58" s="249">
        <v>-6.2E-2</v>
      </c>
      <c r="K58" s="249">
        <v>-0.3</v>
      </c>
      <c r="L58" s="249">
        <v>-0.7</v>
      </c>
      <c r="M58" s="250">
        <v>-0.9</v>
      </c>
      <c r="N58" s="239">
        <v>-2.5</v>
      </c>
      <c r="O58" s="240">
        <v>-3.5</v>
      </c>
      <c r="P58" s="240">
        <v>-4.5</v>
      </c>
      <c r="Q58" s="241">
        <v>-5.6</v>
      </c>
      <c r="R58" s="239">
        <v>-2.1</v>
      </c>
      <c r="S58" s="240">
        <v>-2.7</v>
      </c>
      <c r="T58" s="240">
        <v>-4.4000000000000004</v>
      </c>
      <c r="U58" s="241">
        <v>-6</v>
      </c>
      <c r="V58" s="239">
        <f>-0.3-1.4</f>
        <v>-1.7</v>
      </c>
      <c r="W58" s="240">
        <v>-2.9</v>
      </c>
      <c r="X58" s="240">
        <v>-4.3</v>
      </c>
      <c r="Y58" s="241">
        <v>-5.2</v>
      </c>
      <c r="Z58" s="240">
        <v>-1.6</v>
      </c>
      <c r="AA58" s="240">
        <v>-3.4</v>
      </c>
      <c r="AB58" s="597">
        <v>-4.8</v>
      </c>
      <c r="AC58" s="241">
        <v>-8.4</v>
      </c>
      <c r="AD58" s="597">
        <v>-0.6</v>
      </c>
      <c r="AE58" s="650"/>
      <c r="AF58" s="597"/>
      <c r="AG58" s="241"/>
      <c r="AI58" s="239">
        <v>-0.6</v>
      </c>
      <c r="AJ58" s="650"/>
      <c r="AK58" s="597"/>
      <c r="AL58" s="241"/>
      <c r="AN58" s="249"/>
    </row>
    <row r="59" spans="1:40" s="10" customFormat="1" ht="20.100000000000001" customHeight="1" thickBot="1">
      <c r="A59" s="220" t="s">
        <v>92</v>
      </c>
      <c r="B59" s="258">
        <v>0</v>
      </c>
      <c r="C59" s="258">
        <v>0</v>
      </c>
      <c r="D59" s="258">
        <v>0</v>
      </c>
      <c r="E59" s="255">
        <v>0</v>
      </c>
      <c r="F59" s="256">
        <v>0</v>
      </c>
      <c r="G59" s="254">
        <v>0</v>
      </c>
      <c r="H59" s="254">
        <v>0</v>
      </c>
      <c r="I59" s="255">
        <v>0</v>
      </c>
      <c r="J59" s="257">
        <v>0</v>
      </c>
      <c r="K59" s="249">
        <v>-3.8</v>
      </c>
      <c r="L59" s="249">
        <v>-3.9</v>
      </c>
      <c r="M59" s="250">
        <v>-3.9</v>
      </c>
      <c r="N59" s="239">
        <v>0</v>
      </c>
      <c r="O59" s="240">
        <v>0</v>
      </c>
      <c r="P59" s="240">
        <v>0</v>
      </c>
      <c r="Q59" s="241">
        <v>0</v>
      </c>
      <c r="R59" s="239">
        <v>0</v>
      </c>
      <c r="S59" s="240">
        <v>0</v>
      </c>
      <c r="T59" s="240">
        <v>0</v>
      </c>
      <c r="U59" s="241">
        <v>0</v>
      </c>
      <c r="V59" s="239">
        <v>0</v>
      </c>
      <c r="W59" s="240">
        <v>0</v>
      </c>
      <c r="X59" s="240">
        <v>0</v>
      </c>
      <c r="Y59" s="241">
        <v>0</v>
      </c>
      <c r="Z59" s="240">
        <v>0</v>
      </c>
      <c r="AA59" s="240">
        <v>0</v>
      </c>
      <c r="AB59" s="597">
        <v>0</v>
      </c>
      <c r="AC59" s="241">
        <v>0</v>
      </c>
      <c r="AD59" s="597">
        <v>0</v>
      </c>
      <c r="AE59" s="597"/>
      <c r="AF59" s="597"/>
      <c r="AG59" s="241"/>
      <c r="AI59" s="239">
        <v>0</v>
      </c>
      <c r="AJ59" s="597"/>
      <c r="AK59" s="597"/>
      <c r="AL59" s="241"/>
      <c r="AN59" s="249"/>
    </row>
    <row r="60" spans="1:40" s="10" customFormat="1" ht="20.100000000000001" customHeight="1" thickBot="1">
      <c r="A60" s="13" t="s">
        <v>68</v>
      </c>
      <c r="B60" s="243">
        <f t="shared" ref="B60:W60" si="17">SUM(B48:B59)</f>
        <v>-52.972000000000001</v>
      </c>
      <c r="C60" s="243">
        <f t="shared" si="17"/>
        <v>-260.08099999999996</v>
      </c>
      <c r="D60" s="243">
        <f t="shared" si="17"/>
        <v>-525.96400000000006</v>
      </c>
      <c r="E60" s="232">
        <f t="shared" si="17"/>
        <v>-653.34699999999998</v>
      </c>
      <c r="F60" s="242">
        <f t="shared" si="17"/>
        <v>-66.737000000000009</v>
      </c>
      <c r="G60" s="243">
        <f t="shared" si="17"/>
        <v>-278.43799999999999</v>
      </c>
      <c r="H60" s="243">
        <f t="shared" si="17"/>
        <v>-464.322</v>
      </c>
      <c r="I60" s="232">
        <f t="shared" si="17"/>
        <v>-596.46400000000006</v>
      </c>
      <c r="J60" s="242">
        <f t="shared" si="17"/>
        <v>-46.550999999999995</v>
      </c>
      <c r="K60" s="243">
        <f t="shared" si="17"/>
        <v>-478.30000000000007</v>
      </c>
      <c r="L60" s="243">
        <f t="shared" si="17"/>
        <v>-1064.0000000000002</v>
      </c>
      <c r="M60" s="251">
        <f t="shared" si="17"/>
        <v>-1542.9000000000003</v>
      </c>
      <c r="N60" s="242">
        <f t="shared" si="17"/>
        <v>-467.4</v>
      </c>
      <c r="O60" s="243">
        <f t="shared" si="17"/>
        <v>-1310</v>
      </c>
      <c r="P60" s="243">
        <f t="shared" si="17"/>
        <v>-2210.8000000000006</v>
      </c>
      <c r="Q60" s="244">
        <f t="shared" si="17"/>
        <v>-2386.7000000000007</v>
      </c>
      <c r="R60" s="242">
        <f t="shared" si="17"/>
        <v>-371.90000000000055</v>
      </c>
      <c r="S60" s="243">
        <f t="shared" si="17"/>
        <v>-1403.6000000000001</v>
      </c>
      <c r="T60" s="243">
        <f t="shared" si="17"/>
        <v>-1737.1000000000004</v>
      </c>
      <c r="U60" s="244">
        <f t="shared" si="17"/>
        <v>-2070.8000000000002</v>
      </c>
      <c r="V60" s="242">
        <f t="shared" si="17"/>
        <v>-348.2</v>
      </c>
      <c r="W60" s="243">
        <f t="shared" si="17"/>
        <v>-1122.3000000000002</v>
      </c>
      <c r="X60" s="243">
        <f>SUM(X48:X59)</f>
        <v>-1676</v>
      </c>
      <c r="Y60" s="232">
        <f>SUM(Y48:Y59)</f>
        <v>-1527.7000000000003</v>
      </c>
      <c r="Z60" s="243">
        <f t="shared" ref="Z60:AC60" si="18">SUM(Z48:Z59)</f>
        <v>-689.6</v>
      </c>
      <c r="AA60" s="243">
        <f t="shared" si="18"/>
        <v>-868.19999999999993</v>
      </c>
      <c r="AB60" s="598">
        <f t="shared" ref="AB60" si="19">SUM(AB48:AB59)</f>
        <v>-790.09999999999991</v>
      </c>
      <c r="AC60" s="244">
        <f t="shared" si="18"/>
        <v>-1074.3000000000002</v>
      </c>
      <c r="AD60" s="598">
        <f t="shared" ref="AD60:AG60" si="20">SUM(AD48:AD59)</f>
        <v>-695.40000000000009</v>
      </c>
      <c r="AE60" s="598">
        <f t="shared" si="20"/>
        <v>0</v>
      </c>
      <c r="AF60" s="598">
        <f>SUM(AF48:AF59)</f>
        <v>0</v>
      </c>
      <c r="AG60" s="244">
        <f t="shared" si="20"/>
        <v>0</v>
      </c>
      <c r="AI60" s="242">
        <f t="shared" ref="AI60:AJ60" si="21">SUM(AI48:AI59)</f>
        <v>-754.4</v>
      </c>
      <c r="AJ60" s="598">
        <f t="shared" si="21"/>
        <v>0</v>
      </c>
      <c r="AK60" s="598">
        <f>SUM(AK48:AK59)</f>
        <v>0</v>
      </c>
      <c r="AL60" s="244">
        <f t="shared" ref="AL60" si="22">SUM(AL48:AL59)</f>
        <v>0</v>
      </c>
      <c r="AN60" s="249"/>
    </row>
    <row r="61" spans="1:40" s="11" customFormat="1" ht="20.100000000000001" customHeight="1" thickBot="1">
      <c r="A61" s="13" t="s">
        <v>40</v>
      </c>
      <c r="B61" s="243">
        <f>B31+B47+B60</f>
        <v>146.86399999999998</v>
      </c>
      <c r="C61" s="243">
        <f t="shared" ref="C61:W61" si="23">C60+C47+C31</f>
        <v>33.256000000000029</v>
      </c>
      <c r="D61" s="243">
        <f t="shared" si="23"/>
        <v>-51.083999999999946</v>
      </c>
      <c r="E61" s="232">
        <f t="shared" si="23"/>
        <v>-5.4109999999999445</v>
      </c>
      <c r="F61" s="242">
        <f t="shared" si="23"/>
        <v>53.822999999999979</v>
      </c>
      <c r="G61" s="243">
        <f t="shared" si="23"/>
        <v>-5.0790000000000077</v>
      </c>
      <c r="H61" s="243">
        <f t="shared" si="23"/>
        <v>-55.118000000000166</v>
      </c>
      <c r="I61" s="232">
        <f t="shared" si="23"/>
        <v>72.357999999999834</v>
      </c>
      <c r="J61" s="243">
        <f t="shared" si="23"/>
        <v>85.956000000000017</v>
      </c>
      <c r="K61" s="243">
        <f t="shared" si="23"/>
        <v>1565.3999999999999</v>
      </c>
      <c r="L61" s="243">
        <f t="shared" si="23"/>
        <v>1300.0999999999999</v>
      </c>
      <c r="M61" s="251">
        <f t="shared" si="23"/>
        <v>1403.7999999999997</v>
      </c>
      <c r="N61" s="242">
        <f t="shared" si="23"/>
        <v>-257.89999999999981</v>
      </c>
      <c r="O61" s="243">
        <f t="shared" si="23"/>
        <v>-353.30000000000041</v>
      </c>
      <c r="P61" s="243">
        <f t="shared" si="23"/>
        <v>-677.30000000000109</v>
      </c>
      <c r="Q61" s="244">
        <f t="shared" si="23"/>
        <v>-225.60000000000127</v>
      </c>
      <c r="R61" s="242">
        <f t="shared" si="23"/>
        <v>49.999999999999602</v>
      </c>
      <c r="S61" s="243">
        <f t="shared" si="23"/>
        <v>-568.70000000000005</v>
      </c>
      <c r="T61" s="243">
        <f t="shared" si="23"/>
        <v>-411.39999999999918</v>
      </c>
      <c r="U61" s="244">
        <f t="shared" si="23"/>
        <v>-189.5</v>
      </c>
      <c r="V61" s="242">
        <f t="shared" si="23"/>
        <v>244.3000000000003</v>
      </c>
      <c r="W61" s="243">
        <f t="shared" si="23"/>
        <v>29.599999999999909</v>
      </c>
      <c r="X61" s="243">
        <f t="shared" ref="X61:Y61" si="24">X60+X47+X31</f>
        <v>-245.50000000000045</v>
      </c>
      <c r="Y61" s="232">
        <f t="shared" si="24"/>
        <v>-159.59999999999945</v>
      </c>
      <c r="Z61" s="243">
        <f>Z60+Z47+Z31</f>
        <v>-374.99999999999989</v>
      </c>
      <c r="AA61" s="243">
        <f>AA60+AA47+AA31</f>
        <v>-285.70000000000005</v>
      </c>
      <c r="AB61" s="598">
        <f>AB60+AB47+AB31</f>
        <v>-11.199999999999818</v>
      </c>
      <c r="AC61" s="244">
        <f>AC60+AC47+AC31</f>
        <v>5.2999999999997272</v>
      </c>
      <c r="AD61" s="598">
        <f t="shared" ref="AD61" si="25">AD60+AD47+AD31</f>
        <v>-420.69999999999993</v>
      </c>
      <c r="AE61" s="652">
        <v>0</v>
      </c>
      <c r="AF61" s="598">
        <v>0</v>
      </c>
      <c r="AG61" s="244">
        <v>0</v>
      </c>
      <c r="AI61" s="242">
        <f t="shared" ref="AI61" si="26">AI60+AI47+AI31</f>
        <v>-420.69999999999993</v>
      </c>
      <c r="AJ61" s="652">
        <v>0</v>
      </c>
      <c r="AK61" s="598">
        <v>0</v>
      </c>
      <c r="AL61" s="244">
        <v>0</v>
      </c>
      <c r="AN61" s="249"/>
    </row>
    <row r="62" spans="1:40" s="11" customFormat="1" ht="20.100000000000001" customHeight="1">
      <c r="A62" s="222" t="s">
        <v>41</v>
      </c>
      <c r="B62" s="246">
        <v>277.53399999999999</v>
      </c>
      <c r="C62" s="246">
        <v>277.53399999999999</v>
      </c>
      <c r="D62" s="246">
        <v>277.53399999999999</v>
      </c>
      <c r="E62" s="310">
        <v>277.53399999999999</v>
      </c>
      <c r="F62" s="245">
        <v>270.35399999999998</v>
      </c>
      <c r="G62" s="246">
        <v>270.35399999999998</v>
      </c>
      <c r="H62" s="246">
        <v>270.35399999999998</v>
      </c>
      <c r="I62" s="310">
        <v>270.35399999999998</v>
      </c>
      <c r="J62" s="246">
        <v>342.25100000000003</v>
      </c>
      <c r="K62" s="246">
        <v>342.2</v>
      </c>
      <c r="L62" s="246">
        <v>342.2</v>
      </c>
      <c r="M62" s="252">
        <v>342.2</v>
      </c>
      <c r="N62" s="245">
        <v>1747.9</v>
      </c>
      <c r="O62" s="246">
        <v>1747.9</v>
      </c>
      <c r="P62" s="246">
        <v>1747.9</v>
      </c>
      <c r="Q62" s="247">
        <v>1747.9</v>
      </c>
      <c r="R62" s="245">
        <f>$Q$64</f>
        <v>1523.6999999999989</v>
      </c>
      <c r="S62" s="246">
        <f t="shared" ref="S62:U62" si="27">$Q$64</f>
        <v>1523.6999999999989</v>
      </c>
      <c r="T62" s="246">
        <f t="shared" si="27"/>
        <v>1523.6999999999989</v>
      </c>
      <c r="U62" s="247">
        <f t="shared" si="27"/>
        <v>1523.6999999999989</v>
      </c>
      <c r="V62" s="245">
        <f>U64</f>
        <v>1336.6999999999989</v>
      </c>
      <c r="W62" s="246">
        <f>U64</f>
        <v>1336.6999999999989</v>
      </c>
      <c r="X62" s="246">
        <f>U64</f>
        <v>1336.6999999999989</v>
      </c>
      <c r="Y62" s="247">
        <f>X62</f>
        <v>1336.6999999999989</v>
      </c>
      <c r="Z62" s="246">
        <f>Y64</f>
        <v>1171.9999999999995</v>
      </c>
      <c r="AA62" s="246">
        <f>Y64</f>
        <v>1171.9999999999995</v>
      </c>
      <c r="AB62" s="599">
        <f>Y64</f>
        <v>1171.9999999999995</v>
      </c>
      <c r="AC62" s="247">
        <f>AB62</f>
        <v>1171.9999999999995</v>
      </c>
      <c r="AD62" s="599">
        <v>1178.7</v>
      </c>
      <c r="AE62" s="599">
        <f>AD64</f>
        <v>757.00000000000011</v>
      </c>
      <c r="AF62" s="599">
        <f t="shared" ref="AF62:AG62" si="28">AE64</f>
        <v>757.00000000000011</v>
      </c>
      <c r="AG62" s="247">
        <f t="shared" si="28"/>
        <v>757.00000000000011</v>
      </c>
      <c r="AI62" s="245">
        <v>1178.7</v>
      </c>
      <c r="AJ62" s="599">
        <f>AI64</f>
        <v>757.00000000000011</v>
      </c>
      <c r="AK62" s="599">
        <f t="shared" ref="AK62" si="29">AJ64</f>
        <v>757.00000000000011</v>
      </c>
      <c r="AL62" s="247">
        <f t="shared" ref="AL62" si="30">AK64</f>
        <v>757.00000000000011</v>
      </c>
      <c r="AN62" s="249"/>
    </row>
    <row r="63" spans="1:40" s="10" customFormat="1" ht="20.100000000000001" customHeight="1" thickBot="1">
      <c r="A63" s="220" t="s">
        <v>42</v>
      </c>
      <c r="B63" s="240">
        <v>-2.5009999999999999</v>
      </c>
      <c r="C63" s="240">
        <v>-1.2710000000000001</v>
      </c>
      <c r="D63" s="240">
        <v>-1.339</v>
      </c>
      <c r="E63" s="309">
        <v>-1.7690000000000001</v>
      </c>
      <c r="F63" s="239">
        <v>0.161</v>
      </c>
      <c r="G63" s="240">
        <v>0.52800000000000002</v>
      </c>
      <c r="H63" s="240">
        <v>0.16</v>
      </c>
      <c r="I63" s="309">
        <v>-0.46100000000000002</v>
      </c>
      <c r="J63" s="249">
        <v>-1.7000000000000001E-2</v>
      </c>
      <c r="K63" s="249">
        <v>-0.7</v>
      </c>
      <c r="L63" s="249">
        <v>0.9</v>
      </c>
      <c r="M63" s="253">
        <v>1.9</v>
      </c>
      <c r="N63" s="239">
        <v>1.6</v>
      </c>
      <c r="O63" s="240">
        <v>2</v>
      </c>
      <c r="P63" s="240">
        <v>1.4</v>
      </c>
      <c r="Q63" s="241">
        <v>1.4</v>
      </c>
      <c r="R63" s="239">
        <v>-3.7</v>
      </c>
      <c r="S63" s="240">
        <v>0.4</v>
      </c>
      <c r="T63" s="240">
        <v>-2.1</v>
      </c>
      <c r="U63" s="241">
        <v>2.5</v>
      </c>
      <c r="V63" s="239">
        <v>-3.7</v>
      </c>
      <c r="W63" s="240">
        <v>-3.7</v>
      </c>
      <c r="X63" s="240">
        <v>-2.8</v>
      </c>
      <c r="Y63" s="241">
        <v>-5.0999999999999996</v>
      </c>
      <c r="Z63" s="240">
        <v>0.5</v>
      </c>
      <c r="AA63" s="240">
        <v>1.5</v>
      </c>
      <c r="AB63" s="597">
        <v>2.2999999999999998</v>
      </c>
      <c r="AC63" s="241">
        <v>1.4</v>
      </c>
      <c r="AD63" s="597">
        <v>-1</v>
      </c>
      <c r="AE63" s="597"/>
      <c r="AF63" s="597"/>
      <c r="AG63" s="241"/>
      <c r="AI63" s="674">
        <v>-1</v>
      </c>
      <c r="AJ63" s="597"/>
      <c r="AK63" s="597"/>
      <c r="AL63" s="241"/>
      <c r="AN63" s="249"/>
    </row>
    <row r="64" spans="1:40" s="10" customFormat="1" ht="13.5" thickBot="1">
      <c r="A64" s="13" t="s">
        <v>97</v>
      </c>
      <c r="B64" s="243">
        <f>B61+B62+B63</f>
        <v>421.89699999999999</v>
      </c>
      <c r="C64" s="243">
        <f t="shared" ref="C64:Q64" si="31">C62+C61+C63</f>
        <v>309.51900000000001</v>
      </c>
      <c r="D64" s="243">
        <f t="shared" si="31"/>
        <v>225.11100000000005</v>
      </c>
      <c r="E64" s="232">
        <f t="shared" si="31"/>
        <v>270.35400000000004</v>
      </c>
      <c r="F64" s="242">
        <f t="shared" si="31"/>
        <v>324.33799999999997</v>
      </c>
      <c r="G64" s="243">
        <f t="shared" si="31"/>
        <v>265.803</v>
      </c>
      <c r="H64" s="243">
        <f t="shared" si="31"/>
        <v>215.39599999999982</v>
      </c>
      <c r="I64" s="232">
        <f t="shared" si="31"/>
        <v>342.25099999999981</v>
      </c>
      <c r="J64" s="243">
        <f t="shared" si="31"/>
        <v>428.19000000000005</v>
      </c>
      <c r="K64" s="243">
        <f t="shared" si="31"/>
        <v>1906.8999999999999</v>
      </c>
      <c r="L64" s="243">
        <f t="shared" si="31"/>
        <v>1643.2</v>
      </c>
      <c r="M64" s="251">
        <f t="shared" si="31"/>
        <v>1747.8999999999999</v>
      </c>
      <c r="N64" s="242">
        <f t="shared" si="31"/>
        <v>1491.6000000000001</v>
      </c>
      <c r="O64" s="243">
        <f t="shared" si="31"/>
        <v>1396.5999999999997</v>
      </c>
      <c r="P64" s="243">
        <f t="shared" si="31"/>
        <v>1071.9999999999991</v>
      </c>
      <c r="Q64" s="232">
        <f t="shared" si="31"/>
        <v>1523.6999999999989</v>
      </c>
      <c r="R64" s="242">
        <f t="shared" ref="R64:Y64" si="32">R62+R61+R63</f>
        <v>1569.9999999999984</v>
      </c>
      <c r="S64" s="243">
        <f t="shared" si="32"/>
        <v>955.39999999999884</v>
      </c>
      <c r="T64" s="243">
        <f t="shared" si="32"/>
        <v>1110.1999999999998</v>
      </c>
      <c r="U64" s="232">
        <f t="shared" si="32"/>
        <v>1336.6999999999989</v>
      </c>
      <c r="V64" s="242">
        <f t="shared" si="32"/>
        <v>1577.299999999999</v>
      </c>
      <c r="W64" s="243">
        <f t="shared" si="32"/>
        <v>1362.5999999999988</v>
      </c>
      <c r="X64" s="243">
        <f t="shared" si="32"/>
        <v>1088.3999999999985</v>
      </c>
      <c r="Y64" s="232">
        <f t="shared" si="32"/>
        <v>1171.9999999999995</v>
      </c>
      <c r="Z64" s="243">
        <f t="shared" ref="Z64:AC64" si="33">Z62+Z61+Z63</f>
        <v>797.49999999999966</v>
      </c>
      <c r="AA64" s="243">
        <f t="shared" si="33"/>
        <v>887.7999999999995</v>
      </c>
      <c r="AB64" s="598">
        <f t="shared" si="33"/>
        <v>1163.0999999999997</v>
      </c>
      <c r="AC64" s="244">
        <f t="shared" si="33"/>
        <v>1178.6999999999994</v>
      </c>
      <c r="AD64" s="598">
        <f t="shared" ref="AD64:AG64" si="34">AD62+AD61+AD63</f>
        <v>757.00000000000011</v>
      </c>
      <c r="AE64" s="651">
        <f>AE62+AE61+AE63</f>
        <v>757.00000000000011</v>
      </c>
      <c r="AF64" s="598">
        <f t="shared" si="34"/>
        <v>757.00000000000011</v>
      </c>
      <c r="AG64" s="244">
        <f t="shared" si="34"/>
        <v>757.00000000000011</v>
      </c>
      <c r="AI64" s="242">
        <f t="shared" ref="AI64" si="35">AI62+AI61+AI63</f>
        <v>757.00000000000011</v>
      </c>
      <c r="AJ64" s="657">
        <f>AJ62+AJ61+AJ63</f>
        <v>757.00000000000011</v>
      </c>
      <c r="AK64" s="598">
        <f t="shared" ref="AK64:AL64" si="36">AK62+AK61+AK63</f>
        <v>757.00000000000011</v>
      </c>
      <c r="AL64" s="244">
        <f t="shared" si="36"/>
        <v>757.00000000000011</v>
      </c>
      <c r="AN64" s="249"/>
    </row>
    <row r="65" spans="1:29" s="10" customFormat="1">
      <c r="M65" s="46"/>
    </row>
    <row r="66" spans="1:29" s="10" customFormat="1" ht="20.100000000000001" customHeight="1">
      <c r="A66" s="10" t="s">
        <v>243</v>
      </c>
      <c r="M66" s="46"/>
      <c r="AA66" s="449"/>
    </row>
    <row r="67" spans="1:29" s="10" customFormat="1" ht="20.100000000000001" customHeight="1">
      <c r="A67" s="10" t="s">
        <v>242</v>
      </c>
      <c r="M67" s="46"/>
      <c r="AA67" s="449"/>
    </row>
    <row r="68" spans="1:29" s="10" customFormat="1" ht="20.100000000000001" customHeight="1">
      <c r="A68" s="10" t="s">
        <v>241</v>
      </c>
      <c r="M68" s="46"/>
      <c r="AA68" s="240"/>
    </row>
    <row r="69" spans="1:29" s="10" customFormat="1" ht="20.100000000000001" customHeight="1">
      <c r="A69" s="10" t="s">
        <v>216</v>
      </c>
      <c r="M69" s="46"/>
      <c r="AA69" s="240"/>
    </row>
    <row r="70" spans="1:29" s="10" customFormat="1" ht="20.25" customHeight="1">
      <c r="A70" s="10" t="s">
        <v>311</v>
      </c>
      <c r="M70" s="46"/>
      <c r="AA70" s="240"/>
    </row>
    <row r="71" spans="1:29" s="10" customFormat="1" ht="20.25" customHeight="1">
      <c r="A71" s="10" t="s">
        <v>310</v>
      </c>
      <c r="M71" s="46"/>
      <c r="AA71" s="318"/>
    </row>
    <row r="72" spans="1:29" s="10" customFormat="1" ht="15">
      <c r="M72" s="46"/>
      <c r="AA72" s="318"/>
      <c r="AC72" s="10" t="s">
        <v>291</v>
      </c>
    </row>
    <row r="73" spans="1:29" s="10" customFormat="1">
      <c r="M73" s="46"/>
      <c r="AA73" s="240"/>
    </row>
    <row r="74" spans="1:29" s="10" customFormat="1">
      <c r="M74" s="46"/>
      <c r="AA74" s="240"/>
    </row>
    <row r="75" spans="1:29" s="10" customFormat="1">
      <c r="M75" s="46"/>
      <c r="AA75" s="240"/>
    </row>
    <row r="76" spans="1:29" s="10" customFormat="1">
      <c r="M76" s="46"/>
      <c r="AA76" s="240"/>
    </row>
    <row r="77" spans="1:29" s="10" customFormat="1">
      <c r="M77" s="46"/>
      <c r="AA77" s="240"/>
    </row>
    <row r="78" spans="1:29" s="10" customFormat="1">
      <c r="M78" s="46"/>
      <c r="AA78" s="240"/>
    </row>
    <row r="79" spans="1:29" s="10" customFormat="1">
      <c r="M79" s="46"/>
      <c r="AA79" s="240"/>
    </row>
    <row r="80" spans="1:29" s="10" customFormat="1" ht="15">
      <c r="M80" s="46"/>
      <c r="AA80" s="318"/>
    </row>
    <row r="81" spans="13:27" s="10" customFormat="1" ht="15">
      <c r="M81" s="46"/>
      <c r="AA81" s="431"/>
    </row>
    <row r="82" spans="13:27" s="10" customFormat="1">
      <c r="M82" s="46"/>
      <c r="AA82" s="240"/>
    </row>
    <row r="83" spans="13:27" s="10" customFormat="1">
      <c r="M83" s="46"/>
      <c r="AA83" s="240"/>
    </row>
    <row r="84" spans="13:27" s="10" customFormat="1">
      <c r="M84" s="46"/>
      <c r="AA84" s="240"/>
    </row>
    <row r="85" spans="13:27" s="10" customFormat="1">
      <c r="M85" s="46"/>
      <c r="AA85" s="240"/>
    </row>
    <row r="86" spans="13:27" s="10" customFormat="1">
      <c r="M86" s="46"/>
      <c r="AA86" s="240"/>
    </row>
    <row r="87" spans="13:27" s="10" customFormat="1">
      <c r="M87" s="46"/>
      <c r="AA87" s="240"/>
    </row>
    <row r="88" spans="13:27" s="10" customFormat="1">
      <c r="M88" s="46"/>
      <c r="AA88" s="240"/>
    </row>
    <row r="89" spans="13:27" s="10" customFormat="1">
      <c r="M89" s="46"/>
      <c r="AA89" s="601"/>
    </row>
    <row r="90" spans="13:27" s="10" customFormat="1">
      <c r="M90" s="46"/>
      <c r="AA90" s="603"/>
    </row>
    <row r="91" spans="13:27" s="10" customFormat="1">
      <c r="M91" s="46"/>
      <c r="AA91" s="601"/>
    </row>
    <row r="92" spans="13:27" s="10" customFormat="1">
      <c r="M92" s="46"/>
      <c r="AA92" s="601"/>
    </row>
    <row r="93" spans="13:27" s="10" customFormat="1">
      <c r="M93" s="46"/>
      <c r="AA93" s="603"/>
    </row>
    <row r="94" spans="13:27" s="10" customFormat="1">
      <c r="M94" s="46"/>
      <c r="AA94" s="601"/>
    </row>
    <row r="95" spans="13:27" s="10" customFormat="1">
      <c r="M95" s="46"/>
      <c r="AA95" s="601"/>
    </row>
    <row r="96" spans="13:27" s="10" customFormat="1">
      <c r="M96" s="46"/>
      <c r="AA96" s="601"/>
    </row>
    <row r="97" spans="13:27" s="10" customFormat="1">
      <c r="M97" s="46"/>
      <c r="AA97" s="601"/>
    </row>
    <row r="98" spans="13:27" s="10" customFormat="1">
      <c r="M98" s="46"/>
      <c r="AA98" s="601"/>
    </row>
    <row r="99" spans="13:27" s="10" customFormat="1">
      <c r="M99" s="46"/>
      <c r="AA99" s="601"/>
    </row>
    <row r="100" spans="13:27" s="10" customFormat="1">
      <c r="M100" s="46"/>
      <c r="AA100" s="601"/>
    </row>
    <row r="101" spans="13:27" s="10" customFormat="1">
      <c r="M101" s="46"/>
      <c r="AA101" s="601"/>
    </row>
    <row r="102" spans="13:27" s="10" customFormat="1">
      <c r="M102" s="46"/>
      <c r="AA102" s="601"/>
    </row>
    <row r="103" spans="13:27" s="10" customFormat="1">
      <c r="M103" s="46"/>
      <c r="AA103" s="601"/>
    </row>
    <row r="104" spans="13:27" s="10" customFormat="1">
      <c r="AA104" s="601"/>
    </row>
    <row r="105" spans="13:27" s="10" customFormat="1">
      <c r="AA105" s="601"/>
    </row>
    <row r="106" spans="13:27" s="10" customFormat="1" ht="15">
      <c r="AA106" s="602"/>
    </row>
    <row r="107" spans="13:27" s="10" customFormat="1">
      <c r="AA107" s="601"/>
    </row>
    <row r="108" spans="13:27" s="10" customFormat="1">
      <c r="AA108" s="601"/>
    </row>
    <row r="109" spans="13:27" s="10" customFormat="1">
      <c r="AA109" s="603"/>
    </row>
    <row r="110" spans="13:27" s="10" customFormat="1">
      <c r="AA110" s="601"/>
    </row>
    <row r="111" spans="13:27" s="10" customFormat="1">
      <c r="AA111" s="601"/>
    </row>
    <row r="112" spans="13:27" s="10" customFormat="1">
      <c r="AA112" s="601"/>
    </row>
    <row r="113" spans="27:27" s="10" customFormat="1">
      <c r="AA113" s="601"/>
    </row>
    <row r="114" spans="27:27" s="10" customFormat="1">
      <c r="AA114" s="601"/>
    </row>
    <row r="115" spans="27:27" s="10" customFormat="1">
      <c r="AA115" s="601"/>
    </row>
    <row r="116" spans="27:27" s="10" customFormat="1">
      <c r="AA116" s="601"/>
    </row>
    <row r="117" spans="27:27" s="10" customFormat="1">
      <c r="AA117" s="601"/>
    </row>
    <row r="118" spans="27:27" s="10" customFormat="1">
      <c r="AA118" s="601"/>
    </row>
    <row r="119" spans="27:27" s="10" customFormat="1">
      <c r="AA119" s="601"/>
    </row>
    <row r="120" spans="27:27" s="10" customFormat="1">
      <c r="AA120" s="603"/>
    </row>
    <row r="121" spans="27:27" s="10" customFormat="1">
      <c r="AA121" s="603"/>
    </row>
    <row r="122" spans="27:27" s="10" customFormat="1">
      <c r="AA122" s="603"/>
    </row>
    <row r="123" spans="27:27" s="10" customFormat="1">
      <c r="AA123" s="601"/>
    </row>
    <row r="124" spans="27:27" s="10" customFormat="1">
      <c r="AA124" s="603"/>
    </row>
    <row r="125" spans="27:27" s="10" customFormat="1">
      <c r="AA125" s="380"/>
    </row>
    <row r="126" spans="27:27" s="10" customFormat="1">
      <c r="AA126" s="380"/>
    </row>
    <row r="127" spans="27:27" s="10" customFormat="1">
      <c r="AA127" s="380"/>
    </row>
    <row r="128" spans="27:27" s="10" customFormat="1">
      <c r="AA128" s="380"/>
    </row>
    <row r="129" spans="1:29" s="10" customFormat="1">
      <c r="AA129" s="380"/>
    </row>
    <row r="130" spans="1:29" s="10" customFormat="1">
      <c r="AA130" s="380"/>
    </row>
    <row r="131" spans="1:29" s="10" customFormat="1">
      <c r="AA131" s="380"/>
    </row>
    <row r="132" spans="1:29" s="10" customFormat="1">
      <c r="AA132" s="380"/>
    </row>
    <row r="133" spans="1:29" s="10" customFormat="1">
      <c r="AA133" s="380"/>
    </row>
    <row r="134" spans="1:29" s="10" customFormat="1">
      <c r="AA134" s="380"/>
    </row>
    <row r="135" spans="1:29" s="10" customFormat="1">
      <c r="AA135" s="380"/>
    </row>
    <row r="136" spans="1:29" s="10" customFormat="1">
      <c r="AA136" s="380"/>
    </row>
    <row r="137" spans="1:29" s="10" customFormat="1">
      <c r="AA137" s="380"/>
    </row>
    <row r="138" spans="1:29" s="10" customFormat="1">
      <c r="AA138" s="380"/>
    </row>
    <row r="139" spans="1:29" s="10" customFormat="1">
      <c r="AA139" s="380"/>
    </row>
    <row r="140" spans="1:29" s="10" customFormat="1">
      <c r="AA140" s="380"/>
    </row>
    <row r="141" spans="1:29" s="10" customFormat="1">
      <c r="AA141" s="380"/>
    </row>
    <row r="142" spans="1:29" s="10" customFormat="1">
      <c r="AA142" s="380"/>
    </row>
    <row r="143" spans="1:29">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380"/>
      <c r="AB143" s="10"/>
      <c r="AC143" s="10"/>
    </row>
    <row r="144" spans="1:29">
      <c r="AA144" s="380"/>
    </row>
    <row r="145" spans="27:27">
      <c r="AA145" s="380"/>
    </row>
    <row r="146" spans="27:27">
      <c r="AA146" s="380"/>
    </row>
    <row r="147" spans="27:27">
      <c r="AA147" s="380"/>
    </row>
    <row r="148" spans="27:27">
      <c r="AA148" s="380"/>
    </row>
    <row r="149" spans="27:27">
      <c r="AA149" s="380"/>
    </row>
    <row r="150" spans="27:27">
      <c r="AA150" s="380"/>
    </row>
    <row r="151" spans="27:27">
      <c r="AA151" s="380"/>
    </row>
  </sheetData>
  <mergeCells count="9">
    <mergeCell ref="AI2:AL2"/>
    <mergeCell ref="AD2:AG2"/>
    <mergeCell ref="Z2:AC2"/>
    <mergeCell ref="V2:Y2"/>
    <mergeCell ref="B2:E2"/>
    <mergeCell ref="F2:I2"/>
    <mergeCell ref="J2:M2"/>
    <mergeCell ref="N2:Q2"/>
    <mergeCell ref="R2:U2"/>
  </mergeCells>
  <pageMargins left="0.70866141732283505" right="0.70866141732283505" top="0.74803149606299202" bottom="0.74803149606299202" header="0.31496062992126" footer="0.31496062992126"/>
  <pageSetup paperSize="9" scale="40" orientation="landscape" horizontalDpi="1200" verticalDpi="1200" r:id="rId1"/>
  <ignoredErrors>
    <ignoredError sqref="AB3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6"/>
  <sheetViews>
    <sheetView showGridLines="0" zoomScale="115" zoomScaleNormal="115" zoomScaleSheetLayoutView="85" workbookViewId="0">
      <pane xSplit="1" ySplit="4" topLeftCell="AD16" activePane="bottomRight" state="frozen"/>
      <selection pane="topRight" activeCell="B1" sqref="B1"/>
      <selection pane="bottomLeft" activeCell="A5" sqref="A5"/>
      <selection pane="bottomRight" activeCell="AK33" sqref="AK33"/>
    </sheetView>
  </sheetViews>
  <sheetFormatPr defaultColWidth="9" defaultRowHeight="28.5" customHeight="1"/>
  <cols>
    <col min="1" max="1" width="40.625" style="1" customWidth="1"/>
    <col min="2" max="13" width="10.625" style="2" customWidth="1"/>
    <col min="14" max="14" width="9" style="2"/>
    <col min="15" max="16" width="10.625" style="2" customWidth="1"/>
    <col min="17" max="17" width="9" style="2"/>
    <col min="18" max="19" width="9" style="4"/>
    <col min="20" max="21" width="10.625" style="2" customWidth="1"/>
    <col min="22" max="24" width="9" style="2"/>
    <col min="25" max="26" width="10.625" style="2" customWidth="1"/>
    <col min="27" max="29" width="9" style="2"/>
    <col min="30" max="31" width="10.625" style="2" customWidth="1"/>
    <col min="32" max="34" width="9" style="2"/>
    <col min="35" max="36" width="10.625" style="2" customWidth="1"/>
    <col min="37" max="37" width="9" style="2"/>
    <col min="38" max="39" width="9" style="4"/>
    <col min="40" max="16384" width="9" style="2"/>
  </cols>
  <sheetData>
    <row r="1" spans="1:43" s="18" customFormat="1" ht="27" customHeight="1">
      <c r="A1" s="5" t="s">
        <v>172</v>
      </c>
      <c r="B1" s="5"/>
      <c r="AL1" s="622"/>
      <c r="AM1" s="622"/>
    </row>
    <row r="2" spans="1:43" s="203" customFormat="1" ht="87.75" customHeight="1" thickBot="1">
      <c r="A2" s="707" t="s">
        <v>234</v>
      </c>
      <c r="B2" s="707"/>
      <c r="C2" s="707"/>
      <c r="D2" s="707"/>
      <c r="E2" s="707"/>
      <c r="F2" s="707"/>
      <c r="G2" s="707"/>
      <c r="H2" s="707"/>
      <c r="I2" s="707"/>
      <c r="J2" s="707"/>
      <c r="K2" s="707"/>
      <c r="L2" s="707"/>
      <c r="M2" s="707"/>
      <c r="N2" s="707"/>
      <c r="R2" s="204"/>
      <c r="S2" s="204"/>
      <c r="AJ2" s="474"/>
      <c r="AL2" s="4"/>
      <c r="AM2" s="4"/>
    </row>
    <row r="3" spans="1:43" ht="20.100000000000001" customHeight="1" thickBot="1">
      <c r="A3" s="708" t="s">
        <v>129</v>
      </c>
      <c r="B3" s="710">
        <v>2012</v>
      </c>
      <c r="C3" s="711"/>
      <c r="D3" s="711"/>
      <c r="E3" s="711"/>
      <c r="F3" s="712">
        <v>2012</v>
      </c>
      <c r="G3" s="710">
        <v>2013</v>
      </c>
      <c r="H3" s="711"/>
      <c r="I3" s="711"/>
      <c r="J3" s="711"/>
      <c r="K3" s="712">
        <v>2013</v>
      </c>
      <c r="L3" s="710">
        <v>2014</v>
      </c>
      <c r="M3" s="711"/>
      <c r="N3" s="711"/>
      <c r="O3" s="711"/>
      <c r="P3" s="712">
        <v>2014</v>
      </c>
      <c r="Q3" s="710">
        <v>2015</v>
      </c>
      <c r="R3" s="711"/>
      <c r="S3" s="711"/>
      <c r="T3" s="711"/>
      <c r="U3" s="712">
        <v>2015</v>
      </c>
      <c r="V3" s="710">
        <v>2016</v>
      </c>
      <c r="W3" s="711"/>
      <c r="X3" s="711"/>
      <c r="Y3" s="711"/>
      <c r="Z3" s="712">
        <v>2016</v>
      </c>
      <c r="AA3" s="710">
        <v>2017</v>
      </c>
      <c r="AB3" s="711"/>
      <c r="AC3" s="711"/>
      <c r="AD3" s="711"/>
      <c r="AE3" s="712">
        <v>2017</v>
      </c>
      <c r="AF3" s="710">
        <v>2018</v>
      </c>
      <c r="AG3" s="711"/>
      <c r="AH3" s="711"/>
      <c r="AI3" s="711"/>
      <c r="AJ3" s="712">
        <v>2018</v>
      </c>
      <c r="AK3" s="710">
        <v>2019</v>
      </c>
      <c r="AL3" s="711"/>
      <c r="AM3" s="711"/>
      <c r="AN3" s="711"/>
      <c r="AO3" s="712">
        <v>2019</v>
      </c>
    </row>
    <row r="4" spans="1:43" ht="20.100000000000001" customHeight="1" thickBot="1">
      <c r="A4" s="709"/>
      <c r="B4" s="104" t="s">
        <v>130</v>
      </c>
      <c r="C4" s="105" t="s">
        <v>131</v>
      </c>
      <c r="D4" s="105" t="s">
        <v>132</v>
      </c>
      <c r="E4" s="105" t="s">
        <v>133</v>
      </c>
      <c r="F4" s="713"/>
      <c r="G4" s="104" t="s">
        <v>130</v>
      </c>
      <c r="H4" s="105" t="s">
        <v>131</v>
      </c>
      <c r="I4" s="105" t="s">
        <v>132</v>
      </c>
      <c r="J4" s="105" t="s">
        <v>133</v>
      </c>
      <c r="K4" s="713"/>
      <c r="L4" s="106" t="s">
        <v>130</v>
      </c>
      <c r="M4" s="105" t="s">
        <v>131</v>
      </c>
      <c r="N4" s="105" t="s">
        <v>132</v>
      </c>
      <c r="O4" s="107" t="s">
        <v>133</v>
      </c>
      <c r="P4" s="713"/>
      <c r="Q4" s="106" t="s">
        <v>130</v>
      </c>
      <c r="R4" s="105" t="s">
        <v>131</v>
      </c>
      <c r="S4" s="105" t="s">
        <v>132</v>
      </c>
      <c r="T4" s="107" t="s">
        <v>133</v>
      </c>
      <c r="U4" s="713"/>
      <c r="V4" s="106" t="s">
        <v>130</v>
      </c>
      <c r="W4" s="314" t="s">
        <v>131</v>
      </c>
      <c r="X4" s="314" t="s">
        <v>132</v>
      </c>
      <c r="Y4" s="107" t="s">
        <v>133</v>
      </c>
      <c r="Z4" s="713"/>
      <c r="AA4" s="106" t="s">
        <v>130</v>
      </c>
      <c r="AB4" s="314" t="s">
        <v>131</v>
      </c>
      <c r="AC4" s="314" t="s">
        <v>132</v>
      </c>
      <c r="AD4" s="107" t="s">
        <v>133</v>
      </c>
      <c r="AE4" s="713"/>
      <c r="AF4" s="106" t="s">
        <v>130</v>
      </c>
      <c r="AG4" s="314" t="s">
        <v>273</v>
      </c>
      <c r="AH4" s="314" t="s">
        <v>132</v>
      </c>
      <c r="AI4" s="107" t="s">
        <v>133</v>
      </c>
      <c r="AJ4" s="713"/>
      <c r="AK4" s="106" t="s">
        <v>130</v>
      </c>
      <c r="AL4" s="314" t="s">
        <v>131</v>
      </c>
      <c r="AM4" s="314" t="s">
        <v>132</v>
      </c>
      <c r="AN4" s="107" t="s">
        <v>133</v>
      </c>
      <c r="AO4" s="713"/>
    </row>
    <row r="5" spans="1:43" ht="20.100000000000001" customHeight="1" thickBot="1">
      <c r="A5" s="108" t="s">
        <v>134</v>
      </c>
      <c r="B5" s="109" t="s">
        <v>135</v>
      </c>
      <c r="C5" s="110" t="s">
        <v>135</v>
      </c>
      <c r="D5" s="110" t="s">
        <v>135</v>
      </c>
      <c r="E5" s="110" t="s">
        <v>135</v>
      </c>
      <c r="F5" s="111" t="s">
        <v>135</v>
      </c>
      <c r="G5" s="112">
        <f t="shared" ref="G5:AI5" si="0">G7+G24</f>
        <v>16348336</v>
      </c>
      <c r="H5" s="113">
        <f t="shared" si="0"/>
        <v>16434266</v>
      </c>
      <c r="I5" s="113">
        <f t="shared" si="0"/>
        <v>16627551</v>
      </c>
      <c r="J5" s="113">
        <f t="shared" si="0"/>
        <v>16447334</v>
      </c>
      <c r="K5" s="111">
        <f t="shared" si="0"/>
        <v>16447334</v>
      </c>
      <c r="L5" s="112">
        <f t="shared" si="0"/>
        <v>16333003</v>
      </c>
      <c r="M5" s="113">
        <f t="shared" si="0"/>
        <v>16250497</v>
      </c>
      <c r="N5" s="113">
        <f t="shared" si="0"/>
        <v>16449992</v>
      </c>
      <c r="O5" s="113">
        <f t="shared" si="0"/>
        <v>16482031</v>
      </c>
      <c r="P5" s="111">
        <f t="shared" si="0"/>
        <v>16482031</v>
      </c>
      <c r="Q5" s="112">
        <f t="shared" si="0"/>
        <v>16429469</v>
      </c>
      <c r="R5" s="113">
        <f t="shared" si="0"/>
        <v>16349090</v>
      </c>
      <c r="S5" s="113">
        <f t="shared" si="0"/>
        <v>16395514</v>
      </c>
      <c r="T5" s="113">
        <f t="shared" si="0"/>
        <v>16469696</v>
      </c>
      <c r="U5" s="320">
        <f t="shared" si="0"/>
        <v>16469696</v>
      </c>
      <c r="V5" s="112">
        <f t="shared" si="0"/>
        <v>16531833</v>
      </c>
      <c r="W5" s="113">
        <f t="shared" si="0"/>
        <v>16711541</v>
      </c>
      <c r="X5" s="113">
        <f t="shared" si="0"/>
        <v>16545653</v>
      </c>
      <c r="Y5" s="113">
        <f t="shared" si="0"/>
        <v>16524936</v>
      </c>
      <c r="Z5" s="320">
        <f t="shared" si="0"/>
        <v>16524936</v>
      </c>
      <c r="AA5" s="112">
        <f t="shared" si="0"/>
        <v>16216128</v>
      </c>
      <c r="AB5" s="113">
        <f t="shared" si="0"/>
        <v>16273840</v>
      </c>
      <c r="AC5" s="113">
        <f t="shared" si="0"/>
        <v>16410325</v>
      </c>
      <c r="AD5" s="113">
        <f t="shared" si="0"/>
        <v>16522597</v>
      </c>
      <c r="AE5" s="320">
        <f t="shared" si="0"/>
        <v>16522597</v>
      </c>
      <c r="AF5" s="113">
        <f>AF7+AF24</f>
        <v>16579337</v>
      </c>
      <c r="AG5" s="113">
        <f t="shared" si="0"/>
        <v>16698622</v>
      </c>
      <c r="AH5" s="569">
        <f>AH7+AH24</f>
        <v>16851153</v>
      </c>
      <c r="AI5" s="569">
        <f t="shared" si="0"/>
        <v>16906133</v>
      </c>
      <c r="AJ5" s="320">
        <f>AJ7+AJ24</f>
        <v>16906133</v>
      </c>
      <c r="AK5" s="569">
        <f t="shared" ref="AK5:AO5" si="1">AK7+AK24</f>
        <v>16973770</v>
      </c>
      <c r="AL5" s="569">
        <f t="shared" si="1"/>
        <v>0</v>
      </c>
      <c r="AM5" s="569">
        <f t="shared" si="1"/>
        <v>0</v>
      </c>
      <c r="AN5" s="569">
        <f t="shared" si="1"/>
        <v>0</v>
      </c>
      <c r="AO5" s="320">
        <f t="shared" si="1"/>
        <v>0</v>
      </c>
      <c r="AQ5" s="675"/>
    </row>
    <row r="6" spans="1:43" ht="20.100000000000001" customHeight="1">
      <c r="A6" s="114" t="s">
        <v>136</v>
      </c>
      <c r="B6" s="115"/>
      <c r="C6" s="116"/>
      <c r="D6" s="116"/>
      <c r="E6" s="116"/>
      <c r="F6" s="117"/>
      <c r="G6" s="118"/>
      <c r="H6" s="116"/>
      <c r="I6" s="116"/>
      <c r="J6" s="116"/>
      <c r="K6" s="117"/>
      <c r="L6" s="119"/>
      <c r="M6" s="116"/>
      <c r="N6" s="116"/>
      <c r="O6" s="116"/>
      <c r="P6" s="120"/>
      <c r="Q6" s="119"/>
      <c r="R6" s="116"/>
      <c r="S6" s="116"/>
      <c r="T6" s="116"/>
      <c r="U6" s="120"/>
      <c r="V6" s="119"/>
      <c r="W6" s="311"/>
      <c r="X6" s="311"/>
      <c r="Y6" s="116"/>
      <c r="Z6" s="120"/>
      <c r="AA6" s="119"/>
      <c r="AB6" s="311"/>
      <c r="AC6" s="311"/>
      <c r="AD6" s="116"/>
      <c r="AE6" s="120"/>
      <c r="AF6" s="311"/>
      <c r="AG6" s="311"/>
      <c r="AH6" s="574"/>
      <c r="AI6" s="574"/>
      <c r="AJ6" s="120"/>
      <c r="AK6" s="574"/>
      <c r="AL6" s="574"/>
      <c r="AM6" s="574"/>
      <c r="AN6" s="574"/>
      <c r="AO6" s="120"/>
      <c r="AQ6" s="675"/>
    </row>
    <row r="7" spans="1:43" ht="20.100000000000001" customHeight="1">
      <c r="A7" s="121" t="s">
        <v>137</v>
      </c>
      <c r="B7" s="122">
        <f>B8+B10+B11</f>
        <v>11532547</v>
      </c>
      <c r="C7" s="123">
        <f t="shared" ref="C7:M7" si="2">C8+C10+C11</f>
        <v>11516833</v>
      </c>
      <c r="D7" s="123">
        <f t="shared" si="2"/>
        <v>11605099</v>
      </c>
      <c r="E7" s="123">
        <f t="shared" si="2"/>
        <v>11735100</v>
      </c>
      <c r="F7" s="124">
        <f>SUM(F8,F10:F11)</f>
        <v>11735100</v>
      </c>
      <c r="G7" s="122">
        <f t="shared" si="2"/>
        <v>11799951</v>
      </c>
      <c r="H7" s="123">
        <f t="shared" si="2"/>
        <v>11868947</v>
      </c>
      <c r="I7" s="123">
        <f t="shared" si="2"/>
        <v>11908422</v>
      </c>
      <c r="J7" s="123">
        <f t="shared" si="2"/>
        <v>11978807</v>
      </c>
      <c r="K7" s="124">
        <f>SUM(K8,K10:K11)</f>
        <v>11978807</v>
      </c>
      <c r="L7" s="122">
        <f t="shared" si="2"/>
        <v>11982678</v>
      </c>
      <c r="M7" s="123">
        <f t="shared" si="2"/>
        <v>12023369</v>
      </c>
      <c r="N7" s="123">
        <f>N8+N10+N11</f>
        <v>12230798</v>
      </c>
      <c r="O7" s="123">
        <f>O8+O10+O11</f>
        <v>12347828</v>
      </c>
      <c r="P7" s="125">
        <f>P8+P10+P11</f>
        <v>12347828</v>
      </c>
      <c r="Q7" s="122">
        <f t="shared" ref="Q7:U7" si="3">Q8+Q10+Q11</f>
        <v>12394712</v>
      </c>
      <c r="R7" s="123">
        <f t="shared" si="3"/>
        <v>12377021</v>
      </c>
      <c r="S7" s="123">
        <f t="shared" si="3"/>
        <v>12418707</v>
      </c>
      <c r="T7" s="123">
        <f t="shared" si="3"/>
        <v>12614703</v>
      </c>
      <c r="U7" s="125">
        <f t="shared" si="3"/>
        <v>12614703</v>
      </c>
      <c r="V7" s="122">
        <f t="shared" ref="V7:AE7" si="4">V8+V10+V11</f>
        <v>12744166</v>
      </c>
      <c r="W7" s="123">
        <f t="shared" si="4"/>
        <v>12880725</v>
      </c>
      <c r="X7" s="123">
        <f t="shared" si="4"/>
        <v>13017749</v>
      </c>
      <c r="Y7" s="123">
        <f t="shared" si="4"/>
        <v>13254598</v>
      </c>
      <c r="Z7" s="125">
        <f t="shared" si="4"/>
        <v>13254598</v>
      </c>
      <c r="AA7" s="122">
        <f t="shared" si="4"/>
        <v>13337038</v>
      </c>
      <c r="AB7" s="123">
        <f t="shared" si="4"/>
        <v>13419539</v>
      </c>
      <c r="AC7" s="123">
        <f t="shared" si="4"/>
        <v>13530164</v>
      </c>
      <c r="AD7" s="123">
        <f t="shared" si="4"/>
        <v>13685044</v>
      </c>
      <c r="AE7" s="125">
        <f t="shared" si="4"/>
        <v>13685044</v>
      </c>
      <c r="AF7" s="123">
        <f t="shared" ref="AF7:AI7" si="5">AF8+AF10+AF11</f>
        <v>13796153</v>
      </c>
      <c r="AG7" s="482">
        <v>13929804</v>
      </c>
      <c r="AH7" s="482">
        <v>14057045</v>
      </c>
      <c r="AI7" s="482">
        <f t="shared" si="5"/>
        <v>14259264</v>
      </c>
      <c r="AJ7" s="125">
        <f>AJ8+AJ10+AJ11</f>
        <v>14259264</v>
      </c>
      <c r="AK7" s="123">
        <f>SUM(AK8,AK10:AK11)</f>
        <v>14330995</v>
      </c>
      <c r="AL7" s="482">
        <f t="shared" ref="AL7:AO7" si="6">SUM(AL8,AL10:AL11)</f>
        <v>0</v>
      </c>
      <c r="AM7" s="482">
        <f t="shared" si="6"/>
        <v>0</v>
      </c>
      <c r="AN7" s="482">
        <f t="shared" si="6"/>
        <v>0</v>
      </c>
      <c r="AO7" s="125">
        <f t="shared" si="6"/>
        <v>0</v>
      </c>
      <c r="AQ7" s="675"/>
    </row>
    <row r="8" spans="1:43" ht="20.100000000000001" customHeight="1">
      <c r="A8" s="126" t="s">
        <v>138</v>
      </c>
      <c r="B8" s="127">
        <v>3885022</v>
      </c>
      <c r="C8" s="128">
        <v>3868733</v>
      </c>
      <c r="D8" s="128">
        <v>3921673</v>
      </c>
      <c r="E8" s="128">
        <v>3994875</v>
      </c>
      <c r="F8" s="129">
        <f>E8</f>
        <v>3994875</v>
      </c>
      <c r="G8" s="127">
        <v>4047592</v>
      </c>
      <c r="H8" s="128">
        <v>4127560</v>
      </c>
      <c r="I8" s="128">
        <v>4160343</v>
      </c>
      <c r="J8" s="128">
        <v>4212323</v>
      </c>
      <c r="K8" s="129">
        <f>J8</f>
        <v>4212323</v>
      </c>
      <c r="L8" s="127">
        <v>4236986</v>
      </c>
      <c r="M8" s="128">
        <v>4255544</v>
      </c>
      <c r="N8" s="130">
        <v>4344773</v>
      </c>
      <c r="O8" s="128">
        <v>4391702</v>
      </c>
      <c r="P8" s="131">
        <v>4391702</v>
      </c>
      <c r="Q8" s="127">
        <v>4405464</v>
      </c>
      <c r="R8" s="128">
        <v>4374517</v>
      </c>
      <c r="S8" s="128">
        <v>4396361</v>
      </c>
      <c r="T8" s="128">
        <v>4503320</v>
      </c>
      <c r="U8" s="131">
        <f t="shared" ref="U8:U12" si="7">T8</f>
        <v>4503320</v>
      </c>
      <c r="V8" s="127">
        <v>4560267</v>
      </c>
      <c r="W8" s="128">
        <v>4632246</v>
      </c>
      <c r="X8" s="128">
        <v>4679114</v>
      </c>
      <c r="Y8" s="128">
        <v>4766429</v>
      </c>
      <c r="Z8" s="131">
        <f t="shared" ref="Z8:Z12" si="8">Y8</f>
        <v>4766429</v>
      </c>
      <c r="AA8" s="127">
        <v>4785947</v>
      </c>
      <c r="AB8" s="128">
        <v>4835534</v>
      </c>
      <c r="AC8" s="128">
        <v>4882505</v>
      </c>
      <c r="AD8" s="128">
        <v>4942640</v>
      </c>
      <c r="AE8" s="131">
        <f t="shared" ref="AE8:AE12" si="9">AD8</f>
        <v>4942640</v>
      </c>
      <c r="AF8" s="128">
        <v>4984391</v>
      </c>
      <c r="AG8" s="483">
        <v>5027520</v>
      </c>
      <c r="AH8" s="483">
        <v>5038210</v>
      </c>
      <c r="AI8" s="483">
        <v>5098917</v>
      </c>
      <c r="AJ8" s="131">
        <v>5098917</v>
      </c>
      <c r="AK8" s="123">
        <v>5077221</v>
      </c>
      <c r="AL8" s="482"/>
      <c r="AM8" s="482"/>
      <c r="AN8" s="482"/>
      <c r="AO8" s="125"/>
      <c r="AQ8" s="675"/>
    </row>
    <row r="9" spans="1:43" ht="20.100000000000001" customHeight="1">
      <c r="A9" s="132" t="s">
        <v>139</v>
      </c>
      <c r="B9" s="133">
        <v>394001</v>
      </c>
      <c r="C9" s="134">
        <v>416027</v>
      </c>
      <c r="D9" s="134">
        <v>470578</v>
      </c>
      <c r="E9" s="134">
        <v>510617</v>
      </c>
      <c r="F9" s="135">
        <f t="shared" ref="F9:F11" si="10">E9</f>
        <v>510617</v>
      </c>
      <c r="G9" s="133">
        <v>559997</v>
      </c>
      <c r="H9" s="134">
        <v>633475</v>
      </c>
      <c r="I9" s="134">
        <v>680316</v>
      </c>
      <c r="J9" s="134">
        <v>719935</v>
      </c>
      <c r="K9" s="135">
        <f>J9</f>
        <v>719935</v>
      </c>
      <c r="L9" s="133">
        <v>749319</v>
      </c>
      <c r="M9" s="134">
        <v>771481</v>
      </c>
      <c r="N9" s="136">
        <v>806064</v>
      </c>
      <c r="O9" s="134">
        <v>844809</v>
      </c>
      <c r="P9" s="137">
        <v>844809</v>
      </c>
      <c r="Q9" s="133">
        <v>872628</v>
      </c>
      <c r="R9" s="134">
        <v>886305</v>
      </c>
      <c r="S9" s="134">
        <v>901271</v>
      </c>
      <c r="T9" s="134">
        <v>936307</v>
      </c>
      <c r="U9" s="137">
        <f t="shared" si="7"/>
        <v>936307</v>
      </c>
      <c r="V9" s="133">
        <v>957952</v>
      </c>
      <c r="W9" s="134">
        <v>972771</v>
      </c>
      <c r="X9" s="134">
        <v>982068</v>
      </c>
      <c r="Y9" s="134">
        <v>1021720</v>
      </c>
      <c r="Z9" s="137">
        <f t="shared" si="8"/>
        <v>1021720</v>
      </c>
      <c r="AA9" s="133">
        <v>1031294</v>
      </c>
      <c r="AB9" s="134">
        <v>1058982</v>
      </c>
      <c r="AC9" s="134">
        <v>1072513</v>
      </c>
      <c r="AD9" s="134">
        <v>1099582</v>
      </c>
      <c r="AE9" s="137">
        <f t="shared" si="9"/>
        <v>1099582</v>
      </c>
      <c r="AF9" s="134">
        <v>1114833</v>
      </c>
      <c r="AG9" s="138">
        <v>1127285</v>
      </c>
      <c r="AH9" s="570">
        <v>1141820</v>
      </c>
      <c r="AI9" s="570">
        <v>1160353</v>
      </c>
      <c r="AJ9" s="137">
        <v>1160353</v>
      </c>
      <c r="AK9" s="134">
        <v>1167983</v>
      </c>
      <c r="AL9" s="570"/>
      <c r="AM9" s="570"/>
      <c r="AN9" s="570"/>
      <c r="AO9" s="137"/>
      <c r="AQ9" s="675"/>
    </row>
    <row r="10" spans="1:43" ht="20.100000000000001" customHeight="1">
      <c r="A10" s="126" t="s">
        <v>140</v>
      </c>
      <c r="B10" s="127">
        <v>6985015</v>
      </c>
      <c r="C10" s="128">
        <v>6978192</v>
      </c>
      <c r="D10" s="128">
        <v>6976594</v>
      </c>
      <c r="E10" s="128">
        <v>6979590</v>
      </c>
      <c r="F10" s="129">
        <f t="shared" si="10"/>
        <v>6979590</v>
      </c>
      <c r="G10" s="127">
        <v>6941638</v>
      </c>
      <c r="H10" s="128">
        <v>6891314</v>
      </c>
      <c r="I10" s="128">
        <v>6834719</v>
      </c>
      <c r="J10" s="128">
        <v>6778675</v>
      </c>
      <c r="K10" s="129">
        <f t="shared" ref="K10:K11" si="11">J10</f>
        <v>6778675</v>
      </c>
      <c r="L10" s="127">
        <v>6713629</v>
      </c>
      <c r="M10" s="128">
        <v>6644687</v>
      </c>
      <c r="N10" s="130">
        <v>6617382</v>
      </c>
      <c r="O10" s="128">
        <v>6587915</v>
      </c>
      <c r="P10" s="131">
        <v>6587915</v>
      </c>
      <c r="Q10" s="127">
        <v>6552365</v>
      </c>
      <c r="R10" s="128">
        <v>6519311</v>
      </c>
      <c r="S10" s="128">
        <v>6505016</v>
      </c>
      <c r="T10" s="128">
        <v>6516643</v>
      </c>
      <c r="U10" s="131">
        <f t="shared" si="7"/>
        <v>6516643</v>
      </c>
      <c r="V10" s="127">
        <v>6536366</v>
      </c>
      <c r="W10" s="128">
        <v>6559223</v>
      </c>
      <c r="X10" s="128">
        <v>6616579</v>
      </c>
      <c r="Y10" s="128">
        <v>6730427</v>
      </c>
      <c r="Z10" s="131">
        <f t="shared" si="8"/>
        <v>6730427</v>
      </c>
      <c r="AA10" s="127">
        <v>6785002</v>
      </c>
      <c r="AB10" s="128">
        <v>6810999</v>
      </c>
      <c r="AC10" s="128">
        <v>6864787</v>
      </c>
      <c r="AD10" s="128">
        <v>6932676</v>
      </c>
      <c r="AE10" s="131">
        <f t="shared" si="9"/>
        <v>6932676</v>
      </c>
      <c r="AF10" s="128">
        <v>6997850</v>
      </c>
      <c r="AG10" s="483">
        <v>7098239</v>
      </c>
      <c r="AH10" s="483">
        <v>7209240</v>
      </c>
      <c r="AI10" s="483">
        <v>7345213</v>
      </c>
      <c r="AJ10" s="131">
        <v>7345213</v>
      </c>
      <c r="AK10" s="128">
        <v>7452479</v>
      </c>
      <c r="AL10" s="483"/>
      <c r="AM10" s="483"/>
      <c r="AN10" s="483"/>
      <c r="AO10" s="131"/>
      <c r="AQ10" s="675"/>
    </row>
    <row r="11" spans="1:43" ht="20.100000000000001" customHeight="1">
      <c r="A11" s="126" t="s">
        <v>141</v>
      </c>
      <c r="B11" s="127">
        <v>662510</v>
      </c>
      <c r="C11" s="128">
        <v>669908</v>
      </c>
      <c r="D11" s="128">
        <v>706832</v>
      </c>
      <c r="E11" s="128">
        <v>760635</v>
      </c>
      <c r="F11" s="129">
        <f t="shared" si="10"/>
        <v>760635</v>
      </c>
      <c r="G11" s="127">
        <v>810721</v>
      </c>
      <c r="H11" s="128">
        <v>850073</v>
      </c>
      <c r="I11" s="128">
        <v>913360</v>
      </c>
      <c r="J11" s="128">
        <v>987809</v>
      </c>
      <c r="K11" s="129">
        <f t="shared" si="11"/>
        <v>987809</v>
      </c>
      <c r="L11" s="139">
        <v>1032063</v>
      </c>
      <c r="M11" s="140">
        <v>1123138</v>
      </c>
      <c r="N11" s="130">
        <v>1268643</v>
      </c>
      <c r="O11" s="2">
        <v>1368211</v>
      </c>
      <c r="P11" s="131">
        <v>1368211</v>
      </c>
      <c r="Q11" s="139">
        <v>1436883</v>
      </c>
      <c r="R11" s="140">
        <v>1483193</v>
      </c>
      <c r="S11" s="140">
        <v>1517330</v>
      </c>
      <c r="T11" s="128">
        <v>1594740</v>
      </c>
      <c r="U11" s="131">
        <f t="shared" si="7"/>
        <v>1594740</v>
      </c>
      <c r="V11" s="139">
        <v>1647533</v>
      </c>
      <c r="W11" s="140">
        <v>1689256</v>
      </c>
      <c r="X11" s="140">
        <v>1722056</v>
      </c>
      <c r="Y11" s="128">
        <v>1757742</v>
      </c>
      <c r="Z11" s="131">
        <f t="shared" si="8"/>
        <v>1757742</v>
      </c>
      <c r="AA11" s="139">
        <v>1766089</v>
      </c>
      <c r="AB11" s="140">
        <v>1773006</v>
      </c>
      <c r="AC11" s="140">
        <v>1782872</v>
      </c>
      <c r="AD11" s="140">
        <v>1809728</v>
      </c>
      <c r="AE11" s="131">
        <f t="shared" si="9"/>
        <v>1809728</v>
      </c>
      <c r="AF11" s="140">
        <v>1813912</v>
      </c>
      <c r="AG11" s="484">
        <v>1804045</v>
      </c>
      <c r="AH11" s="484">
        <v>1809595</v>
      </c>
      <c r="AI11" s="484">
        <v>1815134</v>
      </c>
      <c r="AJ11" s="131">
        <v>1815134</v>
      </c>
      <c r="AK11" s="140">
        <v>1801295</v>
      </c>
      <c r="AL11" s="484"/>
      <c r="AM11" s="484"/>
      <c r="AN11" s="484"/>
      <c r="AO11" s="131"/>
      <c r="AQ11" s="675"/>
    </row>
    <row r="12" spans="1:43" ht="20.100000000000001" customHeight="1" thickBot="1">
      <c r="A12" s="141" t="s">
        <v>142</v>
      </c>
      <c r="B12" s="142">
        <v>6282300</v>
      </c>
      <c r="C12" s="143">
        <v>6264412</v>
      </c>
      <c r="D12" s="143">
        <v>6281184</v>
      </c>
      <c r="E12" s="143">
        <v>6313423</v>
      </c>
      <c r="F12" s="144">
        <f>E12</f>
        <v>6313423</v>
      </c>
      <c r="G12" s="142">
        <v>6318321</v>
      </c>
      <c r="H12" s="143">
        <v>6306877</v>
      </c>
      <c r="I12" s="143">
        <v>6285607</v>
      </c>
      <c r="J12" s="143">
        <v>6287658</v>
      </c>
      <c r="K12" s="144">
        <f>J12</f>
        <v>6287658</v>
      </c>
      <c r="L12" s="142">
        <v>6260662</v>
      </c>
      <c r="M12" s="143">
        <v>6221111</v>
      </c>
      <c r="N12" s="145">
        <v>6184775</v>
      </c>
      <c r="O12" s="143">
        <v>6137531</v>
      </c>
      <c r="P12" s="146">
        <v>6137531</v>
      </c>
      <c r="Q12" s="142">
        <v>6068839</v>
      </c>
      <c r="R12" s="143">
        <v>5990051</v>
      </c>
      <c r="S12" s="143">
        <v>5937768</v>
      </c>
      <c r="T12" s="143">
        <v>5916103</v>
      </c>
      <c r="U12" s="146">
        <f t="shared" si="7"/>
        <v>5916103</v>
      </c>
      <c r="V12" s="142">
        <v>5893225</v>
      </c>
      <c r="W12" s="143">
        <v>5862310</v>
      </c>
      <c r="X12" s="143">
        <v>5860884</v>
      </c>
      <c r="Y12" s="143">
        <v>5882804</v>
      </c>
      <c r="Z12" s="146">
        <f t="shared" si="8"/>
        <v>5882804</v>
      </c>
      <c r="AA12" s="142">
        <v>5847401</v>
      </c>
      <c r="AB12" s="143">
        <v>5819386</v>
      </c>
      <c r="AC12" s="143">
        <v>5791841</v>
      </c>
      <c r="AD12" s="143">
        <v>5776598</v>
      </c>
      <c r="AE12" s="146">
        <f t="shared" si="9"/>
        <v>5776598</v>
      </c>
      <c r="AF12" s="143">
        <v>5743832</v>
      </c>
      <c r="AG12" s="494">
        <v>5724492</v>
      </c>
      <c r="AH12" s="494">
        <v>5712151</v>
      </c>
      <c r="AI12" s="494">
        <v>5706147</v>
      </c>
      <c r="AJ12" s="146">
        <v>5706147</v>
      </c>
      <c r="AK12" s="143">
        <v>5672790</v>
      </c>
      <c r="AL12" s="494"/>
      <c r="AM12" s="494"/>
      <c r="AN12" s="494"/>
      <c r="AO12" s="146"/>
      <c r="AQ12" s="675"/>
    </row>
    <row r="13" spans="1:43" s="469" customFormat="1" ht="20.100000000000001" customHeight="1">
      <c r="A13" s="470" t="s">
        <v>255</v>
      </c>
      <c r="B13" s="147"/>
      <c r="C13" s="148"/>
      <c r="D13" s="148"/>
      <c r="E13" s="148"/>
      <c r="F13" s="149"/>
      <c r="G13" s="147"/>
      <c r="H13" s="148"/>
      <c r="I13" s="148"/>
      <c r="J13" s="148"/>
      <c r="K13" s="149"/>
      <c r="L13" s="147"/>
      <c r="M13" s="148"/>
      <c r="N13" s="150"/>
      <c r="O13" s="148"/>
      <c r="P13" s="151"/>
      <c r="Q13" s="147"/>
      <c r="R13" s="148"/>
      <c r="S13" s="148"/>
      <c r="T13" s="148"/>
      <c r="U13" s="151"/>
      <c r="V13" s="147"/>
      <c r="W13" s="148"/>
      <c r="X13" s="148"/>
      <c r="Y13" s="148"/>
      <c r="Z13" s="151"/>
      <c r="AA13" s="147">
        <v>80.3</v>
      </c>
      <c r="AB13" s="148">
        <v>81.2</v>
      </c>
      <c r="AC13" s="148">
        <v>80.5</v>
      </c>
      <c r="AD13" s="148">
        <v>81.900000000000006</v>
      </c>
      <c r="AE13" s="151"/>
      <c r="AF13" s="148">
        <v>81.900000000000006</v>
      </c>
      <c r="AG13" s="487">
        <v>82.9</v>
      </c>
      <c r="AH13" s="575">
        <v>84</v>
      </c>
      <c r="AI13" s="575">
        <v>84</v>
      </c>
      <c r="AJ13" s="151">
        <v>83.2</v>
      </c>
      <c r="AK13" s="148">
        <v>82.9</v>
      </c>
      <c r="AL13" s="575"/>
      <c r="AM13" s="575"/>
      <c r="AN13" s="575"/>
      <c r="AO13" s="151"/>
      <c r="AQ13" s="675"/>
    </row>
    <row r="14" spans="1:43" s="468" customFormat="1" ht="20.100000000000001" customHeight="1">
      <c r="A14" s="471" t="s">
        <v>256</v>
      </c>
      <c r="B14" s="465">
        <v>92.5</v>
      </c>
      <c r="C14" s="466">
        <v>94.4</v>
      </c>
      <c r="D14" s="466">
        <v>93.8</v>
      </c>
      <c r="E14" s="466">
        <v>93.8</v>
      </c>
      <c r="F14" s="467">
        <v>93.6</v>
      </c>
      <c r="G14" s="465">
        <v>89.1</v>
      </c>
      <c r="H14" s="466">
        <v>90.3</v>
      </c>
      <c r="I14" s="466">
        <v>87.6</v>
      </c>
      <c r="J14" s="466">
        <v>87.1</v>
      </c>
      <c r="K14" s="467">
        <v>88.5</v>
      </c>
      <c r="L14" s="465">
        <v>84.8</v>
      </c>
      <c r="M14" s="466">
        <v>85.3</v>
      </c>
      <c r="N14" s="150">
        <v>86.5</v>
      </c>
      <c r="O14" s="466">
        <v>87.2</v>
      </c>
      <c r="P14" s="467">
        <v>85.9</v>
      </c>
      <c r="Q14" s="465">
        <v>85.8</v>
      </c>
      <c r="R14" s="466">
        <v>87</v>
      </c>
      <c r="S14" s="466">
        <v>88.1</v>
      </c>
      <c r="T14" s="466">
        <v>88.3</v>
      </c>
      <c r="U14" s="467">
        <v>87.3</v>
      </c>
      <c r="V14" s="465">
        <v>87</v>
      </c>
      <c r="W14" s="466">
        <v>88.4</v>
      </c>
      <c r="X14" s="466">
        <v>88.6</v>
      </c>
      <c r="Y14" s="466">
        <v>90.7</v>
      </c>
      <c r="Z14" s="467">
        <v>88.7</v>
      </c>
      <c r="AA14" s="465">
        <v>89.1</v>
      </c>
      <c r="AB14" s="473">
        <v>89.6</v>
      </c>
      <c r="AC14" s="466">
        <v>88.4</v>
      </c>
      <c r="AD14" s="466">
        <v>89</v>
      </c>
      <c r="AE14" s="467">
        <v>89</v>
      </c>
      <c r="AF14" s="465">
        <v>88.7</v>
      </c>
      <c r="AG14" s="473">
        <v>89.6</v>
      </c>
      <c r="AH14" s="576">
        <v>90.1</v>
      </c>
      <c r="AI14" s="576">
        <v>90.5</v>
      </c>
      <c r="AJ14" s="467">
        <v>89.7</v>
      </c>
      <c r="AK14" s="465"/>
      <c r="AL14" s="576"/>
      <c r="AM14" s="576"/>
      <c r="AN14" s="576"/>
      <c r="AO14" s="467"/>
      <c r="AQ14" s="675"/>
    </row>
    <row r="15" spans="1:43" ht="20.100000000000001" customHeight="1">
      <c r="A15" s="152" t="s">
        <v>143</v>
      </c>
      <c r="B15" s="153" t="s">
        <v>135</v>
      </c>
      <c r="C15" s="154" t="s">
        <v>135</v>
      </c>
      <c r="D15" s="154" t="s">
        <v>135</v>
      </c>
      <c r="E15" s="155">
        <v>8.4252884188563901E-2</v>
      </c>
      <c r="F15" s="156">
        <f>E15</f>
        <v>8.4252884188563901E-2</v>
      </c>
      <c r="G15" s="157">
        <v>8.6500864834109098E-2</v>
      </c>
      <c r="H15" s="155">
        <v>8.7995678097648605E-2</v>
      </c>
      <c r="I15" s="155">
        <v>8.95665783401738E-2</v>
      </c>
      <c r="J15" s="155">
        <v>9.1612274770678806E-2</v>
      </c>
      <c r="K15" s="156">
        <f>J15</f>
        <v>9.1612274770678806E-2</v>
      </c>
      <c r="L15" s="157">
        <v>9.0641340484564806E-2</v>
      </c>
      <c r="M15" s="155">
        <v>8.7627794752018207E-2</v>
      </c>
      <c r="N15" s="158">
        <f>8.8%</f>
        <v>8.8000000000000009E-2</v>
      </c>
      <c r="O15" s="155">
        <v>9.0976359886998898E-2</v>
      </c>
      <c r="P15" s="159">
        <v>9.0999999999999998E-2</v>
      </c>
      <c r="Q15" s="157">
        <v>9.5000000000000001E-2</v>
      </c>
      <c r="R15" s="155">
        <v>0.10100000000000001</v>
      </c>
      <c r="S15" s="155">
        <v>0.10199999999999999</v>
      </c>
      <c r="T15" s="155">
        <v>0.1</v>
      </c>
      <c r="U15" s="159">
        <v>0.1</v>
      </c>
      <c r="V15" s="157">
        <v>9.8000000000000004E-2</v>
      </c>
      <c r="W15" s="155">
        <v>0.09</v>
      </c>
      <c r="X15" s="155">
        <v>8.5000000000000006E-2</v>
      </c>
      <c r="Y15" s="155">
        <v>8.3000000000000004E-2</v>
      </c>
      <c r="Z15" s="159">
        <v>8.3000000000000004E-2</v>
      </c>
      <c r="AA15" s="157">
        <v>8.5000000000000006E-2</v>
      </c>
      <c r="AB15" s="155">
        <v>8.5999999999999993E-2</v>
      </c>
      <c r="AC15" s="155">
        <v>8.7999999999999995E-2</v>
      </c>
      <c r="AD15" s="155">
        <v>8.7999999999999995E-2</v>
      </c>
      <c r="AE15" s="159">
        <v>8.7999999999999995E-2</v>
      </c>
      <c r="AF15" s="155">
        <v>8.5000000000000006E-2</v>
      </c>
      <c r="AG15" s="485">
        <v>8.3000000000000004E-2</v>
      </c>
      <c r="AH15" s="485">
        <v>7.9000000000000001E-2</v>
      </c>
      <c r="AI15" s="485">
        <v>7.5999999999999998E-2</v>
      </c>
      <c r="AJ15" s="159">
        <v>7.5999999999999998E-2</v>
      </c>
      <c r="AK15" s="155">
        <v>7.1999999999999995E-2</v>
      </c>
      <c r="AL15" s="485"/>
      <c r="AM15" s="485"/>
      <c r="AN15" s="485"/>
      <c r="AO15" s="159"/>
      <c r="AQ15" s="675"/>
    </row>
    <row r="16" spans="1:43" ht="20.100000000000001" customHeight="1" thickBot="1">
      <c r="A16" s="152" t="s">
        <v>144</v>
      </c>
      <c r="B16" s="160">
        <f t="shared" ref="B16:M16" si="12">B7/B12</f>
        <v>1.8357205163713926</v>
      </c>
      <c r="C16" s="161">
        <f t="shared" si="12"/>
        <v>1.838453952262399</v>
      </c>
      <c r="D16" s="161">
        <f t="shared" si="12"/>
        <v>1.8475973638091163</v>
      </c>
      <c r="E16" s="161">
        <f t="shared" si="12"/>
        <v>1.858753959619053</v>
      </c>
      <c r="F16" s="162">
        <f t="shared" si="12"/>
        <v>1.858753959619053</v>
      </c>
      <c r="G16" s="160">
        <f t="shared" si="12"/>
        <v>1.8675770034475931</v>
      </c>
      <c r="H16" s="161">
        <f t="shared" si="12"/>
        <v>1.8819055770391591</v>
      </c>
      <c r="I16" s="161">
        <f t="shared" si="12"/>
        <v>1.8945540184106324</v>
      </c>
      <c r="J16" s="161">
        <f t="shared" si="12"/>
        <v>1.9051301772456453</v>
      </c>
      <c r="K16" s="162">
        <f t="shared" si="12"/>
        <v>1.9051301772456453</v>
      </c>
      <c r="L16" s="160">
        <f t="shared" si="12"/>
        <v>1.9139634115369908</v>
      </c>
      <c r="M16" s="161">
        <f t="shared" si="12"/>
        <v>1.9326723152825918</v>
      </c>
      <c r="N16" s="163">
        <v>1.98</v>
      </c>
      <c r="O16" s="161">
        <v>2.0099999999999998</v>
      </c>
      <c r="P16" s="162">
        <v>2.0099999999999998</v>
      </c>
      <c r="Q16" s="160">
        <f>Q7/Q12</f>
        <v>2.0423530760990696</v>
      </c>
      <c r="R16" s="161">
        <v>2.0699999999999998</v>
      </c>
      <c r="S16" s="161">
        <v>2.09</v>
      </c>
      <c r="T16" s="161">
        <v>2.13</v>
      </c>
      <c r="U16" s="162">
        <v>2.13</v>
      </c>
      <c r="V16" s="160">
        <v>2.16</v>
      </c>
      <c r="W16" s="161">
        <v>2.2000000000000002</v>
      </c>
      <c r="X16" s="161">
        <v>2.2200000000000002</v>
      </c>
      <c r="Y16" s="161">
        <v>2.25</v>
      </c>
      <c r="Z16" s="162">
        <f>Y16</f>
        <v>2.25</v>
      </c>
      <c r="AA16" s="160">
        <v>2.2799999999999998</v>
      </c>
      <c r="AB16" s="161">
        <v>2.31</v>
      </c>
      <c r="AC16" s="161">
        <v>2.34</v>
      </c>
      <c r="AD16" s="161">
        <v>2.37</v>
      </c>
      <c r="AE16" s="162">
        <v>2.37</v>
      </c>
      <c r="AF16" s="161">
        <v>2.4</v>
      </c>
      <c r="AG16" s="486">
        <v>2.4300000000000002</v>
      </c>
      <c r="AH16" s="486">
        <v>2.46</v>
      </c>
      <c r="AI16" s="486">
        <v>2.5</v>
      </c>
      <c r="AJ16" s="162">
        <v>2.5</v>
      </c>
      <c r="AK16" s="161">
        <v>2.5299999999999998</v>
      </c>
      <c r="AL16" s="486"/>
      <c r="AM16" s="486"/>
      <c r="AN16" s="486"/>
      <c r="AO16" s="162"/>
      <c r="AQ16" s="675"/>
    </row>
    <row r="17" spans="1:43" ht="20.100000000000001" customHeight="1">
      <c r="A17" s="164" t="s">
        <v>145</v>
      </c>
      <c r="B17" s="165">
        <f>B18+B20+B21</f>
        <v>11497022</v>
      </c>
      <c r="C17" s="166">
        <f t="shared" ref="C17:M17" si="13">C18+C20+C21</f>
        <v>11521707</v>
      </c>
      <c r="D17" s="166">
        <f t="shared" si="13"/>
        <v>11558288</v>
      </c>
      <c r="E17" s="166">
        <f t="shared" si="13"/>
        <v>11659474</v>
      </c>
      <c r="F17" s="124">
        <f t="shared" si="13"/>
        <v>11559122.75</v>
      </c>
      <c r="G17" s="165">
        <f t="shared" si="13"/>
        <v>11772318</v>
      </c>
      <c r="H17" s="166">
        <f t="shared" si="13"/>
        <v>11846507</v>
      </c>
      <c r="I17" s="166">
        <f t="shared" si="13"/>
        <v>11884574</v>
      </c>
      <c r="J17" s="166">
        <f t="shared" si="13"/>
        <v>11924710</v>
      </c>
      <c r="K17" s="124">
        <f t="shared" si="13"/>
        <v>11857027.25</v>
      </c>
      <c r="L17" s="165">
        <f t="shared" si="13"/>
        <v>11986199</v>
      </c>
      <c r="M17" s="166">
        <f t="shared" si="13"/>
        <v>11981389</v>
      </c>
      <c r="N17" s="166">
        <f>N18+N20+N21</f>
        <v>12125363</v>
      </c>
      <c r="O17" s="166">
        <f>O18+O20+O21</f>
        <v>12272311</v>
      </c>
      <c r="P17" s="125">
        <f>P18+P20+P21</f>
        <v>12091316</v>
      </c>
      <c r="Q17" s="165">
        <f t="shared" ref="Q17:U17" si="14">Q18+Q20+Q21</f>
        <v>12376603</v>
      </c>
      <c r="R17" s="166">
        <f t="shared" si="14"/>
        <v>12391326</v>
      </c>
      <c r="S17" s="166">
        <f t="shared" si="14"/>
        <v>12378586</v>
      </c>
      <c r="T17" s="166">
        <f t="shared" si="14"/>
        <v>12496080</v>
      </c>
      <c r="U17" s="125">
        <f t="shared" si="14"/>
        <v>12410649</v>
      </c>
      <c r="V17" s="165">
        <f t="shared" ref="V17:AE17" si="15">V18+V20+V21</f>
        <v>12675864</v>
      </c>
      <c r="W17" s="166">
        <f t="shared" si="15"/>
        <v>12809438</v>
      </c>
      <c r="X17" s="166">
        <f t="shared" si="15"/>
        <v>12940680</v>
      </c>
      <c r="Y17" s="166">
        <f t="shared" si="15"/>
        <v>13119033</v>
      </c>
      <c r="Z17" s="125">
        <f t="shared" si="15"/>
        <v>12886254</v>
      </c>
      <c r="AA17" s="165">
        <f t="shared" si="15"/>
        <v>13313971</v>
      </c>
      <c r="AB17" s="166">
        <f t="shared" si="15"/>
        <v>13379081</v>
      </c>
      <c r="AC17" s="166">
        <f t="shared" si="15"/>
        <v>13467835</v>
      </c>
      <c r="AD17" s="166">
        <f t="shared" si="15"/>
        <v>13596202</v>
      </c>
      <c r="AE17" s="125">
        <f t="shared" si="15"/>
        <v>13439272</v>
      </c>
      <c r="AF17" s="166">
        <f t="shared" ref="AF17:AI17" si="16">AF18+AF20+AF21</f>
        <v>13741811</v>
      </c>
      <c r="AG17" s="491">
        <f t="shared" si="16"/>
        <v>13858205</v>
      </c>
      <c r="AH17" s="491">
        <f t="shared" si="16"/>
        <v>13995952</v>
      </c>
      <c r="AI17" s="491">
        <f t="shared" si="16"/>
        <v>14159632</v>
      </c>
      <c r="AJ17" s="125">
        <f>AJ18+AJ20+AJ21</f>
        <v>13938900</v>
      </c>
      <c r="AK17" s="166">
        <f>AK18+AK20+AK21</f>
        <v>14283823</v>
      </c>
      <c r="AL17" s="166">
        <f t="shared" ref="AL17:AO17" si="17">AL18+AL20+AL21</f>
        <v>0</v>
      </c>
      <c r="AM17" s="166">
        <f t="shared" si="17"/>
        <v>0</v>
      </c>
      <c r="AN17" s="166">
        <f t="shared" si="17"/>
        <v>0</v>
      </c>
      <c r="AO17" s="125">
        <f t="shared" si="17"/>
        <v>0</v>
      </c>
      <c r="AQ17" s="675"/>
    </row>
    <row r="18" spans="1:43" ht="20.100000000000001" customHeight="1">
      <c r="A18" s="126" t="s">
        <v>138</v>
      </c>
      <c r="B18" s="127">
        <v>3858338</v>
      </c>
      <c r="C18" s="128">
        <v>3879834</v>
      </c>
      <c r="D18" s="128">
        <v>3894623</v>
      </c>
      <c r="E18" s="128">
        <v>3955082</v>
      </c>
      <c r="F18" s="129">
        <f>AVERAGE(B18:E18)</f>
        <v>3896969.25</v>
      </c>
      <c r="G18" s="127">
        <v>4018307</v>
      </c>
      <c r="H18" s="128">
        <v>4098051</v>
      </c>
      <c r="I18" s="128">
        <v>4144131</v>
      </c>
      <c r="J18" s="128">
        <v>4175145</v>
      </c>
      <c r="K18" s="129">
        <f>AVERAGE(G18:J18)</f>
        <v>4108908.5</v>
      </c>
      <c r="L18" s="127">
        <v>4227450</v>
      </c>
      <c r="M18" s="128">
        <v>4243880</v>
      </c>
      <c r="N18" s="130">
        <v>4301558</v>
      </c>
      <c r="O18" s="128">
        <v>4361890</v>
      </c>
      <c r="P18" s="131">
        <v>4283695</v>
      </c>
      <c r="Q18" s="127">
        <v>4403541</v>
      </c>
      <c r="R18" s="128">
        <v>4397999</v>
      </c>
      <c r="S18" s="128">
        <v>4376405</v>
      </c>
      <c r="T18" s="128">
        <v>4441918</v>
      </c>
      <c r="U18" s="131">
        <v>4404966</v>
      </c>
      <c r="V18" s="127">
        <v>4532806</v>
      </c>
      <c r="W18" s="128">
        <v>4595313</v>
      </c>
      <c r="X18" s="128">
        <v>4654591</v>
      </c>
      <c r="Y18" s="128">
        <v>4712813</v>
      </c>
      <c r="Z18" s="131">
        <v>4623881</v>
      </c>
      <c r="AA18" s="127">
        <v>4781680</v>
      </c>
      <c r="AB18" s="128">
        <v>4817543</v>
      </c>
      <c r="AC18" s="128">
        <v>4856979</v>
      </c>
      <c r="AD18" s="128">
        <v>4905839</v>
      </c>
      <c r="AE18" s="131">
        <v>4840510</v>
      </c>
      <c r="AF18" s="128">
        <v>4963830</v>
      </c>
      <c r="AG18" s="483">
        <v>5013604</v>
      </c>
      <c r="AH18" s="483">
        <v>5029344</v>
      </c>
      <c r="AI18" s="483">
        <v>5070219</v>
      </c>
      <c r="AJ18" s="131">
        <v>5019249</v>
      </c>
      <c r="AK18" s="128">
        <v>5090723</v>
      </c>
      <c r="AL18" s="483"/>
      <c r="AM18" s="483"/>
      <c r="AN18" s="483"/>
      <c r="AO18" s="131"/>
      <c r="AQ18" s="675"/>
    </row>
    <row r="19" spans="1:43" ht="20.100000000000001" customHeight="1">
      <c r="A19" s="132" t="s">
        <v>139</v>
      </c>
      <c r="B19" s="133">
        <v>358652</v>
      </c>
      <c r="C19" s="134">
        <v>406943</v>
      </c>
      <c r="D19" s="138">
        <v>443743.5</v>
      </c>
      <c r="E19" s="134">
        <v>494506</v>
      </c>
      <c r="F19" s="135">
        <f>AVERAGE(B19:E19)</f>
        <v>425961.125</v>
      </c>
      <c r="G19" s="133">
        <v>535271</v>
      </c>
      <c r="H19" s="134">
        <v>600411</v>
      </c>
      <c r="I19" s="134">
        <v>658475</v>
      </c>
      <c r="J19" s="134">
        <v>697978</v>
      </c>
      <c r="K19" s="135">
        <f t="shared" ref="K19:K21" si="18">AVERAGE(G19:J19)</f>
        <v>623033.75</v>
      </c>
      <c r="L19" s="167">
        <v>736315</v>
      </c>
      <c r="M19" s="134">
        <v>759922</v>
      </c>
      <c r="N19" s="136">
        <v>787736</v>
      </c>
      <c r="O19" s="134">
        <v>822568</v>
      </c>
      <c r="P19" s="137">
        <v>776635</v>
      </c>
      <c r="Q19" s="167">
        <v>860827</v>
      </c>
      <c r="R19" s="134">
        <v>881296</v>
      </c>
      <c r="S19" s="134">
        <v>893001</v>
      </c>
      <c r="T19" s="134">
        <v>915940</v>
      </c>
      <c r="U19" s="137">
        <v>887766</v>
      </c>
      <c r="V19" s="167">
        <v>948366</v>
      </c>
      <c r="W19" s="312">
        <v>964197</v>
      </c>
      <c r="X19" s="312">
        <v>977142</v>
      </c>
      <c r="Y19" s="134">
        <v>995820</v>
      </c>
      <c r="Z19" s="137">
        <v>971381</v>
      </c>
      <c r="AA19" s="167">
        <v>1029294</v>
      </c>
      <c r="AB19" s="128">
        <v>1051692</v>
      </c>
      <c r="AC19" s="312">
        <v>1064544</v>
      </c>
      <c r="AD19" s="312">
        <v>1082951</v>
      </c>
      <c r="AE19" s="137">
        <v>1057120</v>
      </c>
      <c r="AF19" s="312">
        <v>1108316</v>
      </c>
      <c r="AG19" s="488">
        <v>1121333</v>
      </c>
      <c r="AH19" s="488">
        <v>1134327</v>
      </c>
      <c r="AI19" s="488">
        <v>1149795</v>
      </c>
      <c r="AJ19" s="137">
        <v>1128443</v>
      </c>
      <c r="AK19" s="312">
        <v>1164591</v>
      </c>
      <c r="AL19" s="488"/>
      <c r="AM19" s="488"/>
      <c r="AN19" s="488"/>
      <c r="AO19" s="137"/>
      <c r="AQ19" s="675"/>
    </row>
    <row r="20" spans="1:43" ht="20.100000000000001" customHeight="1">
      <c r="A20" s="126" t="s">
        <v>140</v>
      </c>
      <c r="B20" s="127">
        <v>6986951</v>
      </c>
      <c r="C20" s="128">
        <v>6977393</v>
      </c>
      <c r="D20" s="128">
        <v>6978772</v>
      </c>
      <c r="E20" s="128">
        <v>6974525</v>
      </c>
      <c r="F20" s="129">
        <f t="shared" ref="F20:F21" si="19">AVERAGE(B20:E20)</f>
        <v>6979410.25</v>
      </c>
      <c r="G20" s="127">
        <v>6965606</v>
      </c>
      <c r="H20" s="128">
        <v>6917102</v>
      </c>
      <c r="I20" s="128">
        <v>6862047</v>
      </c>
      <c r="J20" s="128">
        <v>6801845</v>
      </c>
      <c r="K20" s="129">
        <f t="shared" si="18"/>
        <v>6886650</v>
      </c>
      <c r="L20" s="168">
        <v>6749396</v>
      </c>
      <c r="M20" s="128">
        <v>6670820</v>
      </c>
      <c r="N20" s="130">
        <v>6628199</v>
      </c>
      <c r="O20" s="128">
        <v>6597742</v>
      </c>
      <c r="P20" s="131">
        <v>6661539</v>
      </c>
      <c r="Q20" s="168">
        <v>6570344</v>
      </c>
      <c r="R20" s="128">
        <v>6532488</v>
      </c>
      <c r="S20" s="128">
        <v>6508391</v>
      </c>
      <c r="T20" s="128">
        <v>6502872</v>
      </c>
      <c r="U20" s="131">
        <v>6528524</v>
      </c>
      <c r="V20" s="168">
        <v>6523316</v>
      </c>
      <c r="W20" s="313">
        <v>6546774</v>
      </c>
      <c r="X20" s="313">
        <v>6579908</v>
      </c>
      <c r="Y20" s="128">
        <v>6667869</v>
      </c>
      <c r="Z20" s="131">
        <v>6579467</v>
      </c>
      <c r="AA20" s="168">
        <v>6769379</v>
      </c>
      <c r="AB20" s="128">
        <v>6790804</v>
      </c>
      <c r="AC20" s="313">
        <v>6836282</v>
      </c>
      <c r="AD20" s="313">
        <v>6894295</v>
      </c>
      <c r="AE20" s="131">
        <v>6822690</v>
      </c>
      <c r="AF20" s="313">
        <v>6963584</v>
      </c>
      <c r="AG20" s="489">
        <v>7036346</v>
      </c>
      <c r="AH20" s="489">
        <v>7161022</v>
      </c>
      <c r="AI20" s="489">
        <v>7276732</v>
      </c>
      <c r="AJ20" s="131">
        <v>7109421</v>
      </c>
      <c r="AK20" s="313">
        <v>7384746</v>
      </c>
      <c r="AL20" s="489"/>
      <c r="AM20" s="489"/>
      <c r="AN20" s="489"/>
      <c r="AO20" s="131"/>
      <c r="AQ20" s="675"/>
    </row>
    <row r="21" spans="1:43" ht="20.100000000000001" customHeight="1">
      <c r="A21" s="126" t="s">
        <v>141</v>
      </c>
      <c r="B21" s="127">
        <v>651733</v>
      </c>
      <c r="C21" s="128">
        <v>664480</v>
      </c>
      <c r="D21" s="128">
        <v>684893</v>
      </c>
      <c r="E21" s="128">
        <v>729867</v>
      </c>
      <c r="F21" s="129">
        <f t="shared" si="19"/>
        <v>682743.25</v>
      </c>
      <c r="G21" s="127">
        <v>788405</v>
      </c>
      <c r="H21" s="128">
        <v>831354</v>
      </c>
      <c r="I21" s="128">
        <v>878396</v>
      </c>
      <c r="J21" s="128">
        <v>947720</v>
      </c>
      <c r="K21" s="129">
        <f t="shared" si="18"/>
        <v>861468.75</v>
      </c>
      <c r="L21" s="168">
        <v>1009353</v>
      </c>
      <c r="M21" s="128">
        <v>1066689</v>
      </c>
      <c r="N21" s="130">
        <v>1195606</v>
      </c>
      <c r="O21" s="128">
        <v>1312679</v>
      </c>
      <c r="P21" s="131">
        <v>1146082</v>
      </c>
      <c r="Q21" s="168">
        <v>1402718</v>
      </c>
      <c r="R21" s="128">
        <v>1460839</v>
      </c>
      <c r="S21" s="128">
        <v>1493790</v>
      </c>
      <c r="T21" s="128">
        <v>1551290</v>
      </c>
      <c r="U21" s="131">
        <v>1477159</v>
      </c>
      <c r="V21" s="168">
        <v>1619742</v>
      </c>
      <c r="W21" s="313">
        <v>1667351</v>
      </c>
      <c r="X21" s="313">
        <v>1706181</v>
      </c>
      <c r="Y21" s="128">
        <v>1738351</v>
      </c>
      <c r="Z21" s="131">
        <v>1682906</v>
      </c>
      <c r="AA21" s="168">
        <v>1762912</v>
      </c>
      <c r="AB21" s="128">
        <v>1770734</v>
      </c>
      <c r="AC21" s="313">
        <v>1774574</v>
      </c>
      <c r="AD21" s="313">
        <v>1796068</v>
      </c>
      <c r="AE21" s="131">
        <v>1776072</v>
      </c>
      <c r="AF21" s="313">
        <v>1814397</v>
      </c>
      <c r="AG21" s="489">
        <v>1808255</v>
      </c>
      <c r="AH21" s="489">
        <v>1805586</v>
      </c>
      <c r="AI21" s="489">
        <v>1812681</v>
      </c>
      <c r="AJ21" s="131">
        <v>1810230</v>
      </c>
      <c r="AK21" s="313">
        <v>1808354</v>
      </c>
      <c r="AL21" s="489"/>
      <c r="AM21" s="489"/>
      <c r="AN21" s="489"/>
      <c r="AO21" s="131"/>
      <c r="AQ21" s="675"/>
    </row>
    <row r="22" spans="1:43" ht="20.100000000000001" customHeight="1" thickBot="1">
      <c r="A22" s="169" t="s">
        <v>146</v>
      </c>
      <c r="B22" s="170">
        <v>6288609</v>
      </c>
      <c r="C22" s="171">
        <v>6272029</v>
      </c>
      <c r="D22" s="171">
        <v>6271838</v>
      </c>
      <c r="E22" s="171">
        <v>6291791</v>
      </c>
      <c r="F22" s="172">
        <f>AVERAGE(B22:E22)</f>
        <v>6281066.75</v>
      </c>
      <c r="G22" s="173">
        <v>6316275</v>
      </c>
      <c r="H22" s="171">
        <v>6317333</v>
      </c>
      <c r="I22" s="171">
        <v>6293472</v>
      </c>
      <c r="J22" s="171">
        <v>6279979</v>
      </c>
      <c r="K22" s="172">
        <f>AVERAGE(G22:J22)</f>
        <v>6301764.75</v>
      </c>
      <c r="L22" s="173">
        <v>6274951</v>
      </c>
      <c r="M22" s="171">
        <v>6242450</v>
      </c>
      <c r="N22" s="145">
        <v>6201335</v>
      </c>
      <c r="O22" s="171">
        <v>6159902.666666667</v>
      </c>
      <c r="P22" s="174">
        <v>6219660</v>
      </c>
      <c r="Q22" s="173">
        <v>6105250</v>
      </c>
      <c r="R22" s="171">
        <v>6031638</v>
      </c>
      <c r="S22" s="171">
        <v>5960463</v>
      </c>
      <c r="T22" s="171">
        <v>5922397</v>
      </c>
      <c r="U22" s="174">
        <v>6004937</v>
      </c>
      <c r="V22" s="173">
        <v>5902526</v>
      </c>
      <c r="W22" s="171">
        <v>5876458</v>
      </c>
      <c r="X22" s="171">
        <v>5858477</v>
      </c>
      <c r="Y22" s="171">
        <v>5868541</v>
      </c>
      <c r="Z22" s="174">
        <v>5876500</v>
      </c>
      <c r="AA22" s="173">
        <v>5872517</v>
      </c>
      <c r="AB22" s="143">
        <v>5828405</v>
      </c>
      <c r="AC22" s="171">
        <v>5803517</v>
      </c>
      <c r="AD22" s="171">
        <v>5781207</v>
      </c>
      <c r="AE22" s="174">
        <v>5821411</v>
      </c>
      <c r="AF22" s="171">
        <v>5760338</v>
      </c>
      <c r="AG22" s="490">
        <v>5732091</v>
      </c>
      <c r="AH22" s="490">
        <v>5717882</v>
      </c>
      <c r="AI22" s="490">
        <v>5708353</v>
      </c>
      <c r="AJ22" s="174">
        <v>5729666</v>
      </c>
      <c r="AK22" s="171">
        <v>5688071</v>
      </c>
      <c r="AL22" s="490"/>
      <c r="AM22" s="490"/>
      <c r="AN22" s="490"/>
      <c r="AO22" s="174"/>
      <c r="AQ22" s="675"/>
    </row>
    <row r="23" spans="1:43" ht="20.100000000000001" customHeight="1">
      <c r="A23" s="175" t="s">
        <v>147</v>
      </c>
      <c r="B23" s="176"/>
      <c r="C23" s="177"/>
      <c r="D23" s="177"/>
      <c r="E23" s="177"/>
      <c r="F23" s="178"/>
      <c r="G23" s="179"/>
      <c r="H23" s="180"/>
      <c r="I23" s="180"/>
      <c r="J23" s="180"/>
      <c r="K23" s="178"/>
      <c r="L23" s="179"/>
      <c r="M23" s="181"/>
      <c r="N23" s="181"/>
      <c r="O23" s="180"/>
      <c r="P23" s="178"/>
      <c r="Q23" s="179"/>
      <c r="R23" s="181"/>
      <c r="S23" s="181"/>
      <c r="T23" s="180"/>
      <c r="U23" s="178"/>
      <c r="V23" s="179"/>
      <c r="W23" s="180"/>
      <c r="X23" s="180"/>
      <c r="Y23" s="180"/>
      <c r="Z23" s="178"/>
      <c r="AA23" s="179"/>
      <c r="AB23" s="180"/>
      <c r="AC23" s="180"/>
      <c r="AD23" s="180"/>
      <c r="AE23" s="178"/>
      <c r="AF23" s="180"/>
      <c r="AG23" s="180"/>
      <c r="AH23" s="571"/>
      <c r="AI23" s="180"/>
      <c r="AJ23" s="178"/>
      <c r="AK23" s="571"/>
      <c r="AL23" s="571"/>
      <c r="AM23" s="571"/>
      <c r="AN23" s="571"/>
      <c r="AO23" s="178"/>
      <c r="AQ23" s="675"/>
    </row>
    <row r="24" spans="1:43" ht="20.100000000000001" customHeight="1">
      <c r="A24" s="121" t="s">
        <v>137</v>
      </c>
      <c r="B24" s="182" t="s">
        <v>135</v>
      </c>
      <c r="C24" s="183" t="s">
        <v>135</v>
      </c>
      <c r="D24" s="183" t="s">
        <v>135</v>
      </c>
      <c r="E24" s="183" t="s">
        <v>135</v>
      </c>
      <c r="F24" s="125" t="s">
        <v>135</v>
      </c>
      <c r="G24" s="122">
        <f>SUM(G25:G27)</f>
        <v>4548385</v>
      </c>
      <c r="H24" s="123">
        <f t="shared" ref="H24:M24" si="20">SUM(H25:H27)</f>
        <v>4565319</v>
      </c>
      <c r="I24" s="123">
        <f t="shared" si="20"/>
        <v>4719129</v>
      </c>
      <c r="J24" s="123">
        <f t="shared" si="20"/>
        <v>4468527</v>
      </c>
      <c r="K24" s="124">
        <f t="shared" si="20"/>
        <v>4468527</v>
      </c>
      <c r="L24" s="122">
        <f t="shared" si="20"/>
        <v>4350325</v>
      </c>
      <c r="M24" s="123">
        <f t="shared" si="20"/>
        <v>4227128</v>
      </c>
      <c r="N24" s="123">
        <f>SUM(N25:N27)</f>
        <v>4219194</v>
      </c>
      <c r="O24" s="123">
        <f>SUM(O25:O27)</f>
        <v>4134203</v>
      </c>
      <c r="P24" s="125">
        <f>SUM(P25:P27)</f>
        <v>4134203</v>
      </c>
      <c r="Q24" s="122">
        <f t="shared" ref="Q24:U24" si="21">SUM(Q25:Q27)</f>
        <v>4034757</v>
      </c>
      <c r="R24" s="123">
        <f t="shared" si="21"/>
        <v>3972069</v>
      </c>
      <c r="S24" s="123">
        <f t="shared" si="21"/>
        <v>3976807</v>
      </c>
      <c r="T24" s="123">
        <f t="shared" si="21"/>
        <v>3854993</v>
      </c>
      <c r="U24" s="125">
        <f t="shared" si="21"/>
        <v>3854993</v>
      </c>
      <c r="V24" s="122">
        <f t="shared" ref="V24:AE24" si="22">SUM(V25:V27)</f>
        <v>3787667</v>
      </c>
      <c r="W24" s="123">
        <f t="shared" si="22"/>
        <v>3830816</v>
      </c>
      <c r="X24" s="123">
        <f t="shared" si="22"/>
        <v>3527904</v>
      </c>
      <c r="Y24" s="123">
        <f t="shared" si="22"/>
        <v>3270338</v>
      </c>
      <c r="Z24" s="125">
        <f t="shared" si="22"/>
        <v>3270338</v>
      </c>
      <c r="AA24" s="122">
        <f t="shared" si="22"/>
        <v>2879090</v>
      </c>
      <c r="AB24" s="123">
        <f t="shared" si="22"/>
        <v>2854301</v>
      </c>
      <c r="AC24" s="123">
        <f t="shared" si="22"/>
        <v>2880161</v>
      </c>
      <c r="AD24" s="123">
        <f t="shared" si="22"/>
        <v>2837553</v>
      </c>
      <c r="AE24" s="125">
        <f t="shared" si="22"/>
        <v>2837553</v>
      </c>
      <c r="AF24" s="123">
        <f t="shared" ref="AF24:AJ24" si="23">SUM(AF25:AF27)</f>
        <v>2783184</v>
      </c>
      <c r="AG24" s="482">
        <f t="shared" si="23"/>
        <v>2768818</v>
      </c>
      <c r="AH24" s="482">
        <f>SUM(AH25:AH27)</f>
        <v>2794108</v>
      </c>
      <c r="AI24" s="482">
        <f t="shared" si="23"/>
        <v>2646869</v>
      </c>
      <c r="AJ24" s="125">
        <f t="shared" si="23"/>
        <v>2646869</v>
      </c>
      <c r="AK24" s="123">
        <f>SUM(AK25:AK27)</f>
        <v>2642775</v>
      </c>
      <c r="AL24" s="123">
        <f t="shared" ref="AL24:AO24" si="24">SUM(AL25:AL27)</f>
        <v>0</v>
      </c>
      <c r="AM24" s="123">
        <f t="shared" si="24"/>
        <v>0</v>
      </c>
      <c r="AN24" s="123">
        <f t="shared" si="24"/>
        <v>0</v>
      </c>
      <c r="AO24" s="125">
        <f t="shared" si="24"/>
        <v>0</v>
      </c>
      <c r="AQ24" s="675"/>
    </row>
    <row r="25" spans="1:43" ht="20.100000000000001" customHeight="1">
      <c r="A25" s="126" t="s">
        <v>148</v>
      </c>
      <c r="B25" s="153" t="s">
        <v>135</v>
      </c>
      <c r="C25" s="154" t="s">
        <v>135</v>
      </c>
      <c r="D25" s="154" t="s">
        <v>135</v>
      </c>
      <c r="E25" s="154" t="s">
        <v>135</v>
      </c>
      <c r="F25" s="131" t="s">
        <v>135</v>
      </c>
      <c r="G25" s="127">
        <v>85574</v>
      </c>
      <c r="H25" s="128">
        <v>81441</v>
      </c>
      <c r="I25" s="128">
        <v>84538</v>
      </c>
      <c r="J25" s="128">
        <v>77771</v>
      </c>
      <c r="K25" s="131">
        <f>J25</f>
        <v>77771</v>
      </c>
      <c r="L25" s="127">
        <v>81619</v>
      </c>
      <c r="M25" s="128">
        <v>66578</v>
      </c>
      <c r="N25" s="130">
        <v>98136</v>
      </c>
      <c r="O25" s="128">
        <v>122787</v>
      </c>
      <c r="P25" s="131">
        <v>122787</v>
      </c>
      <c r="Q25" s="127">
        <v>66163</v>
      </c>
      <c r="R25" s="128">
        <v>41517</v>
      </c>
      <c r="S25" s="128">
        <v>60471</v>
      </c>
      <c r="T25" s="128">
        <v>31972</v>
      </c>
      <c r="U25" s="131">
        <f>T25</f>
        <v>31972</v>
      </c>
      <c r="V25" s="127">
        <v>35754</v>
      </c>
      <c r="W25" s="128">
        <v>73544</v>
      </c>
      <c r="X25" s="128">
        <v>44913</v>
      </c>
      <c r="Y25" s="128">
        <v>79306</v>
      </c>
      <c r="Z25" s="131">
        <f>Y25</f>
        <v>79306</v>
      </c>
      <c r="AA25" s="127">
        <v>48224</v>
      </c>
      <c r="AB25" s="128">
        <v>57183</v>
      </c>
      <c r="AC25" s="128">
        <v>63627</v>
      </c>
      <c r="AD25" s="128">
        <v>79561</v>
      </c>
      <c r="AE25" s="131">
        <f>AD25</f>
        <v>79561</v>
      </c>
      <c r="AF25" s="128">
        <v>75159</v>
      </c>
      <c r="AG25" s="483">
        <v>59722</v>
      </c>
      <c r="AH25" s="483">
        <v>91261</v>
      </c>
      <c r="AI25" s="483">
        <v>95685</v>
      </c>
      <c r="AJ25" s="131">
        <v>95685</v>
      </c>
      <c r="AK25" s="128">
        <v>144586</v>
      </c>
      <c r="AL25" s="483"/>
      <c r="AM25" s="483"/>
      <c r="AN25" s="483"/>
      <c r="AO25" s="131"/>
      <c r="AQ25" s="675"/>
    </row>
    <row r="26" spans="1:43" ht="20.100000000000001" customHeight="1">
      <c r="A26" s="126" t="s">
        <v>140</v>
      </c>
      <c r="B26" s="153" t="s">
        <v>135</v>
      </c>
      <c r="C26" s="154" t="s">
        <v>135</v>
      </c>
      <c r="D26" s="154" t="s">
        <v>135</v>
      </c>
      <c r="E26" s="154" t="s">
        <v>135</v>
      </c>
      <c r="F26" s="131" t="s">
        <v>135</v>
      </c>
      <c r="G26" s="127">
        <v>4385742</v>
      </c>
      <c r="H26" s="128">
        <v>4379630</v>
      </c>
      <c r="I26" s="128">
        <v>4475541</v>
      </c>
      <c r="J26" s="128">
        <v>4171810</v>
      </c>
      <c r="K26" s="131">
        <f>J26</f>
        <v>4171810</v>
      </c>
      <c r="L26" s="127">
        <v>4042605</v>
      </c>
      <c r="M26" s="128">
        <v>3923778</v>
      </c>
      <c r="N26" s="130">
        <v>3855669</v>
      </c>
      <c r="O26" s="128">
        <v>3792978</v>
      </c>
      <c r="P26" s="131">
        <v>3792978</v>
      </c>
      <c r="Q26" s="127">
        <v>3775976</v>
      </c>
      <c r="R26" s="128">
        <v>3737282</v>
      </c>
      <c r="S26" s="128">
        <v>3685092</v>
      </c>
      <c r="T26" s="128">
        <v>3591736</v>
      </c>
      <c r="U26" s="131">
        <f t="shared" ref="U26:U27" si="25">T26</f>
        <v>3591736</v>
      </c>
      <c r="V26" s="127">
        <v>3495733</v>
      </c>
      <c r="W26" s="128">
        <v>3473228</v>
      </c>
      <c r="X26" s="128">
        <v>3223224</v>
      </c>
      <c r="Y26" s="128">
        <v>2972443</v>
      </c>
      <c r="Z26" s="131">
        <f t="shared" ref="Z26:Z27" si="26">Y26</f>
        <v>2972443</v>
      </c>
      <c r="AA26" s="127">
        <v>2646477</v>
      </c>
      <c r="AB26" s="128">
        <v>2616592</v>
      </c>
      <c r="AC26" s="128">
        <v>2623950</v>
      </c>
      <c r="AD26" s="128">
        <v>2579613</v>
      </c>
      <c r="AE26" s="131">
        <f t="shared" ref="AE26:AE27" si="27">AD26</f>
        <v>2579613</v>
      </c>
      <c r="AF26" s="128">
        <v>2539402</v>
      </c>
      <c r="AG26" s="483">
        <v>2545749</v>
      </c>
      <c r="AH26" s="483">
        <v>2550355</v>
      </c>
      <c r="AI26" s="483">
        <v>2423774</v>
      </c>
      <c r="AJ26" s="131">
        <v>2423774</v>
      </c>
      <c r="AK26" s="128">
        <v>2387672</v>
      </c>
      <c r="AL26" s="483"/>
      <c r="AM26" s="483"/>
      <c r="AN26" s="483"/>
      <c r="AO26" s="131"/>
      <c r="AQ26" s="675"/>
    </row>
    <row r="27" spans="1:43" ht="20.100000000000001" customHeight="1" thickBot="1">
      <c r="A27" s="126" t="s">
        <v>149</v>
      </c>
      <c r="B27" s="184" t="s">
        <v>135</v>
      </c>
      <c r="C27" s="185" t="s">
        <v>135</v>
      </c>
      <c r="D27" s="185" t="s">
        <v>135</v>
      </c>
      <c r="E27" s="185" t="s">
        <v>135</v>
      </c>
      <c r="F27" s="131" t="s">
        <v>135</v>
      </c>
      <c r="G27" s="127">
        <v>77069</v>
      </c>
      <c r="H27" s="128">
        <v>104248</v>
      </c>
      <c r="I27" s="128">
        <v>159050</v>
      </c>
      <c r="J27" s="128">
        <v>218946</v>
      </c>
      <c r="K27" s="131">
        <f>J27</f>
        <v>218946</v>
      </c>
      <c r="L27" s="127">
        <v>226101</v>
      </c>
      <c r="M27" s="128">
        <v>236772</v>
      </c>
      <c r="N27" s="130">
        <v>265389</v>
      </c>
      <c r="O27" s="128">
        <v>218438</v>
      </c>
      <c r="P27" s="131">
        <v>218438</v>
      </c>
      <c r="Q27" s="127">
        <v>192618</v>
      </c>
      <c r="R27" s="128">
        <v>193270</v>
      </c>
      <c r="S27" s="128">
        <v>231244</v>
      </c>
      <c r="T27" s="128">
        <v>231285</v>
      </c>
      <c r="U27" s="131">
        <f t="shared" si="25"/>
        <v>231285</v>
      </c>
      <c r="V27" s="127">
        <v>256180</v>
      </c>
      <c r="W27" s="128">
        <v>284044</v>
      </c>
      <c r="X27" s="128">
        <v>259767</v>
      </c>
      <c r="Y27" s="128">
        <v>218589</v>
      </c>
      <c r="Z27" s="131">
        <f t="shared" si="26"/>
        <v>218589</v>
      </c>
      <c r="AA27" s="127">
        <v>184389</v>
      </c>
      <c r="AB27" s="128">
        <v>180526</v>
      </c>
      <c r="AC27" s="128">
        <v>192584</v>
      </c>
      <c r="AD27" s="128">
        <v>178379</v>
      </c>
      <c r="AE27" s="131">
        <f t="shared" si="27"/>
        <v>178379</v>
      </c>
      <c r="AF27" s="128">
        <v>168623</v>
      </c>
      <c r="AG27" s="483">
        <v>163347</v>
      </c>
      <c r="AH27" s="483">
        <v>152492</v>
      </c>
      <c r="AI27" s="483">
        <v>127410</v>
      </c>
      <c r="AJ27" s="131">
        <v>127410</v>
      </c>
      <c r="AK27" s="128">
        <v>110517</v>
      </c>
      <c r="AL27" s="483"/>
      <c r="AM27" s="483"/>
      <c r="AN27" s="483"/>
      <c r="AO27" s="131"/>
      <c r="AQ27" s="675"/>
    </row>
    <row r="28" spans="1:43" ht="20.100000000000001" customHeight="1" thickBot="1">
      <c r="A28" s="186" t="s">
        <v>150</v>
      </c>
      <c r="B28" s="187" t="s">
        <v>135</v>
      </c>
      <c r="C28" s="188" t="s">
        <v>135</v>
      </c>
      <c r="D28" s="188" t="s">
        <v>135</v>
      </c>
      <c r="E28" s="188" t="s">
        <v>135</v>
      </c>
      <c r="F28" s="189" t="s">
        <v>135</v>
      </c>
      <c r="G28" s="190">
        <v>18</v>
      </c>
      <c r="H28" s="191">
        <v>19.2</v>
      </c>
      <c r="I28" s="191">
        <v>18.2</v>
      </c>
      <c r="J28" s="191">
        <v>17.5</v>
      </c>
      <c r="K28" s="192">
        <v>18.2</v>
      </c>
      <c r="L28" s="190">
        <v>16.5</v>
      </c>
      <c r="M28" s="191">
        <v>17.899999999999999</v>
      </c>
      <c r="N28" s="193">
        <v>18.3</v>
      </c>
      <c r="O28" s="191">
        <v>18.2</v>
      </c>
      <c r="P28" s="192">
        <v>17.7</v>
      </c>
      <c r="Q28" s="190">
        <v>17.3</v>
      </c>
      <c r="R28" s="191">
        <v>18.3</v>
      </c>
      <c r="S28" s="191">
        <v>19</v>
      </c>
      <c r="T28" s="191">
        <v>18.5</v>
      </c>
      <c r="U28" s="192">
        <v>18.3</v>
      </c>
      <c r="V28" s="190">
        <v>17.7</v>
      </c>
      <c r="W28" s="191">
        <v>18.899999999999999</v>
      </c>
      <c r="X28" s="191">
        <v>18.7</v>
      </c>
      <c r="Y28" s="191">
        <v>19.2</v>
      </c>
      <c r="Z28" s="192">
        <v>18.600000000000001</v>
      </c>
      <c r="AA28" s="190">
        <v>18.7</v>
      </c>
      <c r="AB28" s="191">
        <v>20.5</v>
      </c>
      <c r="AC28" s="191">
        <v>20.2</v>
      </c>
      <c r="AD28" s="191">
        <v>20.100000000000001</v>
      </c>
      <c r="AE28" s="192">
        <v>19.899999999999999</v>
      </c>
      <c r="AF28" s="191">
        <v>20.100000000000001</v>
      </c>
      <c r="AG28" s="492">
        <v>20.399999999999999</v>
      </c>
      <c r="AH28" s="492">
        <v>20.8</v>
      </c>
      <c r="AI28" s="492">
        <v>20.3</v>
      </c>
      <c r="AJ28" s="192">
        <v>20.399999999999999</v>
      </c>
      <c r="AK28" s="191">
        <v>20.100000000000001</v>
      </c>
      <c r="AL28" s="492"/>
      <c r="AM28" s="492"/>
      <c r="AN28" s="492"/>
      <c r="AO28" s="192"/>
      <c r="AQ28" s="675"/>
    </row>
    <row r="29" spans="1:43" ht="20.100000000000001" customHeight="1">
      <c r="A29" s="194" t="s">
        <v>145</v>
      </c>
      <c r="B29" s="195" t="s">
        <v>135</v>
      </c>
      <c r="C29" s="196" t="s">
        <v>135</v>
      </c>
      <c r="D29" s="196" t="s">
        <v>135</v>
      </c>
      <c r="E29" s="196" t="s">
        <v>135</v>
      </c>
      <c r="F29" s="197" t="s">
        <v>135</v>
      </c>
      <c r="G29" s="165">
        <f>SUM(G30:G32)</f>
        <v>4549031</v>
      </c>
      <c r="H29" s="166">
        <f t="shared" ref="H29:M29" si="28">SUM(H30:H32)</f>
        <v>4532090</v>
      </c>
      <c r="I29" s="166">
        <f t="shared" si="28"/>
        <v>4635182</v>
      </c>
      <c r="J29" s="166">
        <f t="shared" si="28"/>
        <v>4599374</v>
      </c>
      <c r="K29" s="197">
        <f t="shared" si="28"/>
        <v>4578919.25</v>
      </c>
      <c r="L29" s="165">
        <f t="shared" si="28"/>
        <v>4398038</v>
      </c>
      <c r="M29" s="166">
        <f t="shared" si="28"/>
        <v>4285747</v>
      </c>
      <c r="N29" s="166">
        <f>SUM(N30:N32)</f>
        <v>4212274</v>
      </c>
      <c r="O29" s="166">
        <f>SUM(O30:O32)</f>
        <v>4172129</v>
      </c>
      <c r="P29" s="197">
        <f>SUM(P30:P32)</f>
        <v>4267047</v>
      </c>
      <c r="Q29" s="165">
        <f t="shared" ref="Q29:U29" si="29">SUM(Q30:Q32)</f>
        <v>4068646</v>
      </c>
      <c r="R29" s="166">
        <f t="shared" si="29"/>
        <v>4006108</v>
      </c>
      <c r="S29" s="166">
        <f t="shared" si="29"/>
        <v>3970091</v>
      </c>
      <c r="T29" s="166">
        <f t="shared" si="29"/>
        <v>3917979</v>
      </c>
      <c r="U29" s="197">
        <f t="shared" si="29"/>
        <v>3990706</v>
      </c>
      <c r="V29" s="165">
        <f t="shared" ref="V29:AE29" si="30">SUM(V30:V32)</f>
        <v>3801870</v>
      </c>
      <c r="W29" s="166">
        <f t="shared" si="30"/>
        <v>3794613</v>
      </c>
      <c r="X29" s="166">
        <f t="shared" si="30"/>
        <v>3713417</v>
      </c>
      <c r="Y29" s="166">
        <f t="shared" si="30"/>
        <v>3341220</v>
      </c>
      <c r="Z29" s="197">
        <f t="shared" si="30"/>
        <v>3662780</v>
      </c>
      <c r="AA29" s="165">
        <f t="shared" si="30"/>
        <v>3050604</v>
      </c>
      <c r="AB29" s="166">
        <f t="shared" si="30"/>
        <v>2882155</v>
      </c>
      <c r="AC29" s="166">
        <f t="shared" si="30"/>
        <v>2863783</v>
      </c>
      <c r="AD29" s="166">
        <f t="shared" si="30"/>
        <v>2851766</v>
      </c>
      <c r="AE29" s="197">
        <f t="shared" si="30"/>
        <v>2912076</v>
      </c>
      <c r="AF29" s="166">
        <f t="shared" ref="AF29:AJ29" si="31">SUM(AF30:AF32)</f>
        <v>2789695</v>
      </c>
      <c r="AG29" s="491">
        <f t="shared" si="31"/>
        <v>2771707.333333333</v>
      </c>
      <c r="AH29" s="491">
        <f t="shared" si="31"/>
        <v>2774199</v>
      </c>
      <c r="AI29" s="491">
        <f t="shared" si="31"/>
        <v>2745638</v>
      </c>
      <c r="AJ29" s="197">
        <f t="shared" si="31"/>
        <v>2770309</v>
      </c>
      <c r="AK29" s="166">
        <f t="shared" ref="AK29:AO29" si="32">SUM(AK30:AK32)</f>
        <v>2613613</v>
      </c>
      <c r="AL29" s="166">
        <f t="shared" si="32"/>
        <v>0</v>
      </c>
      <c r="AM29" s="166">
        <f t="shared" si="32"/>
        <v>0</v>
      </c>
      <c r="AN29" s="166">
        <f t="shared" si="32"/>
        <v>0</v>
      </c>
      <c r="AO29" s="197">
        <f t="shared" si="32"/>
        <v>0</v>
      </c>
      <c r="AQ29" s="675"/>
    </row>
    <row r="30" spans="1:43" ht="20.100000000000001" customHeight="1">
      <c r="A30" s="126" t="s">
        <v>148</v>
      </c>
      <c r="B30" s="153" t="s">
        <v>135</v>
      </c>
      <c r="C30" s="154" t="s">
        <v>135</v>
      </c>
      <c r="D30" s="154" t="s">
        <v>135</v>
      </c>
      <c r="E30" s="154" t="s">
        <v>135</v>
      </c>
      <c r="F30" s="131" t="s">
        <v>135</v>
      </c>
      <c r="G30" s="127">
        <v>78707</v>
      </c>
      <c r="H30" s="128">
        <v>73828</v>
      </c>
      <c r="I30" s="128">
        <v>68740</v>
      </c>
      <c r="J30" s="128">
        <v>77953</v>
      </c>
      <c r="K30" s="131">
        <f>AVERAGE(G30:J30)</f>
        <v>74807</v>
      </c>
      <c r="L30" s="127">
        <v>77779</v>
      </c>
      <c r="M30" s="128">
        <v>79253</v>
      </c>
      <c r="N30" s="130">
        <v>69522</v>
      </c>
      <c r="O30" s="128">
        <v>129021</v>
      </c>
      <c r="P30" s="131">
        <v>88894</v>
      </c>
      <c r="Q30" s="127">
        <v>67972</v>
      </c>
      <c r="R30" s="128">
        <v>61165</v>
      </c>
      <c r="S30" s="128">
        <v>41313</v>
      </c>
      <c r="T30" s="128">
        <v>56743</v>
      </c>
      <c r="U30" s="131">
        <v>56798</v>
      </c>
      <c r="V30" s="127">
        <v>36255</v>
      </c>
      <c r="W30" s="128">
        <v>52114</v>
      </c>
      <c r="X30" s="128">
        <v>42971</v>
      </c>
      <c r="Y30" s="128">
        <v>54083</v>
      </c>
      <c r="Z30" s="131">
        <v>46356</v>
      </c>
      <c r="AA30" s="127">
        <v>48659</v>
      </c>
      <c r="AB30" s="128">
        <v>69132</v>
      </c>
      <c r="AC30" s="128">
        <v>54950</v>
      </c>
      <c r="AD30" s="128">
        <v>65088</v>
      </c>
      <c r="AE30" s="131">
        <v>59457</v>
      </c>
      <c r="AF30" s="128">
        <v>58222</v>
      </c>
      <c r="AG30" s="483">
        <v>69503.166666666672</v>
      </c>
      <c r="AH30" s="483">
        <v>58358</v>
      </c>
      <c r="AI30" s="483">
        <v>95346</v>
      </c>
      <c r="AJ30" s="131">
        <v>70357</v>
      </c>
      <c r="AK30" s="128">
        <v>91940</v>
      </c>
      <c r="AL30" s="483"/>
      <c r="AM30" s="483"/>
      <c r="AN30" s="483"/>
      <c r="AO30" s="131"/>
      <c r="AQ30" s="675"/>
    </row>
    <row r="31" spans="1:43" ht="20.100000000000001" customHeight="1">
      <c r="A31" s="126" t="s">
        <v>140</v>
      </c>
      <c r="B31" s="153" t="s">
        <v>135</v>
      </c>
      <c r="C31" s="154" t="s">
        <v>135</v>
      </c>
      <c r="D31" s="154" t="s">
        <v>135</v>
      </c>
      <c r="E31" s="154" t="s">
        <v>135</v>
      </c>
      <c r="F31" s="131" t="s">
        <v>135</v>
      </c>
      <c r="G31" s="127">
        <v>4397976</v>
      </c>
      <c r="H31" s="128">
        <v>4370181</v>
      </c>
      <c r="I31" s="128">
        <v>4431149</v>
      </c>
      <c r="J31" s="128">
        <v>4338987</v>
      </c>
      <c r="K31" s="131">
        <f t="shared" ref="K31:K32" si="33">AVERAGE(G31:J31)</f>
        <v>4384573.25</v>
      </c>
      <c r="L31" s="127">
        <v>4091609</v>
      </c>
      <c r="M31" s="128">
        <v>3975410</v>
      </c>
      <c r="N31" s="130">
        <v>3893375</v>
      </c>
      <c r="O31" s="128">
        <v>3798701</v>
      </c>
      <c r="P31" s="131">
        <v>3939774</v>
      </c>
      <c r="Q31" s="127">
        <v>3797423</v>
      </c>
      <c r="R31" s="128">
        <v>3755130</v>
      </c>
      <c r="S31" s="128">
        <v>3713656</v>
      </c>
      <c r="T31" s="128">
        <v>3630863</v>
      </c>
      <c r="U31" s="131">
        <v>3724268</v>
      </c>
      <c r="V31" s="127">
        <v>3529840</v>
      </c>
      <c r="W31" s="128">
        <v>3473104</v>
      </c>
      <c r="X31" s="128">
        <v>3386794</v>
      </c>
      <c r="Y31" s="128">
        <v>3058691</v>
      </c>
      <c r="Z31" s="131">
        <v>3362107</v>
      </c>
      <c r="AA31" s="127">
        <v>2800366</v>
      </c>
      <c r="AB31" s="128">
        <v>2631773</v>
      </c>
      <c r="AC31" s="128">
        <v>2620575</v>
      </c>
      <c r="AD31" s="128">
        <v>2601552</v>
      </c>
      <c r="AE31" s="131">
        <v>2663566</v>
      </c>
      <c r="AF31" s="128">
        <v>2558174</v>
      </c>
      <c r="AG31" s="483">
        <v>2536844.1666666665</v>
      </c>
      <c r="AH31" s="483">
        <v>2555414</v>
      </c>
      <c r="AI31" s="483">
        <v>2511226</v>
      </c>
      <c r="AJ31" s="131">
        <v>2540414</v>
      </c>
      <c r="AK31" s="128">
        <v>2403135</v>
      </c>
      <c r="AL31" s="483"/>
      <c r="AM31" s="483"/>
      <c r="AN31" s="483"/>
      <c r="AO31" s="131"/>
      <c r="AQ31" s="675"/>
    </row>
    <row r="32" spans="1:43" ht="20.100000000000001" customHeight="1" thickBot="1">
      <c r="A32" s="198" t="s">
        <v>149</v>
      </c>
      <c r="B32" s="184" t="s">
        <v>135</v>
      </c>
      <c r="C32" s="185" t="s">
        <v>135</v>
      </c>
      <c r="D32" s="185" t="s">
        <v>135</v>
      </c>
      <c r="E32" s="185" t="s">
        <v>135</v>
      </c>
      <c r="F32" s="199" t="s">
        <v>135</v>
      </c>
      <c r="G32" s="200">
        <v>72348</v>
      </c>
      <c r="H32" s="201">
        <v>88081</v>
      </c>
      <c r="I32" s="201">
        <v>135293</v>
      </c>
      <c r="J32" s="201">
        <v>182434</v>
      </c>
      <c r="K32" s="199">
        <f t="shared" si="33"/>
        <v>119539</v>
      </c>
      <c r="L32" s="200">
        <v>228650</v>
      </c>
      <c r="M32" s="201">
        <v>231084</v>
      </c>
      <c r="N32" s="202">
        <v>249377</v>
      </c>
      <c r="O32" s="201">
        <v>244407</v>
      </c>
      <c r="P32" s="199">
        <v>238379</v>
      </c>
      <c r="Q32" s="200">
        <v>203251</v>
      </c>
      <c r="R32" s="201">
        <v>189813</v>
      </c>
      <c r="S32" s="201">
        <v>215122</v>
      </c>
      <c r="T32" s="201">
        <v>230373</v>
      </c>
      <c r="U32" s="199">
        <v>209640</v>
      </c>
      <c r="V32" s="200">
        <v>235775</v>
      </c>
      <c r="W32" s="201">
        <v>269395</v>
      </c>
      <c r="X32" s="201">
        <v>283652</v>
      </c>
      <c r="Y32" s="201">
        <v>228446</v>
      </c>
      <c r="Z32" s="199">
        <v>254317</v>
      </c>
      <c r="AA32" s="200">
        <v>201579</v>
      </c>
      <c r="AB32" s="201">
        <v>181250</v>
      </c>
      <c r="AC32" s="201">
        <v>188258</v>
      </c>
      <c r="AD32" s="201">
        <v>185126</v>
      </c>
      <c r="AE32" s="199">
        <v>189053</v>
      </c>
      <c r="AF32" s="201">
        <v>173299</v>
      </c>
      <c r="AG32" s="493">
        <v>165360</v>
      </c>
      <c r="AH32" s="493">
        <v>160427</v>
      </c>
      <c r="AI32" s="493">
        <v>139066</v>
      </c>
      <c r="AJ32" s="199">
        <v>159538</v>
      </c>
      <c r="AK32" s="201">
        <v>118538</v>
      </c>
      <c r="AL32" s="493"/>
      <c r="AM32" s="493"/>
      <c r="AN32" s="493"/>
      <c r="AO32" s="199"/>
      <c r="AQ32" s="675"/>
    </row>
    <row r="33" spans="1:39" s="203" customFormat="1" ht="20.100000000000001" customHeight="1">
      <c r="A33" s="204"/>
      <c r="R33" s="204"/>
      <c r="S33" s="204"/>
      <c r="AH33" s="572"/>
      <c r="AL33" s="4"/>
      <c r="AM33" s="4"/>
    </row>
    <row r="34" spans="1:39" s="203" customFormat="1" ht="20.100000000000001" customHeight="1">
      <c r="A34" s="205" t="s">
        <v>151</v>
      </c>
      <c r="B34" s="206"/>
      <c r="C34" s="206"/>
      <c r="D34" s="206"/>
      <c r="E34" s="206"/>
      <c r="F34" s="206"/>
      <c r="G34" s="206"/>
      <c r="H34" s="206"/>
      <c r="I34" s="206"/>
      <c r="J34" s="206"/>
      <c r="K34" s="206"/>
      <c r="L34" s="206"/>
      <c r="M34" s="206"/>
      <c r="N34" s="206"/>
      <c r="O34" s="206"/>
      <c r="P34" s="206"/>
      <c r="Q34" s="206"/>
      <c r="R34" s="205"/>
      <c r="S34" s="205"/>
      <c r="T34" s="206"/>
      <c r="U34" s="206"/>
      <c r="V34" s="206"/>
      <c r="W34" s="206"/>
      <c r="X34" s="206"/>
      <c r="Y34" s="206"/>
      <c r="Z34" s="206"/>
      <c r="AA34" s="206"/>
      <c r="AB34" s="206"/>
      <c r="AC34" s="206"/>
      <c r="AD34" s="206"/>
      <c r="AE34" s="206"/>
      <c r="AF34" s="206"/>
      <c r="AG34" s="206"/>
      <c r="AH34" s="573"/>
      <c r="AI34" s="206"/>
      <c r="AJ34" s="206"/>
      <c r="AL34" s="4"/>
      <c r="AM34" s="4"/>
    </row>
    <row r="35" spans="1:39" s="203" customFormat="1" ht="20.100000000000001" customHeight="1">
      <c r="A35" s="205" t="s">
        <v>152</v>
      </c>
      <c r="B35" s="206"/>
      <c r="C35" s="206"/>
      <c r="D35" s="206"/>
      <c r="E35" s="206"/>
      <c r="F35" s="206"/>
      <c r="G35" s="206"/>
      <c r="H35" s="206"/>
      <c r="I35" s="206"/>
      <c r="J35" s="206"/>
      <c r="K35" s="206"/>
      <c r="L35" s="206"/>
      <c r="M35" s="206"/>
      <c r="N35" s="206"/>
      <c r="O35" s="206"/>
      <c r="P35" s="206"/>
      <c r="Q35" s="206"/>
      <c r="R35" s="205"/>
      <c r="S35" s="205"/>
      <c r="T35" s="206"/>
      <c r="U35" s="206"/>
      <c r="V35" s="206"/>
      <c r="W35" s="206"/>
      <c r="X35" s="206"/>
      <c r="Y35" s="206"/>
      <c r="Z35" s="206"/>
      <c r="AA35" s="206"/>
      <c r="AB35" s="206"/>
      <c r="AC35" s="206"/>
      <c r="AD35" s="206"/>
      <c r="AE35" s="206"/>
      <c r="AF35" s="206"/>
      <c r="AG35" s="206"/>
      <c r="AH35" s="573"/>
      <c r="AI35" s="206"/>
      <c r="AJ35" s="206"/>
      <c r="AL35" s="4"/>
      <c r="AM35" s="4"/>
    </row>
    <row r="36" spans="1:39" s="203" customFormat="1" ht="20.100000000000001" customHeight="1">
      <c r="A36" s="715" t="s">
        <v>153</v>
      </c>
      <c r="B36" s="714"/>
      <c r="C36" s="714"/>
      <c r="D36" s="714"/>
      <c r="E36" s="714"/>
      <c r="F36" s="714"/>
      <c r="G36" s="714"/>
      <c r="H36" s="714"/>
      <c r="I36" s="714"/>
      <c r="J36" s="206"/>
      <c r="K36" s="206"/>
      <c r="L36" s="206"/>
      <c r="M36" s="206"/>
      <c r="N36" s="206"/>
      <c r="O36" s="206"/>
      <c r="P36" s="206"/>
      <c r="Q36" s="206"/>
      <c r="R36" s="205"/>
      <c r="S36" s="205"/>
      <c r="T36" s="206"/>
      <c r="U36" s="206"/>
      <c r="V36" s="206"/>
      <c r="W36" s="206"/>
      <c r="X36" s="206"/>
      <c r="Y36" s="206"/>
      <c r="Z36" s="206"/>
      <c r="AA36" s="206"/>
      <c r="AB36" s="206"/>
      <c r="AC36" s="206"/>
      <c r="AD36" s="206"/>
      <c r="AE36" s="206"/>
      <c r="AF36" s="206"/>
      <c r="AG36" s="206"/>
      <c r="AH36" s="206"/>
      <c r="AI36" s="206"/>
      <c r="AJ36" s="206"/>
      <c r="AL36" s="4"/>
      <c r="AM36" s="4"/>
    </row>
    <row r="37" spans="1:39" s="203" customFormat="1" ht="30" customHeight="1">
      <c r="A37" s="715" t="s">
        <v>154</v>
      </c>
      <c r="B37" s="715"/>
      <c r="C37" s="715"/>
      <c r="D37" s="715"/>
      <c r="E37" s="715"/>
      <c r="F37" s="715"/>
      <c r="G37" s="715"/>
      <c r="H37" s="715"/>
      <c r="I37" s="715"/>
      <c r="J37" s="715"/>
      <c r="K37" s="715"/>
      <c r="L37" s="715"/>
      <c r="M37" s="715"/>
      <c r="N37" s="715"/>
      <c r="O37" s="715"/>
      <c r="P37" s="715"/>
      <c r="Q37" s="715"/>
      <c r="R37" s="715"/>
      <c r="S37" s="715"/>
      <c r="T37" s="204"/>
      <c r="Y37" s="204"/>
      <c r="AD37" s="204"/>
      <c r="AI37" s="204"/>
      <c r="AL37" s="4"/>
      <c r="AM37" s="4"/>
    </row>
    <row r="38" spans="1:39" s="203" customFormat="1" ht="20.100000000000001" customHeight="1">
      <c r="A38" s="714" t="s">
        <v>155</v>
      </c>
      <c r="B38" s="714"/>
      <c r="C38" s="714"/>
      <c r="D38" s="714"/>
      <c r="E38" s="714"/>
      <c r="F38" s="714"/>
      <c r="G38" s="714"/>
      <c r="H38" s="714"/>
      <c r="I38" s="714"/>
      <c r="J38" s="714"/>
      <c r="K38" s="714"/>
      <c r="L38" s="714"/>
      <c r="M38" s="714"/>
      <c r="N38" s="206"/>
      <c r="O38" s="206"/>
      <c r="P38" s="206"/>
      <c r="Q38" s="206"/>
      <c r="R38" s="205"/>
      <c r="S38" s="205"/>
      <c r="T38" s="206"/>
      <c r="U38" s="206"/>
      <c r="V38" s="206"/>
      <c r="W38" s="206"/>
      <c r="X38" s="206"/>
      <c r="Y38" s="206"/>
      <c r="Z38" s="206"/>
      <c r="AA38" s="206"/>
      <c r="AB38" s="206"/>
      <c r="AC38" s="206"/>
      <c r="AD38" s="206"/>
      <c r="AE38" s="206"/>
      <c r="AF38" s="206"/>
      <c r="AG38" s="206"/>
      <c r="AH38" s="206"/>
      <c r="AI38" s="206"/>
      <c r="AJ38" s="206"/>
      <c r="AL38" s="4"/>
      <c r="AM38" s="4"/>
    </row>
    <row r="39" spans="1:39" s="203" customFormat="1" ht="20.100000000000001" customHeight="1">
      <c r="A39" s="204" t="s">
        <v>274</v>
      </c>
      <c r="R39" s="204"/>
      <c r="S39" s="204"/>
      <c r="AL39" s="4"/>
      <c r="AM39" s="4"/>
    </row>
    <row r="40" spans="1:39" ht="20.100000000000001" customHeight="1"/>
    <row r="41" spans="1:39" ht="20.100000000000001" customHeight="1"/>
    <row r="42" spans="1:39" ht="20.100000000000001" customHeight="1"/>
    <row r="43" spans="1:39" ht="20.100000000000001" customHeight="1"/>
    <row r="44" spans="1:39" ht="20.100000000000001" customHeight="1"/>
    <row r="45" spans="1:39" ht="20.100000000000001" customHeight="1"/>
    <row r="46" spans="1:39" ht="20.100000000000001" customHeight="1"/>
    <row r="47" spans="1:39" ht="20.100000000000001" customHeight="1"/>
    <row r="48" spans="1:39" ht="20.100000000000001" customHeight="1"/>
    <row r="49" spans="2:39" ht="20.100000000000001" customHeight="1"/>
    <row r="50" spans="2:39" ht="20.100000000000001" customHeight="1"/>
    <row r="51" spans="2:39" s="1" customFormat="1" ht="20.100000000000001" customHeight="1">
      <c r="B51" s="2"/>
      <c r="C51" s="2"/>
      <c r="D51" s="2"/>
      <c r="E51" s="2"/>
      <c r="F51" s="2"/>
      <c r="G51" s="2"/>
      <c r="H51" s="2"/>
      <c r="I51" s="2"/>
      <c r="J51" s="2"/>
      <c r="K51" s="2"/>
      <c r="L51" s="2"/>
      <c r="M51" s="2"/>
      <c r="N51" s="2"/>
      <c r="O51" s="2"/>
      <c r="P51" s="2"/>
      <c r="Q51" s="2"/>
      <c r="R51" s="4"/>
      <c r="S51" s="4"/>
      <c r="T51" s="2"/>
      <c r="U51" s="2"/>
      <c r="V51" s="2"/>
      <c r="W51" s="2"/>
      <c r="X51" s="2"/>
      <c r="Y51" s="2"/>
      <c r="Z51" s="2"/>
      <c r="AA51" s="2"/>
      <c r="AB51" s="2"/>
      <c r="AC51" s="2"/>
      <c r="AD51" s="2"/>
      <c r="AE51" s="2"/>
      <c r="AF51" s="2"/>
      <c r="AG51" s="2"/>
      <c r="AH51" s="2"/>
      <c r="AI51" s="2"/>
      <c r="AJ51" s="2"/>
      <c r="AL51" s="4"/>
      <c r="AM51" s="4"/>
    </row>
    <row r="52" spans="2:39" s="1" customFormat="1" ht="20.100000000000001" customHeight="1">
      <c r="B52" s="2"/>
      <c r="C52" s="2"/>
      <c r="D52" s="2"/>
      <c r="E52" s="2"/>
      <c r="F52" s="2"/>
      <c r="G52" s="2"/>
      <c r="H52" s="2"/>
      <c r="I52" s="2"/>
      <c r="J52" s="2"/>
      <c r="K52" s="2"/>
      <c r="L52" s="2"/>
      <c r="M52" s="2"/>
      <c r="N52" s="2"/>
      <c r="O52" s="2"/>
      <c r="P52" s="2"/>
      <c r="Q52" s="2"/>
      <c r="R52" s="4"/>
      <c r="S52" s="4"/>
      <c r="T52" s="2"/>
      <c r="U52" s="2"/>
      <c r="V52" s="2"/>
      <c r="W52" s="2"/>
      <c r="X52" s="2"/>
      <c r="Y52" s="2"/>
      <c r="Z52" s="2"/>
      <c r="AA52" s="2"/>
      <c r="AB52" s="2"/>
      <c r="AC52" s="2"/>
      <c r="AD52" s="2"/>
      <c r="AE52" s="2"/>
      <c r="AF52" s="2"/>
      <c r="AG52" s="2"/>
      <c r="AH52" s="2"/>
      <c r="AI52" s="2"/>
      <c r="AJ52" s="2"/>
      <c r="AL52" s="4"/>
      <c r="AM52" s="4"/>
    </row>
    <row r="53" spans="2:39" s="1" customFormat="1" ht="20.100000000000001" customHeight="1">
      <c r="B53" s="2"/>
      <c r="C53" s="2"/>
      <c r="D53" s="2"/>
      <c r="E53" s="2"/>
      <c r="F53" s="2"/>
      <c r="G53" s="2"/>
      <c r="H53" s="2"/>
      <c r="I53" s="2"/>
      <c r="J53" s="2"/>
      <c r="K53" s="2"/>
      <c r="L53" s="2"/>
      <c r="M53" s="2"/>
      <c r="N53" s="2"/>
      <c r="O53" s="2"/>
      <c r="P53" s="2"/>
      <c r="Q53" s="2"/>
      <c r="R53" s="4"/>
      <c r="S53" s="4"/>
      <c r="T53" s="2"/>
      <c r="U53" s="2"/>
      <c r="V53" s="2"/>
      <c r="W53" s="2"/>
      <c r="X53" s="2"/>
      <c r="Y53" s="2"/>
      <c r="Z53" s="2"/>
      <c r="AA53" s="2"/>
      <c r="AB53" s="2"/>
      <c r="AC53" s="2"/>
      <c r="AD53" s="2"/>
      <c r="AE53" s="2"/>
      <c r="AF53" s="2"/>
      <c r="AG53" s="2"/>
      <c r="AH53" s="2"/>
      <c r="AI53" s="2"/>
      <c r="AJ53" s="2"/>
      <c r="AL53" s="4"/>
      <c r="AM53" s="4"/>
    </row>
    <row r="54" spans="2:39" s="1" customFormat="1" ht="20.100000000000001" customHeight="1">
      <c r="B54" s="2"/>
      <c r="C54" s="2"/>
      <c r="D54" s="2"/>
      <c r="E54" s="2"/>
      <c r="F54" s="2"/>
      <c r="G54" s="2"/>
      <c r="H54" s="2"/>
      <c r="I54" s="2"/>
      <c r="J54" s="2"/>
      <c r="K54" s="2"/>
      <c r="L54" s="2"/>
      <c r="M54" s="2"/>
      <c r="N54" s="2"/>
      <c r="O54" s="2"/>
      <c r="P54" s="2"/>
      <c r="Q54" s="2"/>
      <c r="R54" s="4"/>
      <c r="S54" s="4"/>
      <c r="T54" s="2"/>
      <c r="U54" s="2"/>
      <c r="V54" s="2"/>
      <c r="W54" s="2"/>
      <c r="X54" s="2"/>
      <c r="Y54" s="2"/>
      <c r="Z54" s="2"/>
      <c r="AA54" s="2"/>
      <c r="AB54" s="2"/>
      <c r="AC54" s="2"/>
      <c r="AD54" s="2"/>
      <c r="AE54" s="2"/>
      <c r="AF54" s="2"/>
      <c r="AG54" s="2"/>
      <c r="AH54" s="2"/>
      <c r="AI54" s="2"/>
      <c r="AJ54" s="2"/>
      <c r="AL54" s="4"/>
      <c r="AM54" s="4"/>
    </row>
    <row r="55" spans="2:39" s="1" customFormat="1" ht="20.100000000000001" customHeight="1">
      <c r="B55" s="2"/>
      <c r="C55" s="2"/>
      <c r="D55" s="2"/>
      <c r="E55" s="2"/>
      <c r="F55" s="2"/>
      <c r="G55" s="2"/>
      <c r="H55" s="2"/>
      <c r="I55" s="2"/>
      <c r="J55" s="2"/>
      <c r="K55" s="2"/>
      <c r="L55" s="2"/>
      <c r="M55" s="2"/>
      <c r="N55" s="2"/>
      <c r="O55" s="2"/>
      <c r="P55" s="2"/>
      <c r="Q55" s="2"/>
      <c r="R55" s="4"/>
      <c r="S55" s="4"/>
      <c r="T55" s="2"/>
      <c r="U55" s="2"/>
      <c r="V55" s="2"/>
      <c r="W55" s="2"/>
      <c r="X55" s="2"/>
      <c r="Y55" s="2"/>
      <c r="Z55" s="2"/>
      <c r="AA55" s="2"/>
      <c r="AB55" s="2"/>
      <c r="AC55" s="2"/>
      <c r="AD55" s="2"/>
      <c r="AE55" s="2"/>
      <c r="AF55" s="2"/>
      <c r="AG55" s="2"/>
      <c r="AH55" s="2"/>
      <c r="AI55" s="2"/>
      <c r="AJ55" s="2"/>
      <c r="AL55" s="4"/>
      <c r="AM55" s="4"/>
    </row>
    <row r="56" spans="2:39" s="1" customFormat="1" ht="20.100000000000001" customHeight="1">
      <c r="B56" s="2"/>
      <c r="C56" s="2"/>
      <c r="D56" s="2"/>
      <c r="E56" s="2"/>
      <c r="F56" s="2"/>
      <c r="G56" s="2"/>
      <c r="H56" s="2"/>
      <c r="I56" s="2"/>
      <c r="J56" s="2"/>
      <c r="K56" s="2"/>
      <c r="L56" s="2"/>
      <c r="M56" s="2"/>
      <c r="N56" s="2"/>
      <c r="O56" s="2"/>
      <c r="P56" s="2"/>
      <c r="Q56" s="2"/>
      <c r="R56" s="4"/>
      <c r="S56" s="4"/>
      <c r="T56" s="2"/>
      <c r="U56" s="2"/>
      <c r="V56" s="2"/>
      <c r="W56" s="2"/>
      <c r="X56" s="2"/>
      <c r="Y56" s="2"/>
      <c r="Z56" s="2"/>
      <c r="AA56" s="2"/>
      <c r="AB56" s="2"/>
      <c r="AC56" s="2"/>
      <c r="AD56" s="2"/>
      <c r="AE56" s="2"/>
      <c r="AF56" s="2"/>
      <c r="AG56" s="2"/>
      <c r="AH56" s="2"/>
      <c r="AI56" s="2"/>
      <c r="AJ56" s="2"/>
      <c r="AL56" s="4"/>
      <c r="AM56" s="4"/>
    </row>
  </sheetData>
  <mergeCells count="21">
    <mergeCell ref="AK3:AN3"/>
    <mergeCell ref="AO3:AO4"/>
    <mergeCell ref="AF3:AI3"/>
    <mergeCell ref="AJ3:AJ4"/>
    <mergeCell ref="AA3:AD3"/>
    <mergeCell ref="AE3:AE4"/>
    <mergeCell ref="Z3:Z4"/>
    <mergeCell ref="V3:Y3"/>
    <mergeCell ref="A38:M38"/>
    <mergeCell ref="A37:S37"/>
    <mergeCell ref="U3:U4"/>
    <mergeCell ref="Q3:T3"/>
    <mergeCell ref="P3:P4"/>
    <mergeCell ref="A36:I36"/>
    <mergeCell ref="A2:N2"/>
    <mergeCell ref="A3:A4"/>
    <mergeCell ref="B3:E3"/>
    <mergeCell ref="F3:F4"/>
    <mergeCell ref="G3:J3"/>
    <mergeCell ref="K3:K4"/>
    <mergeCell ref="L3:O3"/>
  </mergeCells>
  <pageMargins left="0.7" right="0.7" top="0.75" bottom="0.75" header="0.3" footer="0.3"/>
  <pageSetup paperSize="9" scale="53" orientation="landscape" horizontalDpi="4294967294" r:id="rId1"/>
  <ignoredErrors>
    <ignoredError sqref="F7 K7" formula="1"/>
    <ignoredError sqref="L24:T24 G24:J24 V24:Y24 AA24:AD24 AF24:AJ2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71"/>
  <sheetViews>
    <sheetView showGridLines="0" zoomScale="115" zoomScaleNormal="115" workbookViewId="0">
      <pane xSplit="2" ySplit="3" topLeftCell="C4" activePane="bottomRight" state="frozen"/>
      <selection pane="topRight" activeCell="C1" sqref="C1"/>
      <selection pane="bottomLeft" activeCell="A4" sqref="A4"/>
      <selection pane="bottomRight" activeCell="G48" sqref="G48"/>
    </sheetView>
  </sheetViews>
  <sheetFormatPr defaultRowHeight="14.25"/>
  <cols>
    <col min="1" max="1" width="1.625" style="16" customWidth="1"/>
    <col min="2" max="2" width="30.625" customWidth="1"/>
    <col min="3" max="8" width="12.625" customWidth="1"/>
    <col min="9" max="9" width="9.5" style="16" customWidth="1"/>
    <col min="10" max="10" width="25" style="16" customWidth="1"/>
    <col min="11" max="11" width="18.25" customWidth="1"/>
    <col min="12" max="12" width="11.375" style="589" customWidth="1"/>
    <col min="13" max="13" width="9" style="589" customWidth="1"/>
    <col min="14" max="14" width="12.375" style="589" customWidth="1"/>
  </cols>
  <sheetData>
    <row r="1" spans="2:14" s="16" customFormat="1" ht="34.5" customHeight="1" thickBot="1">
      <c r="B1" s="3" t="s">
        <v>99</v>
      </c>
      <c r="L1" s="590"/>
      <c r="M1" s="590"/>
      <c r="N1" s="590"/>
    </row>
    <row r="2" spans="2:14" ht="20.25" customHeight="1" thickBot="1">
      <c r="B2" s="724" t="s">
        <v>107</v>
      </c>
      <c r="C2" s="692" t="s">
        <v>249</v>
      </c>
      <c r="D2" s="693"/>
      <c r="E2" s="694"/>
      <c r="I2"/>
      <c r="J2"/>
      <c r="L2"/>
      <c r="M2"/>
      <c r="N2"/>
    </row>
    <row r="3" spans="2:14" ht="20.25" customHeight="1" thickBot="1">
      <c r="B3" s="725"/>
      <c r="C3" s="223">
        <v>2019</v>
      </c>
      <c r="D3" s="224">
        <v>2018</v>
      </c>
      <c r="E3" s="225" t="s">
        <v>211</v>
      </c>
      <c r="I3"/>
      <c r="J3"/>
      <c r="L3"/>
      <c r="M3"/>
      <c r="N3"/>
    </row>
    <row r="4" spans="2:14" ht="25.5" customHeight="1">
      <c r="B4" s="207" t="s">
        <v>156</v>
      </c>
      <c r="C4" s="208">
        <f>C5+C6</f>
        <v>0.2336</v>
      </c>
      <c r="D4" s="583">
        <f>D5+D6</f>
        <v>0.2392</v>
      </c>
      <c r="E4" s="410">
        <f>IFERROR((C4-D4)*100,"n/d")</f>
        <v>-0.55999999999999939</v>
      </c>
      <c r="I4"/>
      <c r="J4"/>
      <c r="L4"/>
      <c r="M4"/>
      <c r="N4"/>
    </row>
    <row r="5" spans="2:14" ht="25.5" customHeight="1">
      <c r="B5" s="209" t="s">
        <v>157</v>
      </c>
      <c r="C5" s="582">
        <v>0.112</v>
      </c>
      <c r="D5" s="583">
        <v>0.1187</v>
      </c>
      <c r="E5" s="584">
        <f t="shared" ref="E5:E40" si="0">IFERROR((C5-D5)*100,"n/d")</f>
        <v>-0.66999999999999971</v>
      </c>
      <c r="I5"/>
      <c r="J5"/>
      <c r="L5"/>
      <c r="M5"/>
      <c r="N5"/>
    </row>
    <row r="6" spans="2:14" ht="25.5" customHeight="1">
      <c r="B6" s="209" t="s">
        <v>210</v>
      </c>
      <c r="C6" s="582">
        <v>0.1216</v>
      </c>
      <c r="D6" s="583">
        <v>0.1205</v>
      </c>
      <c r="E6" s="584">
        <f t="shared" si="0"/>
        <v>0.11000000000000038</v>
      </c>
      <c r="I6"/>
      <c r="J6"/>
      <c r="L6"/>
      <c r="M6"/>
      <c r="N6"/>
    </row>
    <row r="7" spans="2:14" ht="18" customHeight="1">
      <c r="B7" s="579" t="s">
        <v>175</v>
      </c>
      <c r="C7" s="210">
        <v>3.3599999999999998E-2</v>
      </c>
      <c r="D7" s="211">
        <v>3.7999999999999999E-2</v>
      </c>
      <c r="E7" s="594">
        <f t="shared" si="0"/>
        <v>-0.44000000000000011</v>
      </c>
      <c r="I7"/>
      <c r="J7"/>
      <c r="L7"/>
      <c r="M7"/>
      <c r="N7"/>
    </row>
    <row r="8" spans="2:14" ht="18" customHeight="1">
      <c r="B8" s="579" t="s">
        <v>176</v>
      </c>
      <c r="C8" s="210">
        <v>1.6E-2</v>
      </c>
      <c r="D8" s="211">
        <v>1.4200000000000001E-2</v>
      </c>
      <c r="E8" s="594">
        <f t="shared" si="0"/>
        <v>0.17999999999999994</v>
      </c>
      <c r="I8"/>
      <c r="J8"/>
      <c r="L8"/>
      <c r="M8"/>
      <c r="N8"/>
    </row>
    <row r="9" spans="2:14" ht="18" customHeight="1">
      <c r="B9" s="579" t="s">
        <v>177</v>
      </c>
      <c r="C9" s="210">
        <v>1.12E-2</v>
      </c>
      <c r="D9" s="211">
        <v>1.2999999999999999E-2</v>
      </c>
      <c r="E9" s="594">
        <f t="shared" si="0"/>
        <v>-0.17999999999999994</v>
      </c>
      <c r="I9"/>
      <c r="J9"/>
      <c r="L9"/>
      <c r="M9"/>
      <c r="N9"/>
    </row>
    <row r="10" spans="2:14" ht="18" customHeight="1">
      <c r="B10" s="579" t="s">
        <v>212</v>
      </c>
      <c r="C10" s="210">
        <v>9.4999999999999998E-3</v>
      </c>
      <c r="D10" s="211">
        <v>9.1999999999999998E-3</v>
      </c>
      <c r="E10" s="594">
        <f t="shared" si="0"/>
        <v>2.9999999999999992E-2</v>
      </c>
      <c r="I10"/>
      <c r="J10"/>
      <c r="L10"/>
      <c r="M10"/>
      <c r="N10"/>
    </row>
    <row r="11" spans="2:14" ht="18" customHeight="1">
      <c r="B11" s="579" t="s">
        <v>158</v>
      </c>
      <c r="C11" s="210">
        <v>6.0000000000000001E-3</v>
      </c>
      <c r="D11" s="211">
        <v>6.6E-3</v>
      </c>
      <c r="E11" s="594">
        <f t="shared" si="0"/>
        <v>-5.9999999999999984E-2</v>
      </c>
      <c r="I11"/>
      <c r="J11"/>
      <c r="L11"/>
      <c r="M11"/>
      <c r="N11"/>
    </row>
    <row r="12" spans="2:14" ht="18" customHeight="1">
      <c r="B12" s="579" t="s">
        <v>159</v>
      </c>
      <c r="C12" s="210">
        <v>1.6000000000000001E-3</v>
      </c>
      <c r="D12" s="211">
        <v>1.6000000000000001E-3</v>
      </c>
      <c r="E12" s="594">
        <f t="shared" si="0"/>
        <v>0</v>
      </c>
      <c r="I12"/>
      <c r="J12"/>
      <c r="L12"/>
      <c r="M12"/>
      <c r="N12"/>
    </row>
    <row r="13" spans="2:14" ht="18" customHeight="1">
      <c r="B13" s="579" t="s">
        <v>161</v>
      </c>
      <c r="C13" s="210">
        <v>6.4999999999999997E-3</v>
      </c>
      <c r="D13" s="211">
        <v>7.0000000000000001E-3</v>
      </c>
      <c r="E13" s="594">
        <f t="shared" si="0"/>
        <v>-5.0000000000000044E-2</v>
      </c>
      <c r="I13"/>
      <c r="J13"/>
      <c r="L13"/>
      <c r="M13"/>
      <c r="N13"/>
    </row>
    <row r="14" spans="2:14" ht="18" customHeight="1">
      <c r="B14" s="579" t="s">
        <v>163</v>
      </c>
      <c r="C14" s="210">
        <v>6.0000000000000001E-3</v>
      </c>
      <c r="D14" s="211">
        <v>4.7999999999999996E-3</v>
      </c>
      <c r="E14" s="594">
        <f t="shared" si="0"/>
        <v>0.12000000000000005</v>
      </c>
      <c r="I14"/>
      <c r="J14"/>
      <c r="L14"/>
      <c r="M14"/>
      <c r="N14"/>
    </row>
    <row r="15" spans="2:14" ht="18" customHeight="1">
      <c r="B15" s="579" t="s">
        <v>162</v>
      </c>
      <c r="C15" s="414">
        <v>3.2000000000000002E-3</v>
      </c>
      <c r="D15" s="211">
        <v>3.0000000000000001E-3</v>
      </c>
      <c r="E15" s="594">
        <f t="shared" si="0"/>
        <v>2.0000000000000011E-2</v>
      </c>
      <c r="I15"/>
      <c r="J15"/>
      <c r="L15"/>
      <c r="M15"/>
      <c r="N15"/>
    </row>
    <row r="16" spans="2:14" ht="18" customHeight="1">
      <c r="B16" s="579" t="s">
        <v>179</v>
      </c>
      <c r="C16" s="414">
        <v>1.8E-3</v>
      </c>
      <c r="D16" s="211">
        <v>1.6999999999999999E-3</v>
      </c>
      <c r="E16" s="594">
        <f t="shared" si="0"/>
        <v>1.0000000000000005E-2</v>
      </c>
      <c r="I16"/>
      <c r="J16"/>
      <c r="L16"/>
      <c r="M16"/>
      <c r="N16"/>
    </row>
    <row r="17" spans="1:14" ht="18" customHeight="1">
      <c r="B17" s="579" t="s">
        <v>167</v>
      </c>
      <c r="C17" s="414">
        <v>1.1000000000000001E-3</v>
      </c>
      <c r="D17" s="211">
        <v>1.2999999999999999E-3</v>
      </c>
      <c r="E17" s="594">
        <f t="shared" si="0"/>
        <v>-1.9999999999999987E-2</v>
      </c>
      <c r="I17"/>
      <c r="J17"/>
      <c r="L17"/>
      <c r="M17"/>
      <c r="N17"/>
    </row>
    <row r="18" spans="1:14" ht="18" customHeight="1">
      <c r="B18" s="579" t="s">
        <v>160</v>
      </c>
      <c r="C18" s="414">
        <v>5.9999999999999995E-4</v>
      </c>
      <c r="D18" s="211">
        <v>5.0000000000000001E-4</v>
      </c>
      <c r="E18" s="594">
        <f t="shared" si="0"/>
        <v>9.9999999999999933E-3</v>
      </c>
      <c r="I18"/>
      <c r="J18"/>
      <c r="L18"/>
      <c r="M18"/>
      <c r="N18"/>
    </row>
    <row r="19" spans="1:14" ht="18" customHeight="1">
      <c r="B19" s="579" t="s">
        <v>276</v>
      </c>
      <c r="C19" s="414">
        <v>4.0000000000000002E-4</v>
      </c>
      <c r="D19" s="211">
        <v>5.0000000000000001E-4</v>
      </c>
      <c r="E19" s="594">
        <f t="shared" si="0"/>
        <v>-9.9999999999999985E-3</v>
      </c>
      <c r="I19"/>
      <c r="J19"/>
      <c r="L19"/>
      <c r="M19"/>
      <c r="N19"/>
    </row>
    <row r="20" spans="1:14" ht="18" customHeight="1">
      <c r="B20" s="579" t="s">
        <v>277</v>
      </c>
      <c r="C20" s="414">
        <v>8.0000000000000004E-4</v>
      </c>
      <c r="D20" s="211">
        <v>4.0000000000000002E-4</v>
      </c>
      <c r="E20" s="594">
        <f t="shared" si="0"/>
        <v>0.04</v>
      </c>
      <c r="I20"/>
      <c r="J20"/>
      <c r="L20"/>
      <c r="M20"/>
      <c r="N20"/>
    </row>
    <row r="21" spans="1:14" ht="18" customHeight="1">
      <c r="B21" s="630" t="s">
        <v>181</v>
      </c>
      <c r="C21" s="414">
        <v>4.0000000000000002E-4</v>
      </c>
      <c r="D21" s="415">
        <v>4.0000000000000002E-4</v>
      </c>
      <c r="E21" s="594">
        <f t="shared" si="0"/>
        <v>0</v>
      </c>
      <c r="I21"/>
      <c r="J21"/>
      <c r="L21"/>
      <c r="M21"/>
      <c r="N21"/>
    </row>
    <row r="22" spans="1:14" ht="18" customHeight="1">
      <c r="B22" s="579" t="s">
        <v>278</v>
      </c>
      <c r="C22" s="414">
        <v>2.9999999999999997E-4</v>
      </c>
      <c r="D22" s="211">
        <v>2.9999999999999997E-4</v>
      </c>
      <c r="E22" s="594">
        <f t="shared" si="0"/>
        <v>0</v>
      </c>
      <c r="I22"/>
      <c r="J22"/>
      <c r="L22"/>
      <c r="M22"/>
      <c r="N22"/>
    </row>
    <row r="23" spans="1:14" ht="18" customHeight="1">
      <c r="B23" s="579" t="s">
        <v>259</v>
      </c>
      <c r="C23" s="414">
        <v>5.0000000000000001E-4</v>
      </c>
      <c r="D23" s="211">
        <v>4.0000000000000002E-4</v>
      </c>
      <c r="E23" s="594">
        <f t="shared" si="0"/>
        <v>9.9999999999999985E-3</v>
      </c>
      <c r="I23"/>
      <c r="J23"/>
      <c r="L23"/>
      <c r="M23"/>
      <c r="N23"/>
    </row>
    <row r="24" spans="1:14" ht="18" customHeight="1">
      <c r="B24" s="579" t="s">
        <v>260</v>
      </c>
      <c r="C24" s="414" t="s">
        <v>135</v>
      </c>
      <c r="D24" s="415" t="s">
        <v>135</v>
      </c>
      <c r="E24" s="594" t="str">
        <f t="shared" si="0"/>
        <v>n/d</v>
      </c>
      <c r="I24"/>
      <c r="J24"/>
      <c r="L24"/>
      <c r="M24"/>
      <c r="N24"/>
    </row>
    <row r="25" spans="1:14" s="577" customFormat="1" ht="18" customHeight="1">
      <c r="A25" s="578"/>
      <c r="B25" s="579" t="s">
        <v>279</v>
      </c>
      <c r="C25" s="414" t="s">
        <v>135</v>
      </c>
      <c r="D25" s="415" t="s">
        <v>135</v>
      </c>
      <c r="E25" s="594" t="str">
        <f t="shared" si="0"/>
        <v>n/d</v>
      </c>
    </row>
    <row r="26" spans="1:14" s="577" customFormat="1" ht="18" customHeight="1">
      <c r="A26" s="578"/>
      <c r="B26" s="579" t="s">
        <v>280</v>
      </c>
      <c r="C26" s="414" t="s">
        <v>135</v>
      </c>
      <c r="D26" s="415" t="s">
        <v>135</v>
      </c>
      <c r="E26" s="594" t="str">
        <f t="shared" si="0"/>
        <v>n/d</v>
      </c>
    </row>
    <row r="27" spans="1:14" s="577" customFormat="1" ht="18" customHeight="1">
      <c r="A27" s="578"/>
      <c r="B27" s="579" t="s">
        <v>281</v>
      </c>
      <c r="C27" s="414">
        <v>2.0000000000000001E-4</v>
      </c>
      <c r="D27" s="415" t="s">
        <v>135</v>
      </c>
      <c r="E27" s="594" t="str">
        <f t="shared" si="0"/>
        <v>n/d</v>
      </c>
    </row>
    <row r="28" spans="1:14" s="577" customFormat="1" ht="18" customHeight="1">
      <c r="A28" s="578"/>
      <c r="B28" s="579" t="s">
        <v>282</v>
      </c>
      <c r="C28" s="414">
        <v>2.9999999999999997E-4</v>
      </c>
      <c r="D28" s="415" t="s">
        <v>135</v>
      </c>
      <c r="E28" s="594" t="str">
        <f t="shared" si="0"/>
        <v>n/d</v>
      </c>
    </row>
    <row r="29" spans="1:14" ht="18" customHeight="1">
      <c r="B29" s="419" t="s">
        <v>261</v>
      </c>
      <c r="C29" s="414"/>
      <c r="D29" s="415">
        <v>0</v>
      </c>
      <c r="E29" s="594">
        <f t="shared" si="0"/>
        <v>0</v>
      </c>
      <c r="I29"/>
      <c r="J29"/>
      <c r="L29"/>
      <c r="M29"/>
      <c r="N29"/>
    </row>
    <row r="30" spans="1:14" ht="18" customHeight="1">
      <c r="B30" s="580" t="s">
        <v>219</v>
      </c>
      <c r="C30" s="414">
        <v>9.4000000000000004E-3</v>
      </c>
      <c r="D30" s="415">
        <v>8.2000000000000007E-3</v>
      </c>
      <c r="E30" s="594">
        <f t="shared" si="0"/>
        <v>0.11999999999999997</v>
      </c>
      <c r="I30"/>
      <c r="J30"/>
      <c r="L30"/>
      <c r="M30"/>
      <c r="N30"/>
    </row>
    <row r="31" spans="1:14" ht="18" customHeight="1">
      <c r="B31" s="580" t="s">
        <v>220</v>
      </c>
      <c r="C31" s="414">
        <v>6.6E-3</v>
      </c>
      <c r="D31" s="415">
        <v>7.7000000000000002E-3</v>
      </c>
      <c r="E31" s="594">
        <f t="shared" si="0"/>
        <v>-0.11000000000000003</v>
      </c>
      <c r="I31"/>
      <c r="J31"/>
      <c r="L31"/>
      <c r="M31"/>
      <c r="N31"/>
    </row>
    <row r="32" spans="1:14" ht="18" customHeight="1">
      <c r="B32" s="580" t="s">
        <v>221</v>
      </c>
      <c r="C32" s="414">
        <v>8.0000000000000004E-4</v>
      </c>
      <c r="D32" s="415">
        <v>8.0000000000000004E-4</v>
      </c>
      <c r="E32" s="594">
        <f t="shared" si="0"/>
        <v>0</v>
      </c>
      <c r="I32"/>
      <c r="J32"/>
      <c r="L32"/>
      <c r="M32"/>
      <c r="N32"/>
    </row>
    <row r="33" spans="2:14" ht="18" customHeight="1">
      <c r="B33" s="580" t="s">
        <v>222</v>
      </c>
      <c r="C33" s="414">
        <v>6.9999999999999999E-4</v>
      </c>
      <c r="D33" s="415">
        <v>6.9999999999999999E-4</v>
      </c>
      <c r="E33" s="594">
        <f t="shared" si="0"/>
        <v>0</v>
      </c>
      <c r="I33"/>
      <c r="J33"/>
      <c r="L33"/>
      <c r="M33"/>
      <c r="N33"/>
    </row>
    <row r="34" spans="2:14" ht="18" customHeight="1">
      <c r="B34" s="580" t="s">
        <v>223</v>
      </c>
      <c r="C34" s="414">
        <v>4.0000000000000002E-4</v>
      </c>
      <c r="D34" s="415">
        <v>1E-4</v>
      </c>
      <c r="E34" s="594">
        <f t="shared" si="0"/>
        <v>3.0000000000000002E-2</v>
      </c>
      <c r="I34"/>
      <c r="J34"/>
      <c r="L34"/>
      <c r="M34"/>
      <c r="N34"/>
    </row>
    <row r="35" spans="2:14" ht="18" customHeight="1">
      <c r="B35" s="419" t="s">
        <v>258</v>
      </c>
      <c r="C35" s="414"/>
      <c r="D35" s="415">
        <v>0</v>
      </c>
      <c r="E35" s="594">
        <f t="shared" si="0"/>
        <v>0</v>
      </c>
      <c r="I35"/>
      <c r="J35"/>
      <c r="L35"/>
      <c r="M35"/>
      <c r="N35"/>
    </row>
    <row r="36" spans="2:14" ht="18" customHeight="1">
      <c r="B36" s="581" t="s">
        <v>262</v>
      </c>
      <c r="C36" s="414">
        <v>8.9999999999999998E-4</v>
      </c>
      <c r="D36" s="415">
        <v>6.9999999999999999E-4</v>
      </c>
      <c r="E36" s="594">
        <f t="shared" si="0"/>
        <v>1.9999999999999997E-2</v>
      </c>
      <c r="I36"/>
      <c r="J36"/>
      <c r="L36"/>
      <c r="M36"/>
      <c r="N36"/>
    </row>
    <row r="37" spans="2:14" ht="18" customHeight="1">
      <c r="B37" s="581" t="s">
        <v>263</v>
      </c>
      <c r="C37" s="414">
        <v>2.3E-3</v>
      </c>
      <c r="D37" s="415">
        <v>1.1999999999999999E-3</v>
      </c>
      <c r="E37" s="594">
        <f t="shared" si="0"/>
        <v>0.11</v>
      </c>
      <c r="I37"/>
      <c r="J37"/>
      <c r="L37"/>
      <c r="M37"/>
      <c r="N37"/>
    </row>
    <row r="38" spans="2:14" ht="18" customHeight="1">
      <c r="B38" s="581" t="s">
        <v>264</v>
      </c>
      <c r="C38" s="414">
        <v>5.0000000000000001E-4</v>
      </c>
      <c r="D38" s="415">
        <v>6.9999999999999999E-4</v>
      </c>
      <c r="E38" s="594">
        <f t="shared" si="0"/>
        <v>-1.9999999999999997E-2</v>
      </c>
      <c r="I38"/>
      <c r="J38"/>
      <c r="L38"/>
      <c r="M38"/>
      <c r="N38"/>
    </row>
    <row r="39" spans="2:14" ht="18" customHeight="1">
      <c r="B39" s="581" t="s">
        <v>265</v>
      </c>
      <c r="C39" s="414" t="s">
        <v>135</v>
      </c>
      <c r="D39" s="415" t="s">
        <v>135</v>
      </c>
      <c r="E39" s="594" t="str">
        <f t="shared" si="0"/>
        <v>n/d</v>
      </c>
      <c r="I39"/>
      <c r="J39"/>
      <c r="L39"/>
      <c r="M39"/>
      <c r="N39"/>
    </row>
    <row r="40" spans="2:14" ht="18" customHeight="1" thickBot="1">
      <c r="B40" s="581" t="s">
        <v>266</v>
      </c>
      <c r="C40" s="414" t="s">
        <v>135</v>
      </c>
      <c r="D40" s="415" t="s">
        <v>135</v>
      </c>
      <c r="E40" s="594" t="str">
        <f t="shared" si="0"/>
        <v>n/d</v>
      </c>
      <c r="I40"/>
      <c r="J40"/>
      <c r="L40"/>
      <c r="M40"/>
      <c r="N40"/>
    </row>
    <row r="41" spans="2:14" s="413" customFormat="1" ht="30" customHeight="1" thickBot="1">
      <c r="B41" s="416" t="s">
        <v>283</v>
      </c>
      <c r="C41" s="677">
        <v>0.28000000000000003</v>
      </c>
      <c r="D41" s="676">
        <v>0.27</v>
      </c>
      <c r="E41" s="585" t="s">
        <v>312</v>
      </c>
    </row>
    <row r="42" spans="2:14" s="413" customFormat="1" ht="9.9499999999999993" customHeight="1" thickBot="1">
      <c r="B42" s="450"/>
      <c r="C42" s="451"/>
      <c r="D42" s="451"/>
      <c r="E42" s="452"/>
    </row>
    <row r="43" spans="2:14" s="413" customFormat="1" ht="18" customHeight="1" thickBot="1">
      <c r="B43" s="721" t="s">
        <v>250</v>
      </c>
      <c r="C43" s="722"/>
      <c r="D43" s="722"/>
      <c r="E43" s="723"/>
    </row>
    <row r="44" spans="2:14" s="413" customFormat="1" ht="18" customHeight="1">
      <c r="B44" s="586" t="s">
        <v>251</v>
      </c>
      <c r="C44" s="460">
        <v>8.8000000000000005E-3</v>
      </c>
      <c r="D44" s="461">
        <v>9.4999999999999998E-3</v>
      </c>
      <c r="E44" s="594">
        <f>IFERROR((C44-D44)*100,"n/d")</f>
        <v>-6.9999999999999923E-2</v>
      </c>
    </row>
    <row r="45" spans="2:14" s="413" customFormat="1" ht="18" customHeight="1">
      <c r="B45" s="586" t="s">
        <v>252</v>
      </c>
      <c r="C45" s="460">
        <v>3.5000000000000001E-3</v>
      </c>
      <c r="D45" s="461">
        <v>2.8E-3</v>
      </c>
      <c r="E45" s="594">
        <f t="shared" ref="E45:E51" si="1">IFERROR((C45-D45)*100,"n/d")</f>
        <v>7.0000000000000007E-2</v>
      </c>
    </row>
    <row r="46" spans="2:14" s="413" customFormat="1" ht="18" customHeight="1">
      <c r="B46" s="623" t="s">
        <v>289</v>
      </c>
      <c r="C46" s="460">
        <v>1.1000000000000001E-3</v>
      </c>
      <c r="D46" s="461">
        <v>8.9999999999999998E-4</v>
      </c>
      <c r="E46" s="594">
        <f t="shared" si="1"/>
        <v>2.0000000000000011E-2</v>
      </c>
    </row>
    <row r="47" spans="2:14" s="413" customFormat="1" ht="18" customHeight="1">
      <c r="B47" s="591" t="s">
        <v>165</v>
      </c>
      <c r="C47" s="460">
        <v>1.6999999999999999E-3</v>
      </c>
      <c r="D47" s="461">
        <v>1.1000000000000001E-3</v>
      </c>
      <c r="E47" s="594">
        <f t="shared" si="1"/>
        <v>5.9999999999999984E-2</v>
      </c>
    </row>
    <row r="48" spans="2:14" s="413" customFormat="1" ht="18" customHeight="1">
      <c r="B48" s="586" t="s">
        <v>178</v>
      </c>
      <c r="C48" s="460">
        <v>1.9E-3</v>
      </c>
      <c r="D48" s="461">
        <v>1E-3</v>
      </c>
      <c r="E48" s="594">
        <f t="shared" si="1"/>
        <v>0.09</v>
      </c>
    </row>
    <row r="49" spans="2:14" s="413" customFormat="1" ht="18" customHeight="1">
      <c r="B49" s="586" t="s">
        <v>180</v>
      </c>
      <c r="C49" s="460">
        <v>1.1000000000000001E-3</v>
      </c>
      <c r="D49" s="461">
        <v>8.0000000000000004E-4</v>
      </c>
      <c r="E49" s="594">
        <f>IFERROR((C49-D49)*100,"n/d")</f>
        <v>3.0000000000000002E-2</v>
      </c>
    </row>
    <row r="50" spans="2:14" s="413" customFormat="1" ht="18" customHeight="1">
      <c r="B50" s="586" t="s">
        <v>166</v>
      </c>
      <c r="C50" s="460">
        <v>2.0000000000000001E-4</v>
      </c>
      <c r="D50" s="461">
        <v>2.0000000000000001E-4</v>
      </c>
      <c r="E50" s="594">
        <f t="shared" si="1"/>
        <v>0</v>
      </c>
    </row>
    <row r="51" spans="2:14" s="413" customFormat="1" ht="18" customHeight="1" thickBot="1">
      <c r="B51" s="587" t="s">
        <v>267</v>
      </c>
      <c r="C51" s="462" t="s">
        <v>135</v>
      </c>
      <c r="D51" s="463" t="s">
        <v>135</v>
      </c>
      <c r="E51" s="455" t="str">
        <f t="shared" si="1"/>
        <v>n/d</v>
      </c>
    </row>
    <row r="52" spans="2:14" s="16" customFormat="1"/>
    <row r="53" spans="2:14" s="16" customFormat="1" ht="180" customHeight="1">
      <c r="B53" s="717" t="s">
        <v>290</v>
      </c>
      <c r="C53" s="717"/>
      <c r="D53" s="717"/>
      <c r="E53" s="717"/>
    </row>
    <row r="54" spans="2:14" s="16" customFormat="1" ht="15" thickBot="1"/>
    <row r="55" spans="2:14" ht="20.25" customHeight="1" thickBot="1">
      <c r="B55" s="726" t="s">
        <v>168</v>
      </c>
      <c r="C55" s="692" t="s">
        <v>249</v>
      </c>
      <c r="D55" s="693"/>
      <c r="E55" s="694"/>
      <c r="I55"/>
      <c r="J55"/>
      <c r="L55"/>
      <c r="M55"/>
      <c r="N55"/>
    </row>
    <row r="56" spans="2:14" ht="20.25" customHeight="1" thickBot="1">
      <c r="B56" s="727"/>
      <c r="C56" s="223">
        <v>2019</v>
      </c>
      <c r="D56" s="224">
        <v>2018</v>
      </c>
      <c r="E56" s="225" t="s">
        <v>211</v>
      </c>
      <c r="I56"/>
      <c r="J56"/>
      <c r="L56"/>
      <c r="M56"/>
      <c r="N56"/>
    </row>
    <row r="57" spans="2:14" ht="18" customHeight="1">
      <c r="B57" s="591" t="s">
        <v>169</v>
      </c>
      <c r="C57" s="456">
        <v>1</v>
      </c>
      <c r="D57" s="457">
        <v>1</v>
      </c>
      <c r="E57" s="592">
        <f>IFERROR((C57-D57)*100,"n/d")</f>
        <v>0</v>
      </c>
      <c r="I57"/>
      <c r="J57"/>
      <c r="L57"/>
      <c r="M57"/>
      <c r="N57"/>
    </row>
    <row r="58" spans="2:14" ht="18" customHeight="1">
      <c r="B58" s="591" t="s">
        <v>175</v>
      </c>
      <c r="C58" s="456">
        <v>1</v>
      </c>
      <c r="D58" s="457">
        <v>1</v>
      </c>
      <c r="E58" s="592">
        <f t="shared" ref="E58:E78" si="2">IFERROR((C58-D58)*100,"n/d")</f>
        <v>0</v>
      </c>
      <c r="I58"/>
      <c r="J58"/>
      <c r="L58"/>
      <c r="M58"/>
      <c r="N58"/>
    </row>
    <row r="59" spans="2:14" ht="18" customHeight="1">
      <c r="B59" s="591" t="s">
        <v>225</v>
      </c>
      <c r="C59" s="456">
        <v>0.98699999999999999</v>
      </c>
      <c r="D59" s="457">
        <v>0.97899999999999998</v>
      </c>
      <c r="E59" s="592">
        <f t="shared" si="2"/>
        <v>0.80000000000000071</v>
      </c>
      <c r="I59"/>
      <c r="J59"/>
      <c r="L59"/>
      <c r="M59"/>
      <c r="N59"/>
    </row>
    <row r="60" spans="2:14" ht="18" customHeight="1">
      <c r="B60" s="591" t="s">
        <v>224</v>
      </c>
      <c r="C60" s="456">
        <v>0.98499999999999999</v>
      </c>
      <c r="D60" s="457">
        <v>0.98</v>
      </c>
      <c r="E60" s="592">
        <f t="shared" si="2"/>
        <v>0.50000000000000044</v>
      </c>
      <c r="I60"/>
      <c r="J60"/>
      <c r="L60"/>
      <c r="M60"/>
      <c r="N60"/>
    </row>
    <row r="61" spans="2:14" ht="18" customHeight="1">
      <c r="B61" s="591" t="s">
        <v>212</v>
      </c>
      <c r="C61" s="456">
        <v>0.97799999999999998</v>
      </c>
      <c r="D61" s="457">
        <v>0.97099999999999997</v>
      </c>
      <c r="E61" s="592">
        <f t="shared" si="2"/>
        <v>0.70000000000000062</v>
      </c>
      <c r="I61"/>
      <c r="J61"/>
      <c r="L61"/>
      <c r="M61"/>
      <c r="N61"/>
    </row>
    <row r="62" spans="2:14" ht="18" customHeight="1">
      <c r="B62" s="591" t="s">
        <v>176</v>
      </c>
      <c r="C62" s="456">
        <v>0.95599999999999996</v>
      </c>
      <c r="D62" s="457">
        <v>0.95799999999999996</v>
      </c>
      <c r="E62" s="592">
        <f t="shared" si="2"/>
        <v>-0.20000000000000018</v>
      </c>
      <c r="I62"/>
      <c r="J62"/>
      <c r="L62"/>
      <c r="M62"/>
      <c r="N62"/>
    </row>
    <row r="63" spans="2:14" ht="18" customHeight="1">
      <c r="B63" s="591" t="s">
        <v>177</v>
      </c>
      <c r="C63" s="456">
        <v>0.64300000000000002</v>
      </c>
      <c r="D63" s="457">
        <v>0.622</v>
      </c>
      <c r="E63" s="592">
        <f t="shared" si="2"/>
        <v>2.1000000000000019</v>
      </c>
      <c r="I63"/>
      <c r="J63"/>
      <c r="L63"/>
      <c r="M63"/>
      <c r="N63"/>
    </row>
    <row r="64" spans="2:14" ht="18" customHeight="1">
      <c r="B64" s="591" t="s">
        <v>226</v>
      </c>
      <c r="C64" s="456">
        <v>0.625</v>
      </c>
      <c r="D64" s="457">
        <v>0.58799999999999997</v>
      </c>
      <c r="E64" s="592">
        <f t="shared" si="2"/>
        <v>3.7000000000000033</v>
      </c>
      <c r="I64"/>
      <c r="J64"/>
      <c r="L64"/>
      <c r="M64"/>
      <c r="N64"/>
    </row>
    <row r="65" spans="2:14" ht="18" customHeight="1">
      <c r="B65" s="591" t="s">
        <v>181</v>
      </c>
      <c r="C65" s="456">
        <v>0.58799999999999997</v>
      </c>
      <c r="D65" s="457">
        <v>0.6</v>
      </c>
      <c r="E65" s="592">
        <f>IFERROR((C65-D65)*100,"n/d")</f>
        <v>-1.2000000000000011</v>
      </c>
      <c r="I65"/>
      <c r="J65"/>
      <c r="L65"/>
      <c r="M65"/>
      <c r="N65"/>
    </row>
    <row r="66" spans="2:14" ht="18" customHeight="1">
      <c r="B66" s="591" t="s">
        <v>262</v>
      </c>
      <c r="C66" s="456">
        <v>0.58799999999999997</v>
      </c>
      <c r="D66" s="457">
        <v>0.56899999999999995</v>
      </c>
      <c r="E66" s="592">
        <f>IFERROR((C66-D66)*100,"n/d")</f>
        <v>1.9000000000000017</v>
      </c>
      <c r="I66"/>
      <c r="J66"/>
      <c r="L66"/>
      <c r="M66"/>
      <c r="N66"/>
    </row>
    <row r="67" spans="2:14" ht="18" customHeight="1">
      <c r="B67" s="591" t="s">
        <v>158</v>
      </c>
      <c r="C67" s="456">
        <v>0.57599999999999996</v>
      </c>
      <c r="D67" s="457">
        <v>0.55900000000000005</v>
      </c>
      <c r="E67" s="592">
        <f t="shared" si="2"/>
        <v>1.6999999999999904</v>
      </c>
      <c r="I67"/>
      <c r="J67"/>
      <c r="L67"/>
      <c r="M67"/>
      <c r="N67"/>
    </row>
    <row r="68" spans="2:14" ht="18" customHeight="1">
      <c r="B68" s="591" t="s">
        <v>227</v>
      </c>
      <c r="C68" s="456">
        <v>0.58199999999999996</v>
      </c>
      <c r="D68" s="457">
        <v>0.48799999999999999</v>
      </c>
      <c r="E68" s="592">
        <f t="shared" si="2"/>
        <v>9.3999999999999968</v>
      </c>
      <c r="I68"/>
      <c r="J68"/>
      <c r="L68"/>
      <c r="M68"/>
      <c r="N68"/>
    </row>
    <row r="69" spans="2:14" ht="18" customHeight="1">
      <c r="B69" s="591" t="s">
        <v>162</v>
      </c>
      <c r="C69" s="456">
        <v>0.56499999999999995</v>
      </c>
      <c r="D69" s="457">
        <v>0.55200000000000005</v>
      </c>
      <c r="E69" s="592">
        <f t="shared" si="2"/>
        <v>1.2999999999999901</v>
      </c>
      <c r="I69"/>
      <c r="J69"/>
      <c r="L69"/>
      <c r="M69"/>
      <c r="N69"/>
    </row>
    <row r="70" spans="2:14" ht="18" customHeight="1">
      <c r="B70" s="591" t="s">
        <v>161</v>
      </c>
      <c r="C70" s="456">
        <v>0.56399999999999995</v>
      </c>
      <c r="D70" s="457">
        <v>0.54600000000000004</v>
      </c>
      <c r="E70" s="592">
        <f t="shared" si="2"/>
        <v>1.7999999999999905</v>
      </c>
      <c r="I70"/>
      <c r="J70"/>
      <c r="L70"/>
      <c r="M70"/>
      <c r="N70"/>
    </row>
    <row r="71" spans="2:14" ht="18" customHeight="1">
      <c r="B71" s="591" t="s">
        <v>163</v>
      </c>
      <c r="C71" s="456">
        <v>0.53600000000000003</v>
      </c>
      <c r="D71" s="457">
        <v>0.53300000000000003</v>
      </c>
      <c r="E71" s="592">
        <f>IFERROR((C71-D71)*100,"n/d")</f>
        <v>0.30000000000000027</v>
      </c>
      <c r="I71"/>
      <c r="J71"/>
      <c r="L71"/>
      <c r="M71"/>
      <c r="N71"/>
    </row>
    <row r="72" spans="2:14" ht="18" customHeight="1">
      <c r="B72" s="591" t="s">
        <v>167</v>
      </c>
      <c r="C72" s="456">
        <v>0.495</v>
      </c>
      <c r="D72" s="457">
        <v>0.497</v>
      </c>
      <c r="E72" s="592">
        <f>IFERROR((C72-D72)*100,"n/d")</f>
        <v>-0.20000000000000018</v>
      </c>
      <c r="I72"/>
      <c r="J72"/>
      <c r="L72"/>
      <c r="M72"/>
      <c r="N72"/>
    </row>
    <row r="73" spans="2:14" ht="18" customHeight="1">
      <c r="B73" s="591" t="s">
        <v>179</v>
      </c>
      <c r="C73" s="456">
        <v>0.50800000000000001</v>
      </c>
      <c r="D73" s="457">
        <v>0.48799999999999999</v>
      </c>
      <c r="E73" s="592">
        <f t="shared" si="2"/>
        <v>2.0000000000000018</v>
      </c>
      <c r="I73"/>
      <c r="J73"/>
      <c r="L73"/>
      <c r="M73"/>
      <c r="N73"/>
    </row>
    <row r="74" spans="2:14" ht="18" customHeight="1">
      <c r="B74" s="591" t="s">
        <v>276</v>
      </c>
      <c r="C74" s="456">
        <v>0.48199999999999998</v>
      </c>
      <c r="D74" s="457">
        <v>0.48399999999999999</v>
      </c>
      <c r="E74" s="592">
        <f>IFERROR((C74-D74)*100,"n/d")</f>
        <v>-0.20000000000000018</v>
      </c>
      <c r="I74"/>
      <c r="J74"/>
      <c r="L74"/>
      <c r="M74"/>
      <c r="N74"/>
    </row>
    <row r="75" spans="2:14" ht="18" customHeight="1">
      <c r="B75" s="591" t="s">
        <v>159</v>
      </c>
      <c r="C75" s="456">
        <v>0.48199999999999998</v>
      </c>
      <c r="D75" s="457">
        <v>0.46200000000000002</v>
      </c>
      <c r="E75" s="592">
        <f>IFERROR((C75-D75)*100,"n/d")</f>
        <v>1.9999999999999962</v>
      </c>
      <c r="I75"/>
      <c r="J75"/>
      <c r="L75"/>
      <c r="M75"/>
      <c r="N75"/>
    </row>
    <row r="76" spans="2:14" ht="18" customHeight="1">
      <c r="B76" s="591" t="s">
        <v>228</v>
      </c>
      <c r="C76" s="456">
        <v>0.48499999999999999</v>
      </c>
      <c r="D76" s="457">
        <v>0.39400000000000002</v>
      </c>
      <c r="E76" s="592">
        <f>IFERROR((C76-D76)*100,"n/d")</f>
        <v>9.0999999999999979</v>
      </c>
      <c r="I76"/>
      <c r="J76"/>
      <c r="L76"/>
      <c r="M76"/>
      <c r="N76"/>
    </row>
    <row r="77" spans="2:14" ht="18" customHeight="1">
      <c r="B77" s="591" t="s">
        <v>160</v>
      </c>
      <c r="C77" s="456">
        <v>0.38200000000000001</v>
      </c>
      <c r="D77" s="457">
        <v>0.36</v>
      </c>
      <c r="E77" s="592">
        <f t="shared" si="2"/>
        <v>2.200000000000002</v>
      </c>
      <c r="I77"/>
      <c r="J77"/>
      <c r="L77"/>
      <c r="M77"/>
      <c r="N77"/>
    </row>
    <row r="78" spans="2:14" ht="18" customHeight="1">
      <c r="B78" s="591" t="s">
        <v>213</v>
      </c>
      <c r="C78" s="456">
        <v>0.36499999999999999</v>
      </c>
      <c r="D78" s="457">
        <v>0.26400000000000001</v>
      </c>
      <c r="E78" s="592">
        <f t="shared" si="2"/>
        <v>10.099999999999998</v>
      </c>
      <c r="I78"/>
      <c r="J78"/>
      <c r="L78"/>
      <c r="M78"/>
      <c r="N78"/>
    </row>
    <row r="79" spans="2:14" ht="18" customHeight="1">
      <c r="B79" s="591" t="s">
        <v>271</v>
      </c>
      <c r="C79" s="456">
        <v>0.311</v>
      </c>
      <c r="D79" s="457">
        <v>0.307</v>
      </c>
      <c r="E79" s="592">
        <f>IFERROR((C79-D79)*100,"n/d")</f>
        <v>0.40000000000000036</v>
      </c>
      <c r="I79"/>
      <c r="J79"/>
      <c r="L79"/>
      <c r="M79"/>
      <c r="N79"/>
    </row>
    <row r="80" spans="2:14" ht="18" customHeight="1">
      <c r="B80" s="591" t="s">
        <v>259</v>
      </c>
      <c r="C80" s="456">
        <v>0.19600000000000001</v>
      </c>
      <c r="D80" s="457">
        <v>0.184</v>
      </c>
      <c r="E80" s="592">
        <f t="shared" ref="E80" si="3">IFERROR((C80-D80)*100,"n/d")</f>
        <v>1.2000000000000011</v>
      </c>
      <c r="I80"/>
      <c r="J80"/>
      <c r="L80"/>
      <c r="M80"/>
      <c r="N80"/>
    </row>
    <row r="81" spans="1:14" ht="18" customHeight="1">
      <c r="B81" s="591" t="s">
        <v>263</v>
      </c>
      <c r="C81" s="456">
        <v>0.13900000000000001</v>
      </c>
      <c r="D81" s="457">
        <v>0.157</v>
      </c>
      <c r="E81" s="592">
        <f>IFERROR((C81-D81)*100,"n/d")</f>
        <v>-1.7999999999999989</v>
      </c>
      <c r="I81"/>
      <c r="J81"/>
      <c r="L81"/>
      <c r="M81"/>
      <c r="N81"/>
    </row>
    <row r="82" spans="1:14" ht="18" customHeight="1">
      <c r="B82" s="591" t="s">
        <v>264</v>
      </c>
      <c r="C82" s="456">
        <v>0.14199999999999999</v>
      </c>
      <c r="D82" s="457">
        <v>0.16200000000000001</v>
      </c>
      <c r="E82" s="592">
        <f t="shared" ref="E82:E86" si="4">IFERROR((C82-D82)*100,"n/d")</f>
        <v>-2.0000000000000018</v>
      </c>
      <c r="I82"/>
      <c r="J82"/>
      <c r="L82"/>
      <c r="M82"/>
      <c r="N82"/>
    </row>
    <row r="83" spans="1:14" ht="18" customHeight="1">
      <c r="B83" s="591" t="s">
        <v>260</v>
      </c>
      <c r="C83" s="456" t="s">
        <v>135</v>
      </c>
      <c r="D83" s="457" t="s">
        <v>135</v>
      </c>
      <c r="E83" s="592" t="str">
        <f>IFERROR((C83-D83)*100,"n/d")</f>
        <v>n/d</v>
      </c>
      <c r="I83"/>
      <c r="J83"/>
      <c r="L83"/>
      <c r="M83"/>
      <c r="N83"/>
    </row>
    <row r="84" spans="1:14" ht="18" customHeight="1">
      <c r="B84" s="591" t="s">
        <v>268</v>
      </c>
      <c r="C84" s="456" t="s">
        <v>135</v>
      </c>
      <c r="D84" s="457" t="s">
        <v>135</v>
      </c>
      <c r="E84" s="592" t="str">
        <f t="shared" si="4"/>
        <v>n/d</v>
      </c>
      <c r="I84"/>
      <c r="J84"/>
      <c r="L84"/>
      <c r="M84"/>
      <c r="N84"/>
    </row>
    <row r="85" spans="1:14" ht="18" customHeight="1">
      <c r="B85" s="591" t="s">
        <v>269</v>
      </c>
      <c r="C85" s="456" t="s">
        <v>135</v>
      </c>
      <c r="D85" s="457" t="s">
        <v>135</v>
      </c>
      <c r="E85" s="592" t="str">
        <f t="shared" si="4"/>
        <v>n/d</v>
      </c>
      <c r="I85"/>
      <c r="J85"/>
      <c r="L85"/>
      <c r="M85"/>
      <c r="N85"/>
    </row>
    <row r="86" spans="1:14" s="589" customFormat="1" ht="18" customHeight="1">
      <c r="A86" s="590"/>
      <c r="B86" s="591" t="s">
        <v>284</v>
      </c>
      <c r="C86" s="456" t="s">
        <v>135</v>
      </c>
      <c r="D86" s="457" t="s">
        <v>135</v>
      </c>
      <c r="E86" s="592" t="str">
        <f t="shared" si="4"/>
        <v>n/d</v>
      </c>
    </row>
    <row r="87" spans="1:14" s="589" customFormat="1" ht="18" customHeight="1">
      <c r="A87" s="590"/>
      <c r="B87" s="591" t="s">
        <v>285</v>
      </c>
      <c r="C87" s="456" t="s">
        <v>135</v>
      </c>
      <c r="D87" s="457" t="s">
        <v>135</v>
      </c>
      <c r="E87" s="592" t="str">
        <f t="shared" ref="E87:E89" si="5">IFERROR((C87-D87)*100,"n/d")</f>
        <v>n/d</v>
      </c>
    </row>
    <row r="88" spans="1:14" s="589" customFormat="1" ht="18.75" customHeight="1">
      <c r="A88" s="590"/>
      <c r="B88" s="591" t="s">
        <v>286</v>
      </c>
      <c r="C88" s="456">
        <v>0.30099999999999999</v>
      </c>
      <c r="D88" s="457" t="s">
        <v>135</v>
      </c>
      <c r="E88" s="592" t="str">
        <f t="shared" si="5"/>
        <v>n/d</v>
      </c>
    </row>
    <row r="89" spans="1:14" s="589" customFormat="1" ht="18" customHeight="1" thickBot="1">
      <c r="A89" s="590"/>
      <c r="B89" s="454" t="s">
        <v>287</v>
      </c>
      <c r="C89" s="458">
        <v>0.27100000000000002</v>
      </c>
      <c r="D89" s="459" t="s">
        <v>135</v>
      </c>
      <c r="E89" s="593" t="str">
        <f t="shared" si="5"/>
        <v>n/d</v>
      </c>
    </row>
    <row r="90" spans="1:14">
      <c r="I90"/>
      <c r="J90"/>
      <c r="L90"/>
      <c r="M90"/>
      <c r="N90"/>
    </row>
    <row r="91" spans="1:14" s="16" customFormat="1" ht="10.5" customHeight="1" thickBot="1"/>
    <row r="92" spans="1:14" s="413" customFormat="1" ht="18" customHeight="1" thickBot="1">
      <c r="B92" s="721" t="s">
        <v>250</v>
      </c>
      <c r="C92" s="722"/>
      <c r="D92" s="722"/>
      <c r="E92" s="723"/>
    </row>
    <row r="93" spans="1:14" s="413" customFormat="1" ht="18" customHeight="1">
      <c r="B93" s="418" t="s">
        <v>251</v>
      </c>
      <c r="C93" s="456">
        <v>0.98099999999999998</v>
      </c>
      <c r="D93" s="457">
        <v>0.97299999999999998</v>
      </c>
      <c r="E93" s="411">
        <f t="shared" ref="E93:E95" si="6">IFERROR((C93-D93)*100,"n/d")</f>
        <v>0.80000000000000071</v>
      </c>
    </row>
    <row r="94" spans="1:14" s="413" customFormat="1" ht="18" customHeight="1">
      <c r="B94" s="418" t="s">
        <v>252</v>
      </c>
      <c r="C94" s="456">
        <v>0.83599999999999997</v>
      </c>
      <c r="D94" s="457">
        <v>0.755</v>
      </c>
      <c r="E94" s="411">
        <f t="shared" si="6"/>
        <v>8.0999999999999961</v>
      </c>
    </row>
    <row r="95" spans="1:14" s="413" customFormat="1" ht="18" customHeight="1">
      <c r="B95" s="418" t="s">
        <v>165</v>
      </c>
      <c r="C95" s="456">
        <v>0.51100000000000001</v>
      </c>
      <c r="D95" s="457">
        <v>0.47899999999999998</v>
      </c>
      <c r="E95" s="411">
        <f t="shared" si="6"/>
        <v>3.2000000000000028</v>
      </c>
    </row>
    <row r="96" spans="1:14" s="413" customFormat="1" ht="18" customHeight="1">
      <c r="B96" s="418" t="s">
        <v>178</v>
      </c>
      <c r="C96" s="456">
        <v>0.46400000000000002</v>
      </c>
      <c r="D96" s="457">
        <v>0.45200000000000001</v>
      </c>
      <c r="E96" s="411">
        <f>IFERROR((C96-D96)*100,"n/d")</f>
        <v>1.2000000000000011</v>
      </c>
    </row>
    <row r="97" spans="2:14" s="413" customFormat="1" ht="18" customHeight="1">
      <c r="B97" s="418" t="s">
        <v>166</v>
      </c>
      <c r="C97" s="456">
        <v>0.45100000000000001</v>
      </c>
      <c r="D97" s="457">
        <v>0.42799999999999999</v>
      </c>
      <c r="E97" s="411">
        <f>IFERROR((C97-D97)*100,"n/d")</f>
        <v>2.300000000000002</v>
      </c>
    </row>
    <row r="98" spans="2:14" s="413" customFormat="1" ht="18" customHeight="1">
      <c r="B98" s="418" t="s">
        <v>180</v>
      </c>
      <c r="C98" s="456">
        <v>0.44600000000000001</v>
      </c>
      <c r="D98" s="457">
        <v>0.42599999999999999</v>
      </c>
      <c r="E98" s="411">
        <f>IFERROR((C98-D98)*100,"n/d")</f>
        <v>2.0000000000000018</v>
      </c>
    </row>
    <row r="99" spans="2:14" s="413" customFormat="1" ht="18" customHeight="1">
      <c r="B99" s="453" t="s">
        <v>164</v>
      </c>
      <c r="C99" s="456">
        <v>0.42099999999999999</v>
      </c>
      <c r="D99" s="457">
        <v>0.40400000000000003</v>
      </c>
      <c r="E99" s="411">
        <f>IFERROR((C99-D99)*100,"n/d")</f>
        <v>1.699999999999996</v>
      </c>
    </row>
    <row r="100" spans="2:14" s="413" customFormat="1" ht="18" customHeight="1" thickBot="1">
      <c r="B100" s="454" t="s">
        <v>270</v>
      </c>
      <c r="C100" s="458" t="s">
        <v>135</v>
      </c>
      <c r="D100" s="459" t="s">
        <v>135</v>
      </c>
      <c r="E100" s="412" t="str">
        <f t="shared" ref="E100" si="7">IFERROR((C100-D100)*100,"n/d")</f>
        <v>n/d</v>
      </c>
    </row>
    <row r="101" spans="2:14" s="16" customFormat="1" ht="10.5" customHeight="1"/>
    <row r="102" spans="2:14" s="16" customFormat="1" ht="136.5" customHeight="1">
      <c r="B102" s="716" t="s">
        <v>288</v>
      </c>
      <c r="C102" s="716"/>
      <c r="D102" s="716"/>
      <c r="E102" s="716"/>
    </row>
    <row r="103" spans="2:14" s="16" customFormat="1">
      <c r="B103" s="719"/>
      <c r="C103" s="719"/>
      <c r="D103" s="719"/>
      <c r="E103" s="719"/>
      <c r="L103" s="590"/>
      <c r="M103" s="590"/>
      <c r="N103" s="590"/>
    </row>
    <row r="104" spans="2:14" s="212" customFormat="1" ht="27.75" customHeight="1">
      <c r="B104" s="720"/>
      <c r="C104" s="720"/>
      <c r="D104" s="720"/>
      <c r="E104" s="720"/>
      <c r="F104" s="16"/>
      <c r="G104" s="16"/>
      <c r="H104" s="16"/>
      <c r="I104" s="16"/>
      <c r="J104" s="16"/>
      <c r="K104" s="16"/>
      <c r="L104" s="590"/>
    </row>
    <row r="105" spans="2:14" s="16" customFormat="1">
      <c r="B105" s="719"/>
      <c r="C105" s="719"/>
      <c r="D105" s="719"/>
      <c r="E105" s="719"/>
      <c r="L105" s="590"/>
      <c r="M105" s="590"/>
      <c r="N105" s="590"/>
    </row>
    <row r="106" spans="2:14" s="16" customFormat="1" ht="14.25" customHeight="1">
      <c r="B106" s="720"/>
      <c r="C106" s="720"/>
      <c r="D106" s="720"/>
      <c r="E106" s="720"/>
      <c r="L106" s="590"/>
      <c r="M106" s="590"/>
      <c r="N106" s="590"/>
    </row>
    <row r="107" spans="2:14" s="16" customFormat="1" ht="14.25" customHeight="1">
      <c r="B107" s="720"/>
      <c r="C107" s="720"/>
      <c r="D107" s="720"/>
      <c r="E107" s="720"/>
      <c r="L107" s="590"/>
      <c r="M107" s="590"/>
      <c r="N107" s="590"/>
    </row>
    <row r="108" spans="2:14" s="16" customFormat="1">
      <c r="B108" s="435"/>
      <c r="C108" s="435"/>
      <c r="D108" s="435"/>
      <c r="E108" s="435"/>
      <c r="L108" s="590"/>
      <c r="M108" s="590"/>
      <c r="N108" s="590"/>
    </row>
    <row r="109" spans="2:14" s="16" customFormat="1">
      <c r="B109" s="435"/>
      <c r="C109" s="213"/>
      <c r="D109" s="213"/>
      <c r="E109" s="213"/>
      <c r="L109" s="590"/>
      <c r="M109" s="590"/>
      <c r="N109" s="590"/>
    </row>
    <row r="110" spans="2:14" s="16" customFormat="1">
      <c r="B110" s="718"/>
      <c r="C110" s="718"/>
      <c r="D110" s="718"/>
      <c r="L110" s="590"/>
      <c r="M110" s="590"/>
      <c r="N110" s="590"/>
    </row>
    <row r="111" spans="2:14" s="16" customFormat="1" ht="18" customHeight="1">
      <c r="B111" s="718"/>
      <c r="C111" s="718"/>
      <c r="D111" s="718"/>
      <c r="L111" s="590"/>
      <c r="M111" s="590"/>
      <c r="N111" s="590"/>
    </row>
    <row r="112" spans="2:14" s="16" customFormat="1">
      <c r="L112" s="590"/>
      <c r="M112" s="590"/>
      <c r="N112" s="590"/>
    </row>
    <row r="113" spans="12:14" s="16" customFormat="1">
      <c r="L113" s="590"/>
      <c r="M113" s="590"/>
      <c r="N113" s="590"/>
    </row>
    <row r="114" spans="12:14" s="16" customFormat="1">
      <c r="L114" s="590"/>
      <c r="M114" s="590"/>
      <c r="N114" s="590"/>
    </row>
    <row r="115" spans="12:14" s="16" customFormat="1">
      <c r="L115" s="590"/>
      <c r="M115" s="590"/>
      <c r="N115" s="590"/>
    </row>
    <row r="116" spans="12:14" s="16" customFormat="1">
      <c r="L116" s="590"/>
      <c r="M116" s="590"/>
      <c r="N116" s="590"/>
    </row>
    <row r="117" spans="12:14" s="16" customFormat="1">
      <c r="L117" s="590"/>
      <c r="M117" s="590"/>
      <c r="N117" s="590"/>
    </row>
    <row r="118" spans="12:14" s="16" customFormat="1">
      <c r="L118" s="590"/>
      <c r="M118" s="590"/>
      <c r="N118" s="590"/>
    </row>
    <row r="119" spans="12:14" s="16" customFormat="1">
      <c r="L119" s="590"/>
      <c r="M119" s="590"/>
      <c r="N119" s="590"/>
    </row>
    <row r="120" spans="12:14" s="16" customFormat="1">
      <c r="L120" s="590"/>
      <c r="M120" s="590"/>
      <c r="N120" s="590"/>
    </row>
    <row r="121" spans="12:14" s="16" customFormat="1">
      <c r="L121" s="590"/>
      <c r="M121" s="590"/>
      <c r="N121" s="590"/>
    </row>
    <row r="122" spans="12:14" s="16" customFormat="1">
      <c r="L122" s="590"/>
      <c r="M122" s="590"/>
      <c r="N122" s="590"/>
    </row>
    <row r="123" spans="12:14" s="16" customFormat="1">
      <c r="L123" s="590"/>
      <c r="M123" s="590"/>
      <c r="N123" s="590"/>
    </row>
    <row r="124" spans="12:14" s="16" customFormat="1">
      <c r="L124" s="590"/>
      <c r="M124" s="590"/>
      <c r="N124" s="590"/>
    </row>
    <row r="125" spans="12:14" s="16" customFormat="1">
      <c r="L125" s="590"/>
      <c r="M125" s="590"/>
      <c r="N125" s="590"/>
    </row>
    <row r="126" spans="12:14" s="16" customFormat="1">
      <c r="L126" s="590"/>
      <c r="M126" s="590"/>
      <c r="N126" s="590"/>
    </row>
    <row r="127" spans="12:14" s="16" customFormat="1">
      <c r="L127" s="590"/>
      <c r="M127" s="590"/>
      <c r="N127" s="590"/>
    </row>
    <row r="128" spans="12:14" s="16" customFormat="1">
      <c r="L128" s="590"/>
      <c r="M128" s="590"/>
      <c r="N128" s="590"/>
    </row>
    <row r="129" spans="6:14" s="16" customFormat="1">
      <c r="L129" s="590"/>
      <c r="M129" s="590"/>
      <c r="N129" s="590"/>
    </row>
    <row r="130" spans="6:14" s="16" customFormat="1">
      <c r="L130" s="590"/>
      <c r="M130" s="590"/>
      <c r="N130" s="590"/>
    </row>
    <row r="131" spans="6:14" s="16" customFormat="1">
      <c r="F131"/>
      <c r="G131"/>
      <c r="H131"/>
      <c r="K131"/>
      <c r="L131" s="589"/>
      <c r="M131" s="590"/>
      <c r="N131" s="590"/>
    </row>
    <row r="132" spans="6:14" s="16" customFormat="1">
      <c r="F132"/>
      <c r="G132"/>
      <c r="H132"/>
      <c r="K132"/>
      <c r="L132" s="589"/>
      <c r="M132" s="590"/>
      <c r="N132" s="590"/>
    </row>
    <row r="133" spans="6:14" s="16" customFormat="1">
      <c r="F133"/>
      <c r="G133"/>
      <c r="H133"/>
      <c r="K133"/>
      <c r="L133" s="589"/>
      <c r="M133" s="590"/>
      <c r="N133" s="590"/>
    </row>
    <row r="134" spans="6:14" s="16" customFormat="1">
      <c r="F134"/>
      <c r="G134"/>
      <c r="H134"/>
      <c r="K134"/>
      <c r="L134" s="589"/>
      <c r="M134" s="590"/>
      <c r="N134" s="590"/>
    </row>
    <row r="135" spans="6:14" s="16" customFormat="1">
      <c r="F135"/>
      <c r="G135"/>
      <c r="H135"/>
      <c r="K135"/>
      <c r="L135" s="589"/>
      <c r="M135" s="590"/>
      <c r="N135" s="590"/>
    </row>
    <row r="136" spans="6:14" s="16" customFormat="1">
      <c r="F136"/>
      <c r="G136"/>
      <c r="H136"/>
      <c r="K136"/>
      <c r="L136" s="589"/>
      <c r="M136" s="590"/>
      <c r="N136" s="590"/>
    </row>
    <row r="137" spans="6:14" s="16" customFormat="1">
      <c r="F137"/>
      <c r="G137"/>
      <c r="H137"/>
      <c r="K137"/>
      <c r="L137" s="589"/>
      <c r="M137" s="590"/>
      <c r="N137" s="590"/>
    </row>
    <row r="138" spans="6:14" s="16" customFormat="1">
      <c r="F138"/>
      <c r="G138"/>
      <c r="H138"/>
      <c r="K138"/>
      <c r="L138" s="589"/>
      <c r="M138" s="590"/>
      <c r="N138" s="590"/>
    </row>
    <row r="170" spans="2:4">
      <c r="B170" s="588"/>
      <c r="C170" s="588"/>
      <c r="D170" s="588"/>
    </row>
    <row r="171" spans="2:4">
      <c r="B171" s="588"/>
      <c r="C171" s="588"/>
      <c r="D171" s="588"/>
    </row>
  </sheetData>
  <mergeCells count="15">
    <mergeCell ref="B43:E43"/>
    <mergeCell ref="B2:B3"/>
    <mergeCell ref="C2:E2"/>
    <mergeCell ref="B55:B56"/>
    <mergeCell ref="C55:E55"/>
    <mergeCell ref="B102:E102"/>
    <mergeCell ref="B53:E53"/>
    <mergeCell ref="B111:D111"/>
    <mergeCell ref="B103:E103"/>
    <mergeCell ref="B104:E104"/>
    <mergeCell ref="B105:E105"/>
    <mergeCell ref="B106:E106"/>
    <mergeCell ref="B107:E107"/>
    <mergeCell ref="B110:D110"/>
    <mergeCell ref="B92:E92"/>
  </mergeCells>
  <pageMargins left="0.7" right="0.7" top="0.75" bottom="0.75" header="0.3" footer="0.3"/>
  <pageSetup paperSize="9" scale="56"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8</vt:i4>
      </vt:variant>
    </vt:vector>
  </HeadingPairs>
  <TitlesOfParts>
    <vt:vector size="14" baseType="lpstr">
      <vt:lpstr>Skonsolidowany P&amp;L</vt:lpstr>
      <vt:lpstr>Segmenty</vt:lpstr>
      <vt:lpstr>Skonsolidowany bilans</vt:lpstr>
      <vt:lpstr>Skonsolidowany CF</vt:lpstr>
      <vt:lpstr>KPI_segment B2B&amp;B2C</vt:lpstr>
      <vt:lpstr>KPI - segment TV</vt:lpstr>
      <vt:lpstr>'KPI - segment TV'!_Toc377043859</vt:lpstr>
      <vt:lpstr>'KPI - segment TV'!_Toc377043860</vt:lpstr>
      <vt:lpstr>'KPI - segment TV'!Obszar_wydruku</vt:lpstr>
      <vt:lpstr>'KPI_segment B2B&amp;B2C'!Obszar_wydruku</vt:lpstr>
      <vt:lpstr>'Skonsolidowany bilans'!Obszar_wydruku</vt:lpstr>
      <vt:lpstr>'Skonsolidowany CF'!Obszar_wydruku</vt:lpstr>
      <vt:lpstr>'Skonsolidowany P&amp;L'!Obszar_wydruku</vt:lpstr>
      <vt:lpstr>'Skonsolidowany CF'!OLE_LINK3</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egieniusz</cp:lastModifiedBy>
  <cp:lastPrinted>2015-11-10T12:34:56Z</cp:lastPrinted>
  <dcterms:created xsi:type="dcterms:W3CDTF">2008-08-25T12:12:22Z</dcterms:created>
  <dcterms:modified xsi:type="dcterms:W3CDTF">2019-05-13T20:05:10Z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