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Bilans 1Q 2019" sheetId="1" r:id="rId1"/>
  </sheets>
  <definedNames>
    <definedName name="_xlnm.Print_Area" localSheetId="0">'Bilans 1Q 2019'!$A$2:$AD$78</definedName>
  </definedNames>
  <calcPr calcId="145621"/>
</workbook>
</file>

<file path=xl/calcChain.xml><?xml version="1.0" encoding="utf-8"?>
<calcChain xmlns="http://schemas.openxmlformats.org/spreadsheetml/2006/main">
  <c r="AS68" i="1" l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D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H64" i="1"/>
  <c r="F64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Y57" i="1"/>
  <c r="X57" i="1"/>
  <c r="W57" i="1"/>
  <c r="V57" i="1"/>
  <c r="V68" i="1" s="1"/>
  <c r="U57" i="1"/>
  <c r="T57" i="1"/>
  <c r="S57" i="1"/>
  <c r="R57" i="1"/>
  <c r="R68" i="1" s="1"/>
  <c r="Q57" i="1"/>
  <c r="P57" i="1"/>
  <c r="O57" i="1"/>
  <c r="N57" i="1"/>
  <c r="N68" i="1" s="1"/>
  <c r="M57" i="1"/>
  <c r="L57" i="1"/>
  <c r="K57" i="1"/>
  <c r="J57" i="1"/>
  <c r="J68" i="1" s="1"/>
  <c r="I57" i="1"/>
  <c r="H57" i="1"/>
  <c r="G57" i="1"/>
  <c r="F57" i="1"/>
  <c r="F68" i="1" s="1"/>
  <c r="E57" i="1"/>
  <c r="D57" i="1"/>
  <c r="C57" i="1"/>
  <c r="B57" i="1"/>
  <c r="B68" i="1" s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C56" i="1" s="1"/>
  <c r="B54" i="1"/>
  <c r="Y53" i="1"/>
  <c r="X53" i="1"/>
  <c r="W53" i="1"/>
  <c r="V53" i="1"/>
  <c r="U53" i="1"/>
  <c r="T53" i="1"/>
  <c r="S53" i="1"/>
  <c r="R53" i="1"/>
  <c r="P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L56" i="1" s="1"/>
  <c r="K50" i="1"/>
  <c r="J50" i="1"/>
  <c r="J56" i="1" s="1"/>
  <c r="J69" i="1" s="1"/>
  <c r="I50" i="1"/>
  <c r="H50" i="1"/>
  <c r="G50" i="1"/>
  <c r="F50" i="1"/>
  <c r="E50" i="1"/>
  <c r="D50" i="1"/>
  <c r="Y49" i="1"/>
  <c r="X49" i="1"/>
  <c r="W49" i="1"/>
  <c r="V49" i="1"/>
  <c r="U49" i="1"/>
  <c r="T49" i="1"/>
  <c r="S49" i="1"/>
  <c r="R49" i="1"/>
  <c r="Q49" i="1"/>
  <c r="P49" i="1"/>
  <c r="O49" i="1"/>
  <c r="N49" i="1"/>
  <c r="Y48" i="1"/>
  <c r="X48" i="1"/>
  <c r="X56" i="1" s="1"/>
  <c r="W48" i="1"/>
  <c r="V48" i="1"/>
  <c r="U48" i="1"/>
  <c r="T48" i="1"/>
  <c r="T56" i="1" s="1"/>
  <c r="S48" i="1"/>
  <c r="R48" i="1"/>
  <c r="Q48" i="1"/>
  <c r="P48" i="1"/>
  <c r="P56" i="1" s="1"/>
  <c r="O48" i="1"/>
  <c r="N48" i="1"/>
  <c r="H48" i="1"/>
  <c r="G48" i="1"/>
  <c r="G56" i="1" s="1"/>
  <c r="F48" i="1"/>
  <c r="E48" i="1"/>
  <c r="D48" i="1"/>
  <c r="B48" i="1"/>
  <c r="B56" i="1" s="1"/>
  <c r="B69" i="1" s="1"/>
  <c r="Y46" i="1"/>
  <c r="X46" i="1"/>
  <c r="W46" i="1"/>
  <c r="D46" i="1"/>
  <c r="C46" i="1"/>
  <c r="B46" i="1"/>
  <c r="AS45" i="1"/>
  <c r="AS47" i="1" s="1"/>
  <c r="AR45" i="1"/>
  <c r="AR47" i="1" s="1"/>
  <c r="AQ45" i="1"/>
  <c r="AQ47" i="1" s="1"/>
  <c r="AP45" i="1"/>
  <c r="AP47" i="1" s="1"/>
  <c r="AO45" i="1"/>
  <c r="AO47" i="1" s="1"/>
  <c r="AN45" i="1"/>
  <c r="AN47" i="1" s="1"/>
  <c r="AM45" i="1"/>
  <c r="AM47" i="1" s="1"/>
  <c r="AL45" i="1"/>
  <c r="AL47" i="1" s="1"/>
  <c r="AK45" i="1"/>
  <c r="AK47" i="1" s="1"/>
  <c r="AJ45" i="1"/>
  <c r="AJ47" i="1" s="1"/>
  <c r="AI45" i="1"/>
  <c r="AI47" i="1" s="1"/>
  <c r="AH45" i="1"/>
  <c r="AH47" i="1" s="1"/>
  <c r="AG45" i="1"/>
  <c r="AG47" i="1" s="1"/>
  <c r="AF45" i="1"/>
  <c r="AF47" i="1" s="1"/>
  <c r="AE45" i="1"/>
  <c r="AE47" i="1" s="1"/>
  <c r="AD45" i="1"/>
  <c r="AD47" i="1" s="1"/>
  <c r="AC45" i="1"/>
  <c r="AC47" i="1" s="1"/>
  <c r="AB45" i="1"/>
  <c r="AB47" i="1" s="1"/>
  <c r="AA45" i="1"/>
  <c r="AA47" i="1" s="1"/>
  <c r="Z45" i="1"/>
  <c r="Z47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X43" i="1"/>
  <c r="W43" i="1"/>
  <c r="V43" i="1"/>
  <c r="U43" i="1"/>
  <c r="T43" i="1"/>
  <c r="S43" i="1"/>
  <c r="R43" i="1"/>
  <c r="Q42" i="1"/>
  <c r="O42" i="1"/>
  <c r="N42" i="1"/>
  <c r="Q41" i="1"/>
  <c r="O41" i="1"/>
  <c r="N41" i="1"/>
  <c r="Y40" i="1"/>
  <c r="X40" i="1"/>
  <c r="W40" i="1"/>
  <c r="V40" i="1"/>
  <c r="U40" i="1"/>
  <c r="T40" i="1"/>
  <c r="S40" i="1"/>
  <c r="R40" i="1"/>
  <c r="P40" i="1"/>
  <c r="Q39" i="1"/>
  <c r="O39" i="1"/>
  <c r="N39" i="1"/>
  <c r="M39" i="1"/>
  <c r="L39" i="1"/>
  <c r="K39" i="1"/>
  <c r="J39" i="1"/>
  <c r="I39" i="1"/>
  <c r="H39" i="1"/>
  <c r="G39" i="1"/>
  <c r="F39" i="1"/>
  <c r="E39" i="1"/>
  <c r="Q38" i="1"/>
  <c r="O38" i="1"/>
  <c r="N38" i="1"/>
  <c r="M38" i="1"/>
  <c r="L38" i="1"/>
  <c r="K38" i="1"/>
  <c r="J38" i="1"/>
  <c r="I38" i="1"/>
  <c r="H38" i="1"/>
  <c r="G38" i="1"/>
  <c r="F38" i="1"/>
  <c r="E38" i="1"/>
  <c r="Y37" i="1"/>
  <c r="X37" i="1"/>
  <c r="W37" i="1"/>
  <c r="V37" i="1"/>
  <c r="V45" i="1" s="1"/>
  <c r="V47" i="1" s="1"/>
  <c r="U37" i="1"/>
  <c r="T37" i="1"/>
  <c r="S37" i="1"/>
  <c r="R37" i="1"/>
  <c r="R45" i="1" s="1"/>
  <c r="R47" i="1" s="1"/>
  <c r="Q37" i="1"/>
  <c r="P37" i="1"/>
  <c r="O37" i="1"/>
  <c r="N37" i="1"/>
  <c r="N45" i="1" s="1"/>
  <c r="N47" i="1" s="1"/>
  <c r="M37" i="1"/>
  <c r="L37" i="1"/>
  <c r="K37" i="1"/>
  <c r="J37" i="1"/>
  <c r="J45" i="1" s="1"/>
  <c r="J47" i="1" s="1"/>
  <c r="I37" i="1"/>
  <c r="H37" i="1"/>
  <c r="G37" i="1"/>
  <c r="F37" i="1"/>
  <c r="F45" i="1" s="1"/>
  <c r="F47" i="1" s="1"/>
  <c r="E37" i="1"/>
  <c r="D37" i="1"/>
  <c r="C37" i="1"/>
  <c r="B37" i="1"/>
  <c r="B45" i="1" s="1"/>
  <c r="B47" i="1" s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A34" i="1"/>
  <c r="Z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B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F30" i="1"/>
  <c r="E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P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C34" i="1" s="1"/>
  <c r="AC35" i="1" s="1"/>
  <c r="AB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W34" i="1" s="1"/>
  <c r="V20" i="1"/>
  <c r="U20" i="1"/>
  <c r="T20" i="1"/>
  <c r="S20" i="1"/>
  <c r="S34" i="1" s="1"/>
  <c r="R20" i="1"/>
  <c r="Q20" i="1"/>
  <c r="P20" i="1"/>
  <c r="O20" i="1"/>
  <c r="O34" i="1" s="1"/>
  <c r="N20" i="1"/>
  <c r="M20" i="1"/>
  <c r="L20" i="1"/>
  <c r="K20" i="1"/>
  <c r="K34" i="1" s="1"/>
  <c r="J20" i="1"/>
  <c r="I20" i="1"/>
  <c r="H20" i="1"/>
  <c r="G20" i="1"/>
  <c r="F20" i="1"/>
  <c r="E20" i="1"/>
  <c r="D20" i="1"/>
  <c r="C20" i="1"/>
  <c r="B20" i="1"/>
  <c r="AS19" i="1"/>
  <c r="AR19" i="1"/>
  <c r="AQ19" i="1"/>
  <c r="AQ35" i="1" s="1"/>
  <c r="AP19" i="1"/>
  <c r="AO19" i="1"/>
  <c r="AN19" i="1"/>
  <c r="AM19" i="1"/>
  <c r="AM35" i="1" s="1"/>
  <c r="AL19" i="1"/>
  <c r="AK19" i="1"/>
  <c r="AJ19" i="1"/>
  <c r="AI19" i="1"/>
  <c r="AI35" i="1" s="1"/>
  <c r="AH19" i="1"/>
  <c r="AG19" i="1"/>
  <c r="AF19" i="1"/>
  <c r="AE19" i="1"/>
  <c r="AE35" i="1" s="1"/>
  <c r="AD19" i="1"/>
  <c r="AC19" i="1"/>
  <c r="AB19" i="1"/>
  <c r="AA19" i="1"/>
  <c r="AA35" i="1" s="1"/>
  <c r="Z19" i="1"/>
  <c r="Z35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3" i="1"/>
  <c r="X13" i="1"/>
  <c r="W13" i="1"/>
  <c r="V13" i="1"/>
  <c r="U13" i="1"/>
  <c r="T13" i="1"/>
  <c r="S13" i="1"/>
  <c r="R13" i="1"/>
  <c r="P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Y19" i="1" s="1"/>
  <c r="X4" i="1"/>
  <c r="W4" i="1"/>
  <c r="V4" i="1"/>
  <c r="U4" i="1"/>
  <c r="U19" i="1" s="1"/>
  <c r="T4" i="1"/>
  <c r="S4" i="1"/>
  <c r="R4" i="1"/>
  <c r="Q4" i="1"/>
  <c r="Q19" i="1" s="1"/>
  <c r="P4" i="1"/>
  <c r="O4" i="1"/>
  <c r="N4" i="1"/>
  <c r="M4" i="1"/>
  <c r="M19" i="1" s="1"/>
  <c r="L4" i="1"/>
  <c r="L19" i="1" s="1"/>
  <c r="K4" i="1"/>
  <c r="J4" i="1"/>
  <c r="I4" i="1"/>
  <c r="I19" i="1" s="1"/>
  <c r="H4" i="1"/>
  <c r="G4" i="1"/>
  <c r="E4" i="1"/>
  <c r="D4" i="1"/>
  <c r="C4" i="1"/>
  <c r="B4" i="1"/>
  <c r="T19" i="1" l="1"/>
  <c r="T35" i="1" s="1"/>
  <c r="X19" i="1"/>
  <c r="H19" i="1"/>
  <c r="P19" i="1"/>
  <c r="AB35" i="1"/>
  <c r="D19" i="1"/>
  <c r="D45" i="1"/>
  <c r="D47" i="1" s="1"/>
  <c r="H45" i="1"/>
  <c r="H47" i="1" s="1"/>
  <c r="L45" i="1"/>
  <c r="L47" i="1" s="1"/>
  <c r="P45" i="1"/>
  <c r="P47" i="1" s="1"/>
  <c r="T45" i="1"/>
  <c r="T47" i="1" s="1"/>
  <c r="X45" i="1"/>
  <c r="X47" i="1" s="1"/>
  <c r="D68" i="1"/>
  <c r="H68" i="1"/>
  <c r="L68" i="1"/>
  <c r="L69" i="1" s="1"/>
  <c r="L70" i="1" s="1"/>
  <c r="P68" i="1"/>
  <c r="T68" i="1"/>
  <c r="X68" i="1"/>
  <c r="B19" i="1"/>
  <c r="B35" i="1" s="1"/>
  <c r="G19" i="1"/>
  <c r="K19" i="1"/>
  <c r="S19" i="1"/>
  <c r="S35" i="1" s="1"/>
  <c r="W19" i="1"/>
  <c r="W35" i="1" s="1"/>
  <c r="R19" i="1"/>
  <c r="V19" i="1"/>
  <c r="F19" i="1"/>
  <c r="J19" i="1"/>
  <c r="N19" i="1"/>
  <c r="AB34" i="1"/>
  <c r="G69" i="1"/>
  <c r="G70" i="1" s="1"/>
  <c r="N56" i="1"/>
  <c r="N69" i="1" s="1"/>
  <c r="R56" i="1"/>
  <c r="R69" i="1" s="1"/>
  <c r="V56" i="1"/>
  <c r="Z69" i="1"/>
  <c r="Z70" i="1" s="1"/>
  <c r="AD69" i="1"/>
  <c r="AD70" i="1" s="1"/>
  <c r="AH69" i="1"/>
  <c r="AH70" i="1" s="1"/>
  <c r="AL69" i="1"/>
  <c r="AL70" i="1" s="1"/>
  <c r="AP69" i="1"/>
  <c r="AP70" i="1" s="1"/>
  <c r="C19" i="1"/>
  <c r="AF35" i="1"/>
  <c r="AJ35" i="1"/>
  <c r="AN35" i="1"/>
  <c r="AR35" i="1"/>
  <c r="D34" i="1"/>
  <c r="H34" i="1"/>
  <c r="H35" i="1" s="1"/>
  <c r="L34" i="1"/>
  <c r="L35" i="1" s="1"/>
  <c r="P34" i="1"/>
  <c r="T34" i="1"/>
  <c r="X34" i="1"/>
  <c r="E34" i="1"/>
  <c r="I34" i="1"/>
  <c r="M34" i="1"/>
  <c r="Q34" i="1"/>
  <c r="Q35" i="1" s="1"/>
  <c r="U34" i="1"/>
  <c r="U35" i="1" s="1"/>
  <c r="Y34" i="1"/>
  <c r="Y35" i="1" s="1"/>
  <c r="AG35" i="1"/>
  <c r="AK35" i="1"/>
  <c r="AO35" i="1"/>
  <c r="AS35" i="1"/>
  <c r="E45" i="1"/>
  <c r="E47" i="1" s="1"/>
  <c r="I45" i="1"/>
  <c r="I47" i="1" s="1"/>
  <c r="M45" i="1"/>
  <c r="M47" i="1" s="1"/>
  <c r="Q45" i="1"/>
  <c r="Q47" i="1" s="1"/>
  <c r="U45" i="1"/>
  <c r="U47" i="1" s="1"/>
  <c r="Y45" i="1"/>
  <c r="Y47" i="1" s="1"/>
  <c r="C45" i="1"/>
  <c r="C47" i="1" s="1"/>
  <c r="G45" i="1"/>
  <c r="G47" i="1" s="1"/>
  <c r="K45" i="1"/>
  <c r="K47" i="1" s="1"/>
  <c r="O45" i="1"/>
  <c r="O47" i="1" s="1"/>
  <c r="S45" i="1"/>
  <c r="S47" i="1" s="1"/>
  <c r="W45" i="1"/>
  <c r="W47" i="1" s="1"/>
  <c r="D56" i="1"/>
  <c r="H56" i="1"/>
  <c r="K56" i="1"/>
  <c r="K69" i="1" s="1"/>
  <c r="K70" i="1" s="1"/>
  <c r="C68" i="1"/>
  <c r="C69" i="1" s="1"/>
  <c r="G68" i="1"/>
  <c r="K68" i="1"/>
  <c r="O68" i="1"/>
  <c r="S68" i="1"/>
  <c r="W68" i="1"/>
  <c r="AA69" i="1"/>
  <c r="AE69" i="1"/>
  <c r="AI69" i="1"/>
  <c r="AM69" i="1"/>
  <c r="AQ69" i="1"/>
  <c r="K35" i="1"/>
  <c r="O19" i="1"/>
  <c r="O35" i="1" s="1"/>
  <c r="M35" i="1"/>
  <c r="X35" i="1"/>
  <c r="P35" i="1"/>
  <c r="T69" i="1"/>
  <c r="T70" i="1" s="1"/>
  <c r="X69" i="1"/>
  <c r="X70" i="1" s="1"/>
  <c r="AB69" i="1"/>
  <c r="AB70" i="1" s="1"/>
  <c r="AF69" i="1"/>
  <c r="AJ69" i="1"/>
  <c r="AN69" i="1"/>
  <c r="AN70" i="1" s="1"/>
  <c r="AR69" i="1"/>
  <c r="AR70" i="1" s="1"/>
  <c r="AD35" i="1"/>
  <c r="AH35" i="1"/>
  <c r="AL35" i="1"/>
  <c r="AP35" i="1"/>
  <c r="B34" i="1"/>
  <c r="F34" i="1"/>
  <c r="F35" i="1" s="1"/>
  <c r="J34" i="1"/>
  <c r="J35" i="1" s="1"/>
  <c r="N34" i="1"/>
  <c r="N35" i="1" s="1"/>
  <c r="R34" i="1"/>
  <c r="R35" i="1" s="1"/>
  <c r="V34" i="1"/>
  <c r="V35" i="1" s="1"/>
  <c r="C34" i="1"/>
  <c r="C35" i="1" s="1"/>
  <c r="G34" i="1"/>
  <c r="F56" i="1"/>
  <c r="F69" i="1" s="1"/>
  <c r="O56" i="1"/>
  <c r="S56" i="1"/>
  <c r="S69" i="1" s="1"/>
  <c r="W56" i="1"/>
  <c r="W69" i="1" s="1"/>
  <c r="W70" i="1" s="1"/>
  <c r="E56" i="1"/>
  <c r="I56" i="1"/>
  <c r="M56" i="1"/>
  <c r="M69" i="1" s="1"/>
  <c r="M70" i="1" s="1"/>
  <c r="Q56" i="1"/>
  <c r="Q69" i="1" s="1"/>
  <c r="Q70" i="1" s="1"/>
  <c r="U56" i="1"/>
  <c r="Y56" i="1"/>
  <c r="E68" i="1"/>
  <c r="I68" i="1"/>
  <c r="M68" i="1"/>
  <c r="Q68" i="1"/>
  <c r="U68" i="1"/>
  <c r="U69" i="1" s="1"/>
  <c r="U70" i="1" s="1"/>
  <c r="Y68" i="1"/>
  <c r="Y69" i="1" s="1"/>
  <c r="Y70" i="1" s="1"/>
  <c r="AC69" i="1"/>
  <c r="AC70" i="1" s="1"/>
  <c r="AG69" i="1"/>
  <c r="AG70" i="1" s="1"/>
  <c r="AK69" i="1"/>
  <c r="AK70" i="1" s="1"/>
  <c r="AO69" i="1"/>
  <c r="AO70" i="1" s="1"/>
  <c r="AS69" i="1"/>
  <c r="AS70" i="1" s="1"/>
  <c r="AF70" i="1"/>
  <c r="E19" i="1"/>
  <c r="E35" i="1" s="1"/>
  <c r="B70" i="1"/>
  <c r="P69" i="1"/>
  <c r="P70" i="1" s="1"/>
  <c r="J70" i="1"/>
  <c r="N70" i="1"/>
  <c r="R70" i="1"/>
  <c r="V69" i="1"/>
  <c r="V70" i="1" s="1"/>
  <c r="D35" i="1"/>
  <c r="I35" i="1"/>
  <c r="D69" i="1"/>
  <c r="D70" i="1" s="1"/>
  <c r="H69" i="1"/>
  <c r="AA70" i="1"/>
  <c r="AE70" i="1"/>
  <c r="AI70" i="1"/>
  <c r="AM70" i="1"/>
  <c r="AQ70" i="1"/>
  <c r="AJ70" i="1"/>
  <c r="G35" i="1"/>
  <c r="F70" i="1"/>
  <c r="S70" i="1" l="1"/>
  <c r="O69" i="1"/>
  <c r="O70" i="1"/>
  <c r="H70" i="1"/>
  <c r="C70" i="1"/>
  <c r="I69" i="1"/>
  <c r="I70" i="1" s="1"/>
  <c r="E69" i="1"/>
  <c r="E70" i="1" s="1"/>
</calcChain>
</file>

<file path=xl/sharedStrings.xml><?xml version="1.0" encoding="utf-8"?>
<sst xmlns="http://schemas.openxmlformats.org/spreadsheetml/2006/main" count="220" uniqueCount="118">
  <si>
    <t>GRUPA KAPITAŁOWA CYFROWY POLSAT S.A.</t>
  </si>
  <si>
    <t>31 marca 2011 r.</t>
  </si>
  <si>
    <t>SKONSOLIDOWANY BILANS
w milionach złotych</t>
  </si>
  <si>
    <t>31 grudnia 2004 r.</t>
  </si>
  <si>
    <t>31 grudnia 2005 r.</t>
  </si>
  <si>
    <t>31 grudnia 2006 r.</t>
  </si>
  <si>
    <t xml:space="preserve"> 31 grudnia 2007 r. </t>
  </si>
  <si>
    <t>30 czerwca 2008 r.</t>
  </si>
  <si>
    <t xml:space="preserve"> 31 grudnia 2008 r. </t>
  </si>
  <si>
    <t>30 czerwca 2009 r.</t>
  </si>
  <si>
    <t>31 grudnia 2009 r.</t>
  </si>
  <si>
    <t>30 czerwca 2010 r.</t>
  </si>
  <si>
    <t>30 września 2010 r</t>
  </si>
  <si>
    <t>31 grudnia 2010 r</t>
  </si>
  <si>
    <t>30 czerwca 2011 r.</t>
  </si>
  <si>
    <t>30 września 2011 r.</t>
  </si>
  <si>
    <t>31 grudnia 2011 r.
przekształcony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</si>
  <si>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</si>
  <si>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</si>
  <si>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</si>
  <si>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</si>
  <si>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</si>
  <si>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</si>
  <si>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</si>
  <si>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</si>
  <si>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</si>
  <si>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 xml:space="preserve">30 czerwca 2014 r. </t>
  </si>
  <si>
    <t>30 września 2014 r.</t>
  </si>
  <si>
    <r>
      <t xml:space="preserve">31 grudnia 2014 r. przekształcony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</si>
  <si>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31 marca 2015 r.</t>
  </si>
  <si>
    <t>30 czerwca 2015 r.</t>
  </si>
  <si>
    <t>30 września 2015 r.</t>
  </si>
  <si>
    <t xml:space="preserve">31 grudnia 2015 r. </t>
  </si>
  <si>
    <t>31 marca 2016 r.</t>
  </si>
  <si>
    <t>30 czerwca 2016 r.</t>
  </si>
  <si>
    <t>30 września 2016 r.</t>
  </si>
  <si>
    <t xml:space="preserve">31 grudnia 2016 r. </t>
  </si>
  <si>
    <t>31 marca 2017 r.</t>
  </si>
  <si>
    <t>30 czerwca 2017 r.</t>
  </si>
  <si>
    <t>30 września 2017 r.</t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</si>
  <si>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wedlug             MSR 18)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</si>
  <si>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</si>
  <si>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30 czerwca 2018 r.
</t>
    </r>
    <r>
      <rPr>
        <i/>
        <sz val="10"/>
        <color indexed="8"/>
        <rFont val="Calibri"/>
        <family val="2"/>
        <charset val="238"/>
      </rPr>
      <t>(dane według 
MSSF 15</t>
    </r>
    <r>
      <rPr>
        <i/>
        <vertAlign val="superscript"/>
        <sz val="10"/>
        <color indexed="8"/>
        <rFont val="Calibri"/>
        <family val="2"/>
        <charset val="238"/>
      </rPr>
      <t>6</t>
    </r>
    <r>
      <rPr>
        <i/>
        <sz val="10"/>
        <color indexed="8"/>
        <rFont val="Calibri"/>
        <family val="2"/>
        <charset val="238"/>
      </rPr>
      <t>)</t>
    </r>
  </si>
  <si>
    <r>
      <t xml:space="preserve">30 września 2018 r.
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</si>
  <si>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31 grudnia 2018 r.
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</si>
  <si>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31 marca 2019 r. </t>
    </r>
    <r>
      <rPr>
        <i/>
        <sz val="10"/>
        <color indexed="8"/>
        <rFont val="Calibri"/>
        <family val="2"/>
        <charset val="238"/>
      </rPr>
      <t>(dane według 
MSSF 16)</t>
    </r>
  </si>
  <si>
    <t>AKTYWA</t>
  </si>
  <si>
    <t>Zestawy odbiorcze</t>
  </si>
  <si>
    <t>Inne rzeczowe aktywa trwałe</t>
  </si>
  <si>
    <t>Wartość firmy</t>
  </si>
  <si>
    <t>Relacje z klientami</t>
  </si>
  <si>
    <t>Marki</t>
  </si>
  <si>
    <t xml:space="preserve">Inne wartości niematerialne </t>
  </si>
  <si>
    <t>Prawa do użytkowania</t>
  </si>
  <si>
    <t>Długoterminowe aktywa programowe</t>
  </si>
  <si>
    <t>Nieruchomości inwestycyjne</t>
  </si>
  <si>
    <r>
      <t>Długoterminowe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</si>
  <si>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t>1)</t>
  </si>
  <si>
    <t>Opcja wcześniejszej spłaty obligacji</t>
  </si>
  <si>
    <r>
      <t>Inne aktywa długoterminowe</t>
    </r>
    <r>
      <rPr>
        <vertAlign val="superscript"/>
        <sz val="10"/>
        <color indexed="8"/>
        <rFont val="Calibri"/>
        <family val="2"/>
        <charset val="238"/>
      </rPr>
      <t>1)</t>
    </r>
  </si>
  <si>
    <t>w tym udziały w jednostkach stowarzyszonych wycenianych metodą praw własności</t>
  </si>
  <si>
    <t>w tym aktywa z tytułu instrumentów pochodnych</t>
  </si>
  <si>
    <t>Aktywa z tytułu odroczonego podatku dochodowego</t>
  </si>
  <si>
    <t>Aktywa trwałe razem</t>
  </si>
  <si>
    <t>Krótkoterminowe aktywa programowe</t>
  </si>
  <si>
    <t>Aktywa z tytułu kontraktów</t>
  </si>
  <si>
    <t>Zapasy</t>
  </si>
  <si>
    <t>Pożyczki udzielone jednostkom powiązanym</t>
  </si>
  <si>
    <t>-</t>
  </si>
  <si>
    <t>Obligacje</t>
  </si>
  <si>
    <r>
      <t>Należności z tytułu dostaw i usług oraz pozostałe należności</t>
    </r>
    <r>
      <rPr>
        <vertAlign val="superscript"/>
        <sz val="10"/>
        <color indexed="8"/>
        <rFont val="Calibri"/>
        <family val="2"/>
        <charset val="238"/>
      </rPr>
      <t>2)</t>
    </r>
  </si>
  <si>
    <t>Należności z tytułu podatku dochodowego</t>
  </si>
  <si>
    <r>
      <t>Krótkoterminowe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</si>
  <si>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10"/>
        <color indexed="8"/>
        <rFont val="Calibri"/>
        <family val="2"/>
        <charset val="238"/>
      </rPr>
      <t>1)</t>
    </r>
  </si>
  <si>
    <t>Lokaty krótkoterminowe</t>
  </si>
  <si>
    <t>Środki pieniężne i ich ekwiwalenty</t>
  </si>
  <si>
    <t>Środki pieniężne o ograniczonej możliwości dysponowania</t>
  </si>
  <si>
    <t>Aktywa przeznaczone do sprzedaży</t>
  </si>
  <si>
    <t>Aktywa obrotowe razem</t>
  </si>
  <si>
    <t>Aktywa razem</t>
  </si>
  <si>
    <t>PASYWA</t>
  </si>
  <si>
    <t>Kapitał zakładowy</t>
  </si>
  <si>
    <t>Kapitał zapasowy</t>
  </si>
  <si>
    <t>3)</t>
  </si>
  <si>
    <t>Kapitał rezerwowy</t>
  </si>
  <si>
    <r>
      <t>Nadwyżka wartości emisyjnej akcji powyżej ich wartości nominalnej</t>
    </r>
    <r>
      <rPr>
        <vertAlign val="superscript"/>
        <sz val="10"/>
        <color indexed="8"/>
        <rFont val="Calibri"/>
        <family val="2"/>
        <charset val="238"/>
      </rPr>
      <t>3)</t>
    </r>
  </si>
  <si>
    <t>Kapitał z aktualizacji wyceny instrumentów zabezpieczających</t>
  </si>
  <si>
    <t>Różnice kursowe z przeliczenia jednostek działających za granicą</t>
  </si>
  <si>
    <r>
      <t>Pozostałe kapitały</t>
    </r>
    <r>
      <rPr>
        <vertAlign val="superscript"/>
        <sz val="10"/>
        <color indexed="8"/>
        <rFont val="Calibri"/>
        <family val="2"/>
        <charset val="238"/>
      </rPr>
      <t>3)</t>
    </r>
  </si>
  <si>
    <t>Zyski/(straty) zatrzymane</t>
  </si>
  <si>
    <t>Kapitał przypadający na akcjonariuszy Jednostki Dominującej</t>
  </si>
  <si>
    <t>Udziały niekontrolujące</t>
  </si>
  <si>
    <t>Kapitał własny razem</t>
  </si>
  <si>
    <t>Zobowiązania z tytułu kredytów i pożyczek</t>
  </si>
  <si>
    <t xml:space="preserve">Zobowiązania z tytułu obligacji </t>
  </si>
  <si>
    <t>Zobowiązania z tytułu leasingu finansowego</t>
  </si>
  <si>
    <t>Zobowiązania z tytułu koncesji UMTS</t>
  </si>
  <si>
    <t>Zobowiązania z tytułu odroczonego podatku dochodowego</t>
  </si>
  <si>
    <r>
      <t>Przychody przyszłych okresów</t>
    </r>
    <r>
      <rPr>
        <vertAlign val="superscript"/>
        <sz val="10"/>
        <color indexed="8"/>
        <rFont val="Calibri"/>
        <family val="2"/>
        <charset val="238"/>
      </rPr>
      <t>2)</t>
    </r>
  </si>
  <si>
    <t>2)</t>
  </si>
  <si>
    <t>Inne długoterminowe zobowiązania i rezerwy</t>
  </si>
  <si>
    <t>w tym zobowiązania z tytułu instrumentów pochodnych</t>
  </si>
  <si>
    <t>Zobowiązania długoterminowe razem</t>
  </si>
  <si>
    <t>Zobowiązania z tytułu kontraktów</t>
  </si>
  <si>
    <t xml:space="preserve">Zobowiązania z tytułu dostaw i usług oraz pozostałe zobowiązania </t>
  </si>
  <si>
    <t>Zobowiązania z tytułu podatku dochodowego</t>
  </si>
  <si>
    <t>Kaucje otrzymane za wydany sprzęt</t>
  </si>
  <si>
    <t>5)</t>
  </si>
  <si>
    <t>Zobowiązania związane z aktywami trwałymi przeznaczonymi do sprzedaży</t>
  </si>
  <si>
    <t>Zobowiązania krótkoterminowe razem</t>
  </si>
  <si>
    <t>Zobowiązania razem</t>
  </si>
  <si>
    <t>PASYWA RAZEM</t>
  </si>
  <si>
    <r>
      <rPr>
        <vertAlign val="superscript"/>
        <sz val="9"/>
        <color indexed="8"/>
        <rFont val="Calibri"/>
        <family val="2"/>
        <charset val="238"/>
      </rPr>
      <t>1)</t>
    </r>
    <r>
      <rPr>
        <sz val="9"/>
        <color indexed="8"/>
        <rFont val="Calibri"/>
        <family val="2"/>
        <charset val="238"/>
      </rPr>
      <t xml:space="preserve"> Na koniec czerwca 2012 roku, Grupa zmieniła prezentację Innych aktywów długoterminowych i Pozostałych aktywów obrotowych w skonsolidowanym bilansie.  Ponadto Grupa wydzieliła i zaprezentowała osobno Długoterminowe prowizje rozliczane w czasie i Krótkoterminowe prowizje rozliczane w czasie z odpowiednio Innych aktywów długoterminowych i Pozostałych aktywów obrotowych.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</si>
  <si>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Na koniec czerwca 2012 roku, Grupa dokonała reklasyfikacji pomiędzy należnościami i przychodami przyszłych okresów.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</si>
  <si>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Zmiana prezentacji od 30 czerwca 2012 roku. Dane na 31 grudnia 2011 roku zostały przekształcone w celu uzgodnienia prezentacji</t>
    </r>
  </si>
  <si>
    <r>
      <rPr>
        <vertAlign val="superscript"/>
        <sz val="9"/>
        <color indexed="8"/>
        <rFont val="Calibri"/>
        <family val="2"/>
        <charset val="238"/>
      </rPr>
      <t>4)</t>
    </r>
    <r>
      <rPr>
        <sz val="9"/>
        <color indexed="8"/>
        <rFont val="Calibri"/>
        <family val="2"/>
        <charset val="238"/>
      </rPr>
      <t xml:space="preserve"> Przekszatłcenie w wyniku finalizacji procesu alokacji ceny nabycia Metelem.</t>
    </r>
  </si>
  <si>
    <r>
      <rPr>
        <vertAlign val="superscript"/>
        <sz val="9"/>
        <color indexed="8"/>
        <rFont val="Calibri"/>
        <family val="2"/>
        <charset val="238"/>
      </rPr>
      <t>5)</t>
    </r>
    <r>
      <rPr>
        <sz val="9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</si>
  <si>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t>6) Grupa Netia konsolidowana od 22 maja 2018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</si>
</sst>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;\(#,##0.000\)"/>
    <numFmt numFmtId="166" formatCode="#,##0.0\ ;\(#,##0.0\)"/>
    <numFmt numFmtId="167" formatCode="#,##0.0;\(#,##0.0\);\-"/>
    <numFmt numFmtId="168" formatCode="#,##0.0\ ;\(#,##0.0\);\-"/>
    <numFmt numFmtId="169" formatCode="#,##0.0"/>
    <numFmt numFmtId="170" formatCode="_(* #,##0_);_(* \(#,##0\);_(* &quot;-&quot;_);_(@_)"/>
    <numFmt numFmtId="171" formatCode="_(* #,##0.00_);_(* \(#,##0.00\);_(* &quot;-&quot;??_);_(@_)"/>
    <numFmt numFmtId="172" formatCode="_(* #,##0.000_);_(* \(#,##0.000\);_(* &quot;-&quot;??_);_(@_)"/>
    <numFmt numFmtId="173" formatCode="\-"/>
    <numFmt numFmtId="174" formatCode="#,##0.0\ ;\(#,##0\)"/>
    <numFmt numFmtId="175" formatCode="0.0"/>
    <numFmt numFmtId="176" formatCode="_(* #,##0.0_);_(* \(#,##0.0\);_(* &quot;-&quot;_);_(@_)"/>
    <numFmt numFmtId="177" formatCode="###0.000"/>
    <numFmt numFmtId="178" formatCode="###0.0"/>
    <numFmt numFmtId="179" formatCode="#\.##0"/>
    <numFmt numFmtId="180" formatCode="#,##0.000"/>
    <numFmt numFmtId="181" formatCode="#\.###\.##0"/>
    <numFmt numFmtId="182" formatCode="#,##0.000;\(#,##0.000\)"/>
    <numFmt numFmtId="183" formatCode="#,##0.0;\(#,##0.0\)"/>
    <numFmt numFmtId="184" formatCode="_ &quot;kr&quot;\ * #,##0.00_ ;_ &quot;kr&quot;\ * \-#,##0.00_ ;_ &quot;kr&quot;\ * &quot;-&quot;??_ ;_ @_ "/>
    <numFmt numFmtId="185" formatCode="_ * #,##0.00_ ;_ * \-#,##0.00_ ;_ * &quot;-&quot;??_ ;_ @_ "/>
    <numFmt numFmtId="186" formatCode="_([$€]* #,##0.00_);_([$€]* \(#,##0.00\);_([$€]* &quot;-&quot;??_);_(@_)"/>
    <numFmt numFmtId="187" formatCode="&quot;$&quot;#,##0;[Red]\-&quot;$&quot;#,##0"/>
    <numFmt numFmtId="188" formatCode="d/m/yy\ h:mm"/>
    <numFmt numFmtId="189" formatCode="General_)"/>
    <numFmt numFmtId="190" formatCode="0.000000000"/>
    <numFmt numFmtId="191" formatCode="\k\$#"/>
    <numFmt numFmtId="192" formatCode="_-* #,##0.00\ [$€-1]_-;\-* #,##0.00\ [$€-1]_-;_-* &quot;-&quot;??\ [$€-1]_-"/>
    <numFmt numFmtId="193" formatCode="\H\U\F\ 0.000"/>
    <numFmt numFmtId="194" formatCode="&quot;$&quot;#,##0.00\ ;\(&quot;$&quot;#,##0.00\)"/>
    <numFmt numFmtId="195" formatCode="\k\$\ 0.000"/>
    <numFmt numFmtId="196" formatCode="\k\E\C\U\ 0.000"/>
    <numFmt numFmtId="197" formatCode="\k\H\U\F\ 0.000"/>
    <numFmt numFmtId="198" formatCode="\k\L\E\ 0.000"/>
    <numFmt numFmtId="199" formatCode="_-* #,##0.00\ &quot;Sk&quot;_-;\-* #,##0.00\ &quot;Sk&quot;_-;_-* &quot;-&quot;??\ &quot;Sk&quot;_-;_-@_-"/>
    <numFmt numFmtId="200" formatCode="_ * #,##0_)\ _$_ ;_ * \(#,##0\)\ _$_ ;_ * &quot;-&quot;_)\ _$_ ;_ @_ "/>
    <numFmt numFmtId="201" formatCode="_ * #,##0.00_)\ _$_ ;_ * \(#,##0.00\)\ _$_ ;_ * &quot;-&quot;??_)\ _$_ ;_ @_ "/>
    <numFmt numFmtId="202" formatCode="_ * #,##0_)\ &quot;$&quot;_ ;_ * \(#,##0\)\ &quot;$&quot;_ ;_ * &quot;-&quot;_)\ &quot;$&quot;_ ;_ @_ "/>
    <numFmt numFmtId="203" formatCode="_ * #,##0.00_)\ &quot;$&quot;_ ;_ * \(#,##0.00\)\ &quot;$&quot;_ ;_ * &quot;-&quot;??_)\ &quot;$&quot;_ ;_ @_ "/>
    <numFmt numFmtId="204" formatCode="[$-415]mmm\ yy;@"/>
    <numFmt numFmtId="205" formatCode="&quot;Note&quot;\ #"/>
    <numFmt numFmtId="206" formatCode="&quot;See Note &quot;\ #"/>
    <numFmt numFmtId="207" formatCode="\$\ #,##0"/>
    <numFmt numFmtId="208" formatCode="&quot;L.&quot;\ #,##0;[Red]\-&quot;L.&quot;\ #,##0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</numFmts>
  <fonts count="1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color indexed="8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9"/>
      <color theme="0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rgb="FFF7A833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50">
    <xf numFmtId="0" fontId="0" fillId="0" borderId="0"/>
    <xf numFmtId="171" fontId="31" fillId="0" borderId="0" applyFont="0" applyFill="0" applyBorder="0" applyAlignment="0" applyProtection="0"/>
    <xf numFmtId="0" fontId="46" fillId="0" borderId="0"/>
    <xf numFmtId="0" fontId="47" fillId="0" borderId="0"/>
    <xf numFmtId="164" fontId="48" fillId="0" borderId="0"/>
    <xf numFmtId="184" fontId="49" fillId="0" borderId="0" applyFont="0" applyFill="0" applyBorder="0" applyAlignment="0" applyProtection="0"/>
    <xf numFmtId="0" fontId="50" fillId="0" borderId="0">
      <alignment vertical="center"/>
    </xf>
    <xf numFmtId="1" fontId="48" fillId="0" borderId="0"/>
    <xf numFmtId="175" fontId="51" fillId="0" borderId="0"/>
    <xf numFmtId="2" fontId="48" fillId="0" borderId="0"/>
    <xf numFmtId="1" fontId="51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85" fontId="53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6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6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6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6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6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6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6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6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6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6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6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6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6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6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6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6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6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6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6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6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6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6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6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6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6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6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6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6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6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6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6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6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6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6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6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16" fillId="12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6" fillId="12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186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12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12" borderId="0" applyNumberFormat="0" applyBorder="0" applyAlignment="0" applyProtection="0"/>
    <xf numFmtId="0" fontId="31" fillId="54" borderId="0" applyNumberFormat="0" applyBorder="0" applyAlignment="0" applyProtection="0"/>
    <xf numFmtId="0" fontId="1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86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6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186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16" borderId="0" applyNumberFormat="0" applyBorder="0" applyAlignment="0" applyProtection="0"/>
    <xf numFmtId="0" fontId="31" fillId="50" borderId="0" applyNumberFormat="0" applyBorder="0" applyAlignment="0" applyProtection="0"/>
    <xf numFmtId="186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16" borderId="0" applyNumberFormat="0" applyBorder="0" applyAlignment="0" applyProtection="0"/>
    <xf numFmtId="0" fontId="31" fillId="50" borderId="0" applyNumberFormat="0" applyBorder="0" applyAlignment="0" applyProtection="0"/>
    <xf numFmtId="0" fontId="1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86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6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186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6" fillId="20" borderId="0" applyNumberFormat="0" applyBorder="0" applyAlignment="0" applyProtection="0"/>
    <xf numFmtId="0" fontId="31" fillId="51" borderId="0" applyNumberFormat="0" applyBorder="0" applyAlignment="0" applyProtection="0"/>
    <xf numFmtId="186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6" fillId="20" borderId="0" applyNumberFormat="0" applyBorder="0" applyAlignment="0" applyProtection="0"/>
    <xf numFmtId="0" fontId="31" fillId="51" borderId="0" applyNumberFormat="0" applyBorder="0" applyAlignment="0" applyProtection="0"/>
    <xf numFmtId="0" fontId="1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86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16" fillId="24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6" fillId="24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186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6" fillId="24" borderId="0" applyNumberFormat="0" applyBorder="0" applyAlignment="0" applyProtection="0"/>
    <xf numFmtId="0" fontId="31" fillId="48" borderId="0" applyNumberFormat="0" applyBorder="0" applyAlignment="0" applyProtection="0"/>
    <xf numFmtId="186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6" fillId="24" borderId="0" applyNumberFormat="0" applyBorder="0" applyAlignment="0" applyProtection="0"/>
    <xf numFmtId="0" fontId="31" fillId="48" borderId="0" applyNumberFormat="0" applyBorder="0" applyAlignment="0" applyProtection="0"/>
    <xf numFmtId="0" fontId="1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6" fillId="28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6" fillId="28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8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8" borderId="0" applyNumberFormat="0" applyBorder="0" applyAlignment="0" applyProtection="0"/>
    <xf numFmtId="0" fontId="31" fillId="54" borderId="0" applyNumberFormat="0" applyBorder="0" applyAlignment="0" applyProtection="0"/>
    <xf numFmtId="0" fontId="1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86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16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6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186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32" borderId="0" applyNumberFormat="0" applyBorder="0" applyAlignment="0" applyProtection="0"/>
    <xf numFmtId="0" fontId="31" fillId="46" borderId="0" applyNumberFormat="0" applyBorder="0" applyAlignment="0" applyProtection="0"/>
    <xf numFmtId="186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32" borderId="0" applyNumberFormat="0" applyBorder="0" applyAlignment="0" applyProtection="0"/>
    <xf numFmtId="0" fontId="31" fillId="46" borderId="0" applyNumberFormat="0" applyBorder="0" applyAlignment="0" applyProtection="0"/>
    <xf numFmtId="0" fontId="1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8" borderId="0">
      <alignment horizontal="left" vertical="top"/>
    </xf>
    <xf numFmtId="187" fontId="54" fillId="0" borderId="0" applyFont="0" applyFill="0" applyBorder="0" applyAlignment="0" applyProtection="0"/>
    <xf numFmtId="186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16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6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186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9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9" borderId="0" applyNumberFormat="0" applyBorder="0" applyAlignment="0" applyProtection="0"/>
    <xf numFmtId="0" fontId="31" fillId="54" borderId="0" applyNumberFormat="0" applyBorder="0" applyAlignment="0" applyProtection="0"/>
    <xf numFmtId="0" fontId="1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186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6" fillId="1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1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186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13" borderId="0" applyNumberFormat="0" applyBorder="0" applyAlignment="0" applyProtection="0"/>
    <xf numFmtId="0" fontId="31" fillId="52" borderId="0" applyNumberFormat="0" applyBorder="0" applyAlignment="0" applyProtection="0"/>
    <xf numFmtId="186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13" borderId="0" applyNumberFormat="0" applyBorder="0" applyAlignment="0" applyProtection="0"/>
    <xf numFmtId="0" fontId="31" fillId="52" borderId="0" applyNumberFormat="0" applyBorder="0" applyAlignment="0" applyProtection="0"/>
    <xf numFmtId="0" fontId="1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86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6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6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186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17" borderId="0" applyNumberFormat="0" applyBorder="0" applyAlignment="0" applyProtection="0"/>
    <xf numFmtId="0" fontId="31" fillId="60" borderId="0" applyNumberFormat="0" applyBorder="0" applyAlignment="0" applyProtection="0"/>
    <xf numFmtId="186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17" borderId="0" applyNumberFormat="0" applyBorder="0" applyAlignment="0" applyProtection="0"/>
    <xf numFmtId="0" fontId="31" fillId="60" borderId="0" applyNumberFormat="0" applyBorder="0" applyAlignment="0" applyProtection="0"/>
    <xf numFmtId="0" fontId="1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86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16" fillId="2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6" fillId="2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186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6" fillId="21" borderId="0" applyNumberFormat="0" applyBorder="0" applyAlignment="0" applyProtection="0"/>
    <xf numFmtId="0" fontId="31" fillId="61" borderId="0" applyNumberFormat="0" applyBorder="0" applyAlignment="0" applyProtection="0"/>
    <xf numFmtId="186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6" fillId="21" borderId="0" applyNumberFormat="0" applyBorder="0" applyAlignment="0" applyProtection="0"/>
    <xf numFmtId="0" fontId="31" fillId="61" borderId="0" applyNumberFormat="0" applyBorder="0" applyAlignment="0" applyProtection="0"/>
    <xf numFmtId="0" fontId="1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6" fillId="2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6" fillId="2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5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5" borderId="0" applyNumberFormat="0" applyBorder="0" applyAlignment="0" applyProtection="0"/>
    <xf numFmtId="0" fontId="31" fillId="54" borderId="0" applyNumberFormat="0" applyBorder="0" applyAlignment="0" applyProtection="0"/>
    <xf numFmtId="0" fontId="1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86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6" fillId="29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186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29" borderId="0" applyNumberFormat="0" applyBorder="0" applyAlignment="0" applyProtection="0"/>
    <xf numFmtId="0" fontId="31" fillId="62" borderId="0" applyNumberFormat="0" applyBorder="0" applyAlignment="0" applyProtection="0"/>
    <xf numFmtId="186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29" borderId="0" applyNumberFormat="0" applyBorder="0" applyAlignment="0" applyProtection="0"/>
    <xf numFmtId="0" fontId="31" fillId="62" borderId="0" applyNumberFormat="0" applyBorder="0" applyAlignment="0" applyProtection="0"/>
    <xf numFmtId="0" fontId="1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88" fontId="58" fillId="0" borderId="0" applyFill="0" applyBorder="0" applyAlignment="0"/>
    <xf numFmtId="43" fontId="58" fillId="0" borderId="0" applyFont="0" applyFill="0" applyBorder="0" applyAlignment="0" applyProtection="0"/>
    <xf numFmtId="186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8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60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186" fontId="59" fillId="46" borderId="19" applyNumberFormat="0" applyAlignment="0" applyProtection="0"/>
    <xf numFmtId="0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60" fillId="5" borderId="4" applyNumberFormat="0" applyAlignment="0" applyProtection="0"/>
    <xf numFmtId="0" fontId="31" fillId="0" borderId="0" applyNumberFormat="0" applyFont="0" applyFill="0" applyBorder="0" applyAlignment="0" applyProtection="0"/>
    <xf numFmtId="186" fontId="59" fillId="46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9" applyNumberFormat="0" applyAlignment="0" applyProtection="0"/>
    <xf numFmtId="0" fontId="59" fillId="46" borderId="19" applyNumberFormat="0" applyAlignment="0" applyProtection="0"/>
    <xf numFmtId="0" fontId="60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186" fontId="61" fillId="45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9" fillId="6" borderId="5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45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45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2" fillId="6" borderId="5" applyNumberFormat="0" applyAlignment="0" applyProtection="0"/>
    <xf numFmtId="0" fontId="63" fillId="0" borderId="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0" fontId="61" fillId="63" borderId="20" applyNumberFormat="0" applyAlignment="0" applyProtection="0"/>
    <xf numFmtId="186" fontId="61" fillId="45" borderId="20" applyNumberFormat="0" applyAlignment="0" applyProtection="0"/>
    <xf numFmtId="0" fontId="61" fillId="63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2" fillId="6" borderId="5" applyNumberFormat="0" applyAlignment="0" applyProtection="0"/>
    <xf numFmtId="0" fontId="31" fillId="0" borderId="0" applyNumberFormat="0" applyFont="0" applyFill="0" applyBorder="0" applyAlignment="0" applyProtection="0"/>
    <xf numFmtId="186" fontId="61" fillId="45" borderId="20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2" fillId="6" borderId="5" applyNumberFormat="0" applyAlignment="0" applyProtection="0"/>
    <xf numFmtId="0" fontId="31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62" fillId="6" borderId="5" applyNumberFormat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2" fillId="6" borderId="5" applyNumberFormat="0" applyAlignment="0" applyProtection="0"/>
    <xf numFmtId="0" fontId="63" fillId="0" borderId="5" applyNumberFormat="0" applyFill="0" applyAlignment="0" applyProtection="0"/>
    <xf numFmtId="186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2" borderId="0" applyNumberFormat="0" applyBorder="0" applyAlignment="0" applyProtection="0"/>
    <xf numFmtId="0" fontId="6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186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186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5" fillId="0" borderId="0" applyNumberFormat="0" applyFill="0" applyBorder="0" applyAlignment="0" applyProtection="0"/>
    <xf numFmtId="189" fontId="66" fillId="0" borderId="0">
      <alignment horizontal="center"/>
    </xf>
    <xf numFmtId="190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86" fontId="49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3" fontId="74" fillId="64" borderId="0" applyNumberFormat="0" applyFont="0" applyBorder="0" applyAlignment="0">
      <protection hidden="1"/>
    </xf>
    <xf numFmtId="0" fontId="69" fillId="0" borderId="21">
      <alignment horizontal="center"/>
    </xf>
    <xf numFmtId="38" fontId="75" fillId="65" borderId="0" applyNumberFormat="0" applyBorder="0" applyAlignment="0" applyProtection="0"/>
    <xf numFmtId="3" fontId="76" fillId="0" borderId="0"/>
    <xf numFmtId="0" fontId="77" fillId="0" borderId="11" applyNumberFormat="0" applyAlignment="0" applyProtection="0">
      <alignment horizontal="left" vertical="center"/>
    </xf>
    <xf numFmtId="0" fontId="77" fillId="0" borderId="22">
      <alignment horizontal="left" vertical="center"/>
    </xf>
    <xf numFmtId="0" fontId="78" fillId="0" borderId="0"/>
    <xf numFmtId="0" fontId="79" fillId="0" borderId="0"/>
    <xf numFmtId="0" fontId="80" fillId="0" borderId="0"/>
    <xf numFmtId="0" fontId="81" fillId="0" borderId="0"/>
    <xf numFmtId="0" fontId="82" fillId="0" borderId="0"/>
    <xf numFmtId="186" fontId="83" fillId="0" borderId="0" applyNumberFormat="0" applyFill="0" applyBorder="0" applyAlignment="0" applyProtection="0">
      <alignment vertical="top"/>
      <protection locked="0"/>
    </xf>
    <xf numFmtId="193" fontId="84" fillId="0" borderId="0"/>
    <xf numFmtId="0" fontId="85" fillId="0" borderId="0" applyNumberFormat="0" applyFill="0" applyBorder="0" applyAlignment="0" applyProtection="0"/>
    <xf numFmtId="10" fontId="75" fillId="66" borderId="23" applyNumberFormat="0" applyBorder="0" applyAlignment="0" applyProtection="0"/>
    <xf numFmtId="42" fontId="86" fillId="0" borderId="0">
      <alignment horizontal="center"/>
    </xf>
    <xf numFmtId="194" fontId="87" fillId="0" borderId="0" applyFont="0" applyFill="0" applyBorder="0" applyAlignment="0" applyProtection="0"/>
    <xf numFmtId="195" fontId="51" fillId="0" borderId="0"/>
    <xf numFmtId="196" fontId="88" fillId="0" borderId="0"/>
    <xf numFmtId="197" fontId="84" fillId="0" borderId="0"/>
    <xf numFmtId="198" fontId="84" fillId="0" borderId="0"/>
    <xf numFmtId="186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11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186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9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186" fontId="89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9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186" fontId="91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12" fillId="7" borderId="7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67" borderId="25" applyNumberFormat="0" applyAlignment="0" applyProtection="0"/>
    <xf numFmtId="0" fontId="91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7" borderId="7" applyNumberFormat="0" applyAlignment="0" applyProtection="0"/>
    <xf numFmtId="0" fontId="56" fillId="0" borderId="7" applyNumberFormat="0" applyFill="0" applyAlignment="0" applyProtection="0"/>
    <xf numFmtId="186" fontId="91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92" fillId="67" borderId="25" applyNumberFormat="0" applyAlignment="0" applyProtection="0"/>
    <xf numFmtId="186" fontId="91" fillId="67" borderId="25" applyNumberFormat="0" applyAlignment="0" applyProtection="0"/>
    <xf numFmtId="186" fontId="91" fillId="67" borderId="25" applyNumberFormat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67" borderId="25" applyNumberFormat="0" applyAlignment="0" applyProtection="0"/>
    <xf numFmtId="0" fontId="91" fillId="67" borderId="25" applyNumberFormat="0" applyAlignment="0" applyProtection="0"/>
    <xf numFmtId="0" fontId="93" fillId="7" borderId="7" applyNumberFormat="0" applyAlignment="0" applyProtection="0"/>
    <xf numFmtId="0" fontId="31" fillId="0" borderId="0" applyNumberFormat="0" applyFont="0" applyFill="0" applyBorder="0" applyAlignment="0" applyProtection="0"/>
    <xf numFmtId="186" fontId="91" fillId="67" borderId="25" applyNumberFormat="0" applyAlignment="0" applyProtection="0"/>
    <xf numFmtId="186" fontId="91" fillId="67" borderId="25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67" borderId="25" applyNumberFormat="0" applyAlignment="0" applyProtection="0"/>
    <xf numFmtId="0" fontId="91" fillId="67" borderId="25" applyNumberFormat="0" applyAlignment="0" applyProtection="0"/>
    <xf numFmtId="0" fontId="93" fillId="7" borderId="7" applyNumberFormat="0" applyAlignment="0" applyProtection="0"/>
    <xf numFmtId="0" fontId="31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93" fillId="7" borderId="7" applyNumberFormat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93" fillId="7" borderId="7" applyNumberFormat="0" applyAlignment="0" applyProtection="0"/>
    <xf numFmtId="0" fontId="56" fillId="0" borderId="7" applyNumberFormat="0" applyFill="0" applyAlignment="0" applyProtection="0"/>
    <xf numFmtId="1" fontId="94" fillId="68" borderId="0"/>
    <xf numFmtId="199" fontId="58" fillId="0" borderId="0" applyFont="0" applyFill="0" applyBorder="0" applyAlignment="0" applyProtection="0"/>
    <xf numFmtId="189" fontId="95" fillId="0" borderId="0"/>
    <xf numFmtId="38" fontId="54" fillId="0" borderId="0" applyFont="0" applyFill="0" applyBorder="0" applyAlignment="0" applyProtection="0"/>
    <xf numFmtId="200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186" fontId="97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2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186" fontId="97" fillId="0" borderId="26" applyNumberFormat="0" applyFill="0" applyAlignment="0" applyProtection="0"/>
    <xf numFmtId="0" fontId="98" fillId="0" borderId="27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9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186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9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186" fontId="101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" applyNumberFormat="0" applyFill="0" applyAlignment="0" applyProtection="0"/>
    <xf numFmtId="0" fontId="100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186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186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103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3" fillId="0" borderId="2" applyNumberFormat="0" applyFill="0" applyAlignment="0" applyProtection="0"/>
    <xf numFmtId="0" fontId="100" fillId="0" borderId="2" applyNumberFormat="0" applyFill="0" applyAlignment="0" applyProtection="0"/>
    <xf numFmtId="186" fontId="104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4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" applyNumberFormat="0" applyFill="0" applyAlignment="0" applyProtection="0"/>
    <xf numFmtId="0" fontId="100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186" fontId="104" fillId="0" borderId="30" applyNumberFormat="0" applyFill="0" applyAlignment="0" applyProtection="0"/>
    <xf numFmtId="0" fontId="105" fillId="0" borderId="31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6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186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6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106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106" fillId="0" borderId="3" applyNumberFormat="0" applyFill="0" applyAlignment="0" applyProtection="0"/>
    <xf numFmtId="0" fontId="100" fillId="0" borderId="3" applyNumberFormat="0" applyFill="0" applyAlignment="0" applyProtection="0"/>
    <xf numFmtId="186" fontId="10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186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6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7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4" borderId="0" applyNumberFormat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186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8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186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8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4" borderId="0" applyNumberFormat="0" applyBorder="0" applyAlignment="0" applyProtection="0"/>
    <xf numFmtId="0" fontId="108" fillId="0" borderId="0" applyNumberFormat="0" applyFill="0" applyBorder="0" applyAlignment="0" applyProtection="0"/>
    <xf numFmtId="0" fontId="58" fillId="0" borderId="0"/>
    <xf numFmtId="0" fontId="49" fillId="0" borderId="0"/>
    <xf numFmtId="0" fontId="17" fillId="0" borderId="0"/>
    <xf numFmtId="0" fontId="17" fillId="0" borderId="0"/>
    <xf numFmtId="0" fontId="58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8" fillId="0" borderId="0"/>
    <xf numFmtId="0" fontId="109" fillId="0" borderId="0"/>
    <xf numFmtId="0" fontId="110" fillId="0" borderId="0" applyNumberFormat="0" applyFont="0" applyFill="0" applyBorder="0" applyAlignment="0" applyProtection="0">
      <protection locked="0"/>
    </xf>
    <xf numFmtId="186" fontId="70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186" fontId="70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70" fillId="0" borderId="0"/>
    <xf numFmtId="186" fontId="70" fillId="0" borderId="0"/>
    <xf numFmtId="0" fontId="17" fillId="0" borderId="0"/>
    <xf numFmtId="0" fontId="49" fillId="0" borderId="0"/>
    <xf numFmtId="0" fontId="49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7" fillId="0" borderId="0"/>
    <xf numFmtId="0" fontId="71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186" fontId="70" fillId="0" borderId="0"/>
    <xf numFmtId="186" fontId="70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186" fontId="70" fillId="0" borderId="0"/>
    <xf numFmtId="186" fontId="70" fillId="0" borderId="0"/>
    <xf numFmtId="0" fontId="17" fillId="0" borderId="0"/>
    <xf numFmtId="0" fontId="17" fillId="0" borderId="0"/>
    <xf numFmtId="0" fontId="58" fillId="0" borderId="0"/>
    <xf numFmtId="0" fontId="17" fillId="0" borderId="0" applyNumberFormat="0" applyFill="0" applyBorder="0" applyAlignment="0" applyProtection="0"/>
    <xf numFmtId="186" fontId="49" fillId="0" borderId="0"/>
    <xf numFmtId="0" fontId="17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58" fillId="0" borderId="0"/>
    <xf numFmtId="0" fontId="49" fillId="0" borderId="0"/>
    <xf numFmtId="186" fontId="70" fillId="0" borderId="0"/>
    <xf numFmtId="186" fontId="70" fillId="0" borderId="0"/>
    <xf numFmtId="0" fontId="17" fillId="0" borderId="0"/>
    <xf numFmtId="0" fontId="17" fillId="0" borderId="0"/>
    <xf numFmtId="0" fontId="58" fillId="0" borderId="0"/>
    <xf numFmtId="0" fontId="17" fillId="0" borderId="0" applyNumberFormat="0" applyFill="0" applyBorder="0" applyAlignment="0" applyProtection="0"/>
    <xf numFmtId="186" fontId="17" fillId="0" borderId="0"/>
    <xf numFmtId="0" fontId="17" fillId="0" borderId="0"/>
    <xf numFmtId="0" fontId="17" fillId="0" borderId="0"/>
    <xf numFmtId="0" fontId="58" fillId="0" borderId="0"/>
    <xf numFmtId="0" fontId="17" fillId="0" borderId="0" applyNumberFormat="0" applyFill="0" applyBorder="0" applyAlignment="0" applyProtection="0"/>
    <xf numFmtId="186" fontId="70" fillId="0" borderId="0"/>
    <xf numFmtId="0" fontId="17" fillId="0" borderId="0"/>
    <xf numFmtId="0" fontId="58" fillId="0" borderId="0"/>
    <xf numFmtId="0" fontId="49" fillId="0" borderId="0"/>
    <xf numFmtId="186" fontId="7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192" fontId="17" fillId="0" borderId="0"/>
    <xf numFmtId="186" fontId="42" fillId="0" borderId="0" applyFill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9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204" fontId="49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186" fontId="1" fillId="0" borderId="0"/>
    <xf numFmtId="0" fontId="49" fillId="0" borderId="0"/>
    <xf numFmtId="0" fontId="1" fillId="0" borderId="0" applyNumberFormat="0" applyFill="0" applyBorder="0" applyAlignment="0" applyProtection="0"/>
    <xf numFmtId="204" fontId="11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/>
    <xf numFmtId="0" fontId="1" fillId="0" borderId="0"/>
    <xf numFmtId="0" fontId="17" fillId="0" borderId="0" applyNumberFormat="0" applyFont="0" applyFill="0" applyBorder="0" applyAlignment="0" applyProtection="0"/>
    <xf numFmtId="186" fontId="1" fillId="0" borderId="0"/>
    <xf numFmtId="186" fontId="17" fillId="0" borderId="0"/>
    <xf numFmtId="186" fontId="17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 applyNumberFormat="0" applyFill="0" applyBorder="0" applyAlignment="0" applyProtection="0"/>
    <xf numFmtId="192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31" fillId="0" borderId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17" fillId="0" borderId="0" applyNumberFormat="0" applyFill="0" applyBorder="0" applyAlignment="0" applyProtection="0"/>
    <xf numFmtId="0" fontId="68" fillId="0" borderId="0"/>
    <xf numFmtId="0" fontId="68" fillId="0" borderId="0"/>
    <xf numFmtId="0" fontId="17" fillId="0" borderId="0" applyNumberFormat="0" applyFill="0" applyBorder="0" applyAlignment="0" applyProtection="0"/>
    <xf numFmtId="0" fontId="68" fillId="0" borderId="0"/>
    <xf numFmtId="0" fontId="68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86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0" borderId="0"/>
    <xf numFmtId="186" fontId="49" fillId="0" borderId="0"/>
    <xf numFmtId="186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8" fillId="0" borderId="0"/>
    <xf numFmtId="0" fontId="17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58" fillId="0" borderId="0"/>
    <xf numFmtId="186" fontId="58" fillId="0" borderId="0"/>
    <xf numFmtId="0" fontId="46" fillId="0" borderId="0"/>
    <xf numFmtId="186" fontId="17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49" fillId="0" borderId="0"/>
    <xf numFmtId="186" fontId="7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70" fillId="0" borderId="0"/>
    <xf numFmtId="0" fontId="1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8" fillId="0" borderId="0"/>
    <xf numFmtId="0" fontId="1" fillId="0" borderId="0"/>
    <xf numFmtId="186" fontId="49" fillId="0" borderId="0"/>
    <xf numFmtId="0" fontId="49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3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6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6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69" fillId="0" borderId="0"/>
    <xf numFmtId="0" fontId="17" fillId="0" borderId="0"/>
    <xf numFmtId="186" fontId="31" fillId="0" borderId="0"/>
    <xf numFmtId="0" fontId="69" fillId="0" borderId="0"/>
    <xf numFmtId="0" fontId="17" fillId="0" borderId="0"/>
    <xf numFmtId="186" fontId="31" fillId="0" borderId="0"/>
    <xf numFmtId="186" fontId="49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186" fontId="17" fillId="0" borderId="0"/>
    <xf numFmtId="0" fontId="1" fillId="0" borderId="0"/>
    <xf numFmtId="0" fontId="17" fillId="0" borderId="0"/>
    <xf numFmtId="0" fontId="1" fillId="0" borderId="0"/>
    <xf numFmtId="0" fontId="86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6" fontId="70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186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1" fillId="0" borderId="0" applyNumberFormat="0" applyFill="0" applyBorder="0" applyAlignment="0" applyProtection="0"/>
    <xf numFmtId="186" fontId="49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70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86" fontId="7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86" fontId="49" fillId="0" borderId="0"/>
    <xf numFmtId="0" fontId="49" fillId="0" borderId="0"/>
    <xf numFmtId="0" fontId="1" fillId="0" borderId="0"/>
    <xf numFmtId="0" fontId="17" fillId="0" borderId="0"/>
    <xf numFmtId="0" fontId="1" fillId="0" borderId="0"/>
    <xf numFmtId="186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04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204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6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6" fontId="115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70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9" fillId="0" borderId="0"/>
    <xf numFmtId="0" fontId="1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58" fillId="0" borderId="0"/>
    <xf numFmtId="0" fontId="115" fillId="0" borderId="0"/>
    <xf numFmtId="186" fontId="31" fillId="0" borderId="0"/>
    <xf numFmtId="0" fontId="17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15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4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86" fontId="70" fillId="0" borderId="0"/>
    <xf numFmtId="186" fontId="70" fillId="0" borderId="0"/>
    <xf numFmtId="0" fontId="49" fillId="0" borderId="0"/>
    <xf numFmtId="0" fontId="17" fillId="0" borderId="0" applyNumberFormat="0" applyFill="0" applyBorder="0" applyAlignment="0" applyProtection="0"/>
    <xf numFmtId="186" fontId="70" fillId="0" borderId="0"/>
    <xf numFmtId="0" fontId="17" fillId="0" borderId="0" applyNumberFormat="0" applyFill="0" applyBorder="0" applyAlignment="0" applyProtection="0"/>
    <xf numFmtId="0" fontId="49" fillId="0" borderId="0"/>
    <xf numFmtId="0" fontId="17" fillId="0" borderId="0"/>
    <xf numFmtId="0" fontId="17" fillId="0" borderId="0" applyNumberFormat="0" applyFill="0" applyBorder="0" applyAlignment="0" applyProtection="0"/>
    <xf numFmtId="204" fontId="7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70" fillId="0" borderId="0"/>
    <xf numFmtId="186" fontId="7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31" fillId="0" borderId="0"/>
    <xf numFmtId="186" fontId="31" fillId="0" borderId="0"/>
    <xf numFmtId="0" fontId="49" fillId="0" borderId="0"/>
    <xf numFmtId="186" fontId="70" fillId="0" borderId="0"/>
    <xf numFmtId="186" fontId="70" fillId="0" borderId="0"/>
    <xf numFmtId="0" fontId="17" fillId="0" borderId="0" applyNumberFormat="0" applyFill="0" applyBorder="0" applyAlignment="0" applyProtection="0"/>
    <xf numFmtId="186" fontId="31" fillId="0" borderId="0"/>
    <xf numFmtId="186" fontId="31" fillId="0" borderId="0"/>
    <xf numFmtId="0" fontId="49" fillId="0" borderId="0"/>
    <xf numFmtId="186" fontId="70" fillId="0" borderId="0"/>
    <xf numFmtId="186" fontId="70" fillId="0" borderId="0"/>
    <xf numFmtId="0" fontId="17" fillId="0" borderId="0" applyNumberFormat="0" applyFill="0" applyBorder="0" applyAlignment="0" applyProtection="0"/>
    <xf numFmtId="186" fontId="31" fillId="0" borderId="0"/>
    <xf numFmtId="186" fontId="31" fillId="0" borderId="0"/>
    <xf numFmtId="0" fontId="49" fillId="0" borderId="0"/>
    <xf numFmtId="186" fontId="70" fillId="0" borderId="0"/>
    <xf numFmtId="186" fontId="70" fillId="0" borderId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186" fontId="4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192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1" fillId="0" borderId="0"/>
    <xf numFmtId="186" fontId="31" fillId="0" borderId="0"/>
    <xf numFmtId="186" fontId="70" fillId="0" borderId="0"/>
    <xf numFmtId="186" fontId="70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86" fontId="1" fillId="0" borderId="0"/>
    <xf numFmtId="186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1" fillId="0" borderId="0"/>
    <xf numFmtId="186" fontId="31" fillId="0" borderId="0"/>
    <xf numFmtId="0" fontId="17" fillId="0" borderId="0"/>
    <xf numFmtId="186" fontId="31" fillId="0" borderId="0"/>
    <xf numFmtId="0" fontId="17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1" fillId="0" borderId="0"/>
    <xf numFmtId="186" fontId="31" fillId="0" borderId="0"/>
    <xf numFmtId="186" fontId="70" fillId="0" borderId="0"/>
    <xf numFmtId="186" fontId="70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1" fillId="0" borderId="0"/>
    <xf numFmtId="186" fontId="31" fillId="0" borderId="0"/>
    <xf numFmtId="0" fontId="58" fillId="0" borderId="0"/>
    <xf numFmtId="186" fontId="31" fillId="0" borderId="0"/>
    <xf numFmtId="0" fontId="58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7" fillId="0" borderId="0"/>
    <xf numFmtId="186" fontId="17" fillId="0" borderId="0"/>
    <xf numFmtId="0" fontId="58" fillId="0" borderId="0"/>
    <xf numFmtId="186" fontId="70" fillId="0" borderId="0"/>
    <xf numFmtId="0" fontId="58" fillId="0" borderId="0"/>
    <xf numFmtId="186" fontId="70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 applyNumberFormat="0" applyFill="0" applyBorder="0" applyProtection="0">
      <alignment vertical="top" wrapText="1"/>
    </xf>
    <xf numFmtId="0" fontId="116" fillId="0" borderId="0" applyNumberFormat="0" applyFill="0" applyBorder="0" applyProtection="0">
      <alignment vertical="top" wrapText="1"/>
    </xf>
    <xf numFmtId="205" fontId="117" fillId="0" borderId="0" applyFill="0" applyBorder="0" applyProtection="0">
      <alignment horizontal="right" vertical="top"/>
    </xf>
    <xf numFmtId="186" fontId="118" fillId="45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45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45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9" fillId="6" borderId="4" applyNumberFormat="0" applyAlignment="0" applyProtection="0"/>
    <xf numFmtId="0" fontId="90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0" fontId="118" fillId="63" borderId="19" applyNumberFormat="0" applyAlignment="0" applyProtection="0"/>
    <xf numFmtId="186" fontId="118" fillId="45" borderId="19" applyNumberFormat="0" applyAlignment="0" applyProtection="0"/>
    <xf numFmtId="0" fontId="118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45" borderId="19" applyNumberFormat="0" applyAlignment="0" applyProtection="0"/>
    <xf numFmtId="0" fontId="118" fillId="45" borderId="19" applyNumberFormat="0" applyAlignment="0" applyProtection="0"/>
    <xf numFmtId="0" fontId="119" fillId="6" borderId="4" applyNumberFormat="0" applyAlignment="0" applyProtection="0"/>
    <xf numFmtId="0" fontId="17" fillId="0" borderId="0" applyNumberFormat="0" applyFont="0" applyFill="0" applyBorder="0" applyAlignment="0" applyProtection="0"/>
    <xf numFmtId="186" fontId="118" fillId="45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45" borderId="19" applyNumberFormat="0" applyAlignment="0" applyProtection="0"/>
    <xf numFmtId="0" fontId="118" fillId="45" borderId="19" applyNumberFormat="0" applyAlignment="0" applyProtection="0"/>
    <xf numFmtId="0" fontId="119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9" fillId="6" borderId="4" applyNumberFormat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119" fillId="6" borderId="4" applyNumberFormat="0" applyAlignment="0" applyProtection="0"/>
    <xf numFmtId="0" fontId="90" fillId="0" borderId="4" applyNumberFormat="0" applyFill="0" applyAlignment="0" applyProtection="0"/>
    <xf numFmtId="206" fontId="120" fillId="0" borderId="0">
      <alignment horizontal="left"/>
    </xf>
    <xf numFmtId="40" fontId="121" fillId="58" borderId="0">
      <alignment horizontal="right"/>
    </xf>
    <xf numFmtId="0" fontId="122" fillId="58" borderId="0">
      <alignment horizontal="right"/>
    </xf>
    <xf numFmtId="0" fontId="123" fillId="58" borderId="32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9" fillId="0" borderId="0" applyFont="0" applyFill="0" applyBorder="0" applyAlignment="0" applyProtection="0"/>
    <xf numFmtId="9" fontId="58" fillId="0" borderId="0" applyFont="0" applyFill="0" applyBorder="0" applyAlignment="0" applyProtection="0"/>
    <xf numFmtId="186" fontId="125" fillId="0" borderId="0" applyNumberFormat="0" applyFill="0" applyBorder="0" applyProtection="0">
      <alignment horizontal="left"/>
    </xf>
    <xf numFmtId="186" fontId="125" fillId="0" borderId="0" applyNumberFormat="0" applyFill="0" applyBorder="0" applyAlignment="0" applyProtection="0"/>
    <xf numFmtId="186" fontId="125" fillId="0" borderId="0" applyNumberFormat="0" applyFill="0" applyBorder="0" applyAlignment="0" applyProtection="0"/>
    <xf numFmtId="186" fontId="125" fillId="0" borderId="0" applyNumberFormat="0" applyFill="0" applyBorder="0" applyAlignment="0" applyProtection="0"/>
    <xf numFmtId="186" fontId="125" fillId="0" borderId="0" applyNumberFormat="0" applyFill="0" applyBorder="0" applyProtection="0">
      <alignment horizontal="left"/>
    </xf>
    <xf numFmtId="186" fontId="125" fillId="0" borderId="0" applyNumberFormat="0" applyFill="0" applyBorder="0" applyAlignment="0" applyProtection="0"/>
    <xf numFmtId="2" fontId="126" fillId="58" borderId="0">
      <protection locked="0"/>
    </xf>
    <xf numFmtId="207" fontId="116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27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8" fillId="51" borderId="33" applyNumberFormat="0" applyProtection="0">
      <alignment vertical="center"/>
    </xf>
    <xf numFmtId="4" fontId="129" fillId="69" borderId="33" applyNumberFormat="0" applyProtection="0">
      <alignment vertical="center"/>
    </xf>
    <xf numFmtId="4" fontId="128" fillId="69" borderId="33" applyNumberFormat="0" applyProtection="0">
      <alignment horizontal="left" vertical="center" indent="1"/>
    </xf>
    <xf numFmtId="0" fontId="128" fillId="69" borderId="33" applyNumberFormat="0" applyProtection="0">
      <alignment horizontal="left" vertical="top" indent="1"/>
    </xf>
    <xf numFmtId="4" fontId="128" fillId="70" borderId="0" applyNumberFormat="0" applyProtection="0">
      <alignment horizontal="left" vertical="center" indent="1"/>
    </xf>
    <xf numFmtId="4" fontId="130" fillId="41" borderId="33" applyNumberFormat="0" applyProtection="0">
      <alignment horizontal="right" vertical="center"/>
    </xf>
    <xf numFmtId="4" fontId="130" fillId="50" borderId="33" applyNumberFormat="0" applyProtection="0">
      <alignment horizontal="right" vertical="center"/>
    </xf>
    <xf numFmtId="4" fontId="130" fillId="48" borderId="33" applyNumberFormat="0" applyProtection="0">
      <alignment horizontal="right" vertical="center"/>
    </xf>
    <xf numFmtId="4" fontId="130" fillId="53" borderId="33" applyNumberFormat="0" applyProtection="0">
      <alignment horizontal="right" vertical="center"/>
    </xf>
    <xf numFmtId="4" fontId="130" fillId="57" borderId="33" applyNumberFormat="0" applyProtection="0">
      <alignment horizontal="right" vertical="center"/>
    </xf>
    <xf numFmtId="4" fontId="130" fillId="62" borderId="33" applyNumberFormat="0" applyProtection="0">
      <alignment horizontal="right" vertical="center"/>
    </xf>
    <xf numFmtId="4" fontId="130" fillId="60" borderId="33" applyNumberFormat="0" applyProtection="0">
      <alignment horizontal="right" vertical="center"/>
    </xf>
    <xf numFmtId="4" fontId="130" fillId="71" borderId="33" applyNumberFormat="0" applyProtection="0">
      <alignment horizontal="right" vertical="center"/>
    </xf>
    <xf numFmtId="4" fontId="130" fillId="52" borderId="33" applyNumberFormat="0" applyProtection="0">
      <alignment horizontal="right" vertical="center"/>
    </xf>
    <xf numFmtId="4" fontId="128" fillId="72" borderId="34" applyNumberFormat="0" applyProtection="0">
      <alignment horizontal="left" vertical="center" indent="1"/>
    </xf>
    <xf numFmtId="4" fontId="130" fillId="73" borderId="0" applyNumberFormat="0" applyProtection="0">
      <alignment horizontal="left" vertical="center" indent="1"/>
    </xf>
    <xf numFmtId="4" fontId="131" fillId="74" borderId="0" applyNumberFormat="0" applyProtection="0">
      <alignment horizontal="left" vertical="center" indent="1"/>
    </xf>
    <xf numFmtId="4" fontId="130" fillId="75" borderId="33" applyNumberFormat="0" applyProtection="0">
      <alignment horizontal="right" vertical="center"/>
    </xf>
    <xf numFmtId="4" fontId="132" fillId="73" borderId="0" applyNumberFormat="0" applyProtection="0">
      <alignment horizontal="left" vertical="center" indent="1"/>
    </xf>
    <xf numFmtId="4" fontId="132" fillId="70" borderId="0" applyNumberFormat="0" applyProtection="0">
      <alignment horizontal="left" vertical="center" indent="1"/>
    </xf>
    <xf numFmtId="0" fontId="49" fillId="74" borderId="33" applyNumberFormat="0" applyProtection="0">
      <alignment horizontal="left" vertical="center" indent="1"/>
    </xf>
    <xf numFmtId="0" fontId="49" fillId="74" borderId="33" applyNumberFormat="0" applyProtection="0">
      <alignment horizontal="left" vertical="center" indent="1"/>
    </xf>
    <xf numFmtId="0" fontId="49" fillId="74" borderId="33" applyNumberFormat="0" applyProtection="0">
      <alignment horizontal="left" vertical="center" indent="1"/>
    </xf>
    <xf numFmtId="0" fontId="49" fillId="74" borderId="33" applyNumberFormat="0" applyProtection="0">
      <alignment horizontal="left" vertical="top" indent="1"/>
    </xf>
    <xf numFmtId="0" fontId="49" fillId="74" borderId="33" applyNumberFormat="0" applyProtection="0">
      <alignment horizontal="left" vertical="top" indent="1"/>
    </xf>
    <xf numFmtId="0" fontId="49" fillId="74" borderId="33" applyNumberFormat="0" applyProtection="0">
      <alignment horizontal="left" vertical="top" indent="1"/>
    </xf>
    <xf numFmtId="0" fontId="49" fillId="70" borderId="33" applyNumberFormat="0" applyProtection="0">
      <alignment horizontal="left" vertical="center" indent="1"/>
    </xf>
    <xf numFmtId="0" fontId="49" fillId="70" borderId="33" applyNumberFormat="0" applyProtection="0">
      <alignment horizontal="left" vertical="center" indent="1"/>
    </xf>
    <xf numFmtId="0" fontId="49" fillId="70" borderId="33" applyNumberFormat="0" applyProtection="0">
      <alignment horizontal="left" vertical="center" indent="1"/>
    </xf>
    <xf numFmtId="0" fontId="49" fillId="70" borderId="33" applyNumberFormat="0" applyProtection="0">
      <alignment horizontal="left" vertical="top" indent="1"/>
    </xf>
    <xf numFmtId="0" fontId="49" fillId="70" borderId="33" applyNumberFormat="0" applyProtection="0">
      <alignment horizontal="left" vertical="top" indent="1"/>
    </xf>
    <xf numFmtId="0" fontId="49" fillId="70" borderId="33" applyNumberFormat="0" applyProtection="0">
      <alignment horizontal="left" vertical="top" indent="1"/>
    </xf>
    <xf numFmtId="0" fontId="49" fillId="76" borderId="33" applyNumberFormat="0" applyProtection="0">
      <alignment horizontal="left" vertical="center" indent="1"/>
    </xf>
    <xf numFmtId="0" fontId="49" fillId="76" borderId="33" applyNumberFormat="0" applyProtection="0">
      <alignment horizontal="left" vertical="center" indent="1"/>
    </xf>
    <xf numFmtId="0" fontId="49" fillId="76" borderId="33" applyNumberFormat="0" applyProtection="0">
      <alignment horizontal="left" vertical="center" indent="1"/>
    </xf>
    <xf numFmtId="0" fontId="49" fillId="76" borderId="33" applyNumberFormat="0" applyProtection="0">
      <alignment horizontal="left" vertical="top" indent="1"/>
    </xf>
    <xf numFmtId="0" fontId="49" fillId="76" borderId="33" applyNumberFormat="0" applyProtection="0">
      <alignment horizontal="left" vertical="top" indent="1"/>
    </xf>
    <xf numFmtId="0" fontId="49" fillId="76" borderId="33" applyNumberFormat="0" applyProtection="0">
      <alignment horizontal="left" vertical="top" indent="1"/>
    </xf>
    <xf numFmtId="0" fontId="49" fillId="77" borderId="33" applyNumberFormat="0" applyProtection="0">
      <alignment horizontal="left" vertical="center" indent="1"/>
    </xf>
    <xf numFmtId="0" fontId="49" fillId="77" borderId="33" applyNumberFormat="0" applyProtection="0">
      <alignment horizontal="left" vertical="center" indent="1"/>
    </xf>
    <xf numFmtId="0" fontId="49" fillId="77" borderId="33" applyNumberFormat="0" applyProtection="0">
      <alignment horizontal="left" vertical="center" indent="1"/>
    </xf>
    <xf numFmtId="0" fontId="49" fillId="77" borderId="33" applyNumberFormat="0" applyProtection="0">
      <alignment horizontal="left" vertical="top" indent="1"/>
    </xf>
    <xf numFmtId="0" fontId="49" fillId="77" borderId="33" applyNumberFormat="0" applyProtection="0">
      <alignment horizontal="left" vertical="top" indent="1"/>
    </xf>
    <xf numFmtId="0" fontId="49" fillId="77" borderId="33" applyNumberFormat="0" applyProtection="0">
      <alignment horizontal="left" vertical="top" indent="1"/>
    </xf>
    <xf numFmtId="4" fontId="130" fillId="66" borderId="33" applyNumberFormat="0" applyProtection="0">
      <alignment vertical="center"/>
    </xf>
    <xf numFmtId="4" fontId="133" fillId="66" borderId="33" applyNumberFormat="0" applyProtection="0">
      <alignment vertical="center"/>
    </xf>
    <xf numFmtId="4" fontId="130" fillId="66" borderId="33" applyNumberFormat="0" applyProtection="0">
      <alignment horizontal="left" vertical="center" indent="1"/>
    </xf>
    <xf numFmtId="0" fontId="130" fillId="66" borderId="33" applyNumberFormat="0" applyProtection="0">
      <alignment horizontal="left" vertical="top" indent="1"/>
    </xf>
    <xf numFmtId="4" fontId="130" fillId="73" borderId="33" applyNumberFormat="0" applyProtection="0">
      <alignment horizontal="right" vertical="center"/>
    </xf>
    <xf numFmtId="4" fontId="130" fillId="78" borderId="20" applyNumberFormat="0" applyProtection="0">
      <alignment horizontal="right" vertical="center"/>
    </xf>
    <xf numFmtId="4" fontId="133" fillId="73" borderId="33" applyNumberFormat="0" applyProtection="0">
      <alignment horizontal="right" vertical="center"/>
    </xf>
    <xf numFmtId="4" fontId="130" fillId="75" borderId="33" applyNumberFormat="0" applyProtection="0">
      <alignment horizontal="left" vertical="center" indent="1"/>
    </xf>
    <xf numFmtId="0" fontId="130" fillId="70" borderId="33" applyNumberFormat="0" applyProtection="0">
      <alignment horizontal="left" vertical="top" indent="1"/>
    </xf>
    <xf numFmtId="4" fontId="134" fillId="79" borderId="0" applyNumberFormat="0" applyProtection="0">
      <alignment horizontal="left" vertical="center" indent="1"/>
    </xf>
    <xf numFmtId="4" fontId="135" fillId="73" borderId="33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36" fillId="0" borderId="0"/>
    <xf numFmtId="0" fontId="132" fillId="0" borderId="0">
      <alignment vertical="top"/>
    </xf>
    <xf numFmtId="0" fontId="137" fillId="0" borderId="35"/>
    <xf numFmtId="186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2" fillId="0" borderId="36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2" fillId="0" borderId="36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38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186" fontId="92" fillId="0" borderId="36" applyNumberFormat="0" applyFill="0" applyAlignment="0" applyProtection="0"/>
    <xf numFmtId="0" fontId="91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38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86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38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8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8" fillId="0" borderId="9" applyNumberFormat="0" applyFill="0" applyAlignment="0" applyProtection="0"/>
    <xf numFmtId="0" fontId="17" fillId="0" borderId="9" applyNumberFormat="0" applyFill="0" applyAlignment="0" applyProtection="0"/>
    <xf numFmtId="186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6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86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3" fontId="149" fillId="0" borderId="0"/>
    <xf numFmtId="206" fontId="120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6" fontId="49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49" fillId="47" borderId="38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49" fillId="47" borderId="38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31" fillId="47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6" fontId="49" fillId="47" borderId="3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49" fillId="47" borderId="38" applyNumberFormat="0" applyFont="0" applyAlignment="0" applyProtection="0"/>
    <xf numFmtId="0" fontId="31" fillId="8" borderId="8" applyNumberFormat="0" applyFont="0" applyAlignment="0" applyProtection="0"/>
    <xf numFmtId="0" fontId="49" fillId="47" borderId="3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6" fontId="49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9" fillId="47" borderId="38" applyNumberFormat="0" applyFont="0" applyAlignment="0" applyProtection="0"/>
    <xf numFmtId="0" fontId="49" fillId="47" borderId="3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9" fontId="95" fillId="0" borderId="0"/>
    <xf numFmtId="208" fontId="54" fillId="0" borderId="0" applyFont="0" applyFill="0" applyBorder="0" applyAlignment="0" applyProtection="0"/>
    <xf numFmtId="184" fontId="53" fillId="0" borderId="0" applyFont="0" applyFill="0" applyBorder="0" applyAlignment="0" applyProtection="0"/>
    <xf numFmtId="209" fontId="49" fillId="0" borderId="0" applyFont="0" applyFill="0" applyBorder="0" applyAlignment="0" applyProtection="0"/>
    <xf numFmtId="210" fontId="4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51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</cellStyleXfs>
  <cellXfs count="211">
    <xf numFmtId="0" fontId="0" fillId="0" borderId="0" xfId="0"/>
    <xf numFmtId="0" fontId="18" fillId="33" borderId="10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Fill="1"/>
    <xf numFmtId="0" fontId="19" fillId="0" borderId="0" xfId="0" applyFont="1" applyBorder="1"/>
    <xf numFmtId="0" fontId="20" fillId="33" borderId="0" xfId="0" applyFont="1" applyFill="1"/>
    <xf numFmtId="0" fontId="21" fillId="0" borderId="12" xfId="0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5" borderId="11" xfId="0" applyFont="1" applyFill="1" applyBorder="1" applyAlignment="1">
      <alignment horizontal="right" vertical="center"/>
    </xf>
    <xf numFmtId="0" fontId="22" fillId="34" borderId="11" xfId="0" applyFont="1" applyFill="1" applyBorder="1" applyAlignment="1">
      <alignment horizontal="right" vertical="center"/>
    </xf>
    <xf numFmtId="0" fontId="22" fillId="35" borderId="11" xfId="0" applyFont="1" applyFill="1" applyBorder="1" applyAlignment="1">
      <alignment horizontal="right" vertical="center" wrapText="1"/>
    </xf>
    <xf numFmtId="0" fontId="22" fillId="35" borderId="13" xfId="0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6" fillId="0" borderId="0" xfId="0" applyFont="1"/>
    <xf numFmtId="0" fontId="27" fillId="0" borderId="14" xfId="0" applyFont="1" applyFill="1" applyBorder="1" applyAlignment="1">
      <alignment horizontal="left" vertical="center"/>
    </xf>
    <xf numFmtId="0" fontId="28" fillId="36" borderId="0" xfId="0" applyFont="1" applyFill="1" applyAlignment="1">
      <alignment horizontal="right" vertical="center"/>
    </xf>
    <xf numFmtId="0" fontId="19" fillId="36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64" fontId="29" fillId="36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36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6" fillId="0" borderId="15" xfId="0" applyFont="1" applyFill="1" applyBorder="1"/>
    <xf numFmtId="0" fontId="26" fillId="0" borderId="16" xfId="0" applyFont="1" applyFill="1" applyBorder="1"/>
    <xf numFmtId="0" fontId="26" fillId="0" borderId="10" xfId="0" applyFont="1" applyFill="1" applyBorder="1" applyAlignment="1">
      <alignment horizontal="left" vertical="center"/>
    </xf>
    <xf numFmtId="164" fontId="30" fillId="36" borderId="0" xfId="0" applyNumberFormat="1" applyFont="1" applyFill="1" applyBorder="1" applyAlignment="1">
      <alignment horizontal="right" vertical="center"/>
    </xf>
    <xf numFmtId="164" fontId="26" fillId="36" borderId="0" xfId="0" applyNumberFormat="1" applyFont="1" applyFill="1" applyAlignment="1">
      <alignment horizontal="right" vertical="center"/>
    </xf>
    <xf numFmtId="164" fontId="26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Alignment="1">
      <alignment vertical="center"/>
    </xf>
    <xf numFmtId="165" fontId="26" fillId="36" borderId="0" xfId="0" applyNumberFormat="1" applyFont="1" applyFill="1" applyAlignment="1">
      <alignment vertical="center"/>
    </xf>
    <xf numFmtId="166" fontId="26" fillId="0" borderId="0" xfId="0" applyNumberFormat="1" applyFont="1" applyFill="1" applyBorder="1" applyAlignment="1">
      <alignment vertical="center"/>
    </xf>
    <xf numFmtId="166" fontId="26" fillId="36" borderId="0" xfId="0" applyNumberFormat="1" applyFont="1" applyFill="1" applyAlignment="1">
      <alignment vertical="center"/>
    </xf>
    <xf numFmtId="166" fontId="26" fillId="0" borderId="0" xfId="0" applyNumberFormat="1" applyFont="1" applyFill="1" applyAlignment="1">
      <alignment vertical="center"/>
    </xf>
    <xf numFmtId="167" fontId="26" fillId="36" borderId="0" xfId="0" applyNumberFormat="1" applyFont="1" applyFill="1" applyAlignment="1">
      <alignment vertical="center"/>
    </xf>
    <xf numFmtId="167" fontId="26" fillId="0" borderId="0" xfId="0" applyNumberFormat="1" applyFont="1" applyFill="1" applyAlignment="1">
      <alignment vertical="center"/>
    </xf>
    <xf numFmtId="168" fontId="26" fillId="33" borderId="0" xfId="0" applyNumberFormat="1" applyFont="1" applyFill="1" applyBorder="1" applyAlignment="1">
      <alignment vertical="center"/>
    </xf>
    <xf numFmtId="168" fontId="26" fillId="33" borderId="17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168" fontId="26" fillId="0" borderId="0" xfId="0" applyNumberFormat="1" applyFont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170" fontId="30" fillId="36" borderId="0" xfId="0" applyNumberFormat="1" applyFont="1" applyFill="1" applyBorder="1" applyAlignment="1">
      <alignment horizontal="right" vertical="center"/>
    </xf>
    <xf numFmtId="172" fontId="30" fillId="36" borderId="0" xfId="1" applyNumberFormat="1" applyFont="1" applyFill="1" applyBorder="1" applyAlignment="1">
      <alignment horizontal="right" vertical="center"/>
    </xf>
    <xf numFmtId="170" fontId="30" fillId="0" borderId="0" xfId="0" applyNumberFormat="1" applyFont="1" applyFill="1" applyBorder="1" applyAlignment="1">
      <alignment horizontal="right" vertical="center"/>
    </xf>
    <xf numFmtId="165" fontId="30" fillId="0" borderId="0" xfId="1" applyNumberFormat="1" applyFont="1" applyFill="1" applyBorder="1" applyAlignment="1">
      <alignment horizontal="right" vertical="center"/>
    </xf>
    <xf numFmtId="173" fontId="30" fillId="0" borderId="0" xfId="1" applyNumberFormat="1" applyFont="1" applyFill="1" applyBorder="1" applyAlignment="1">
      <alignment horizontal="right" vertical="center"/>
    </xf>
    <xf numFmtId="173" fontId="26" fillId="36" borderId="0" xfId="0" applyNumberFormat="1" applyFont="1" applyFill="1" applyAlignment="1">
      <alignment vertical="center"/>
    </xf>
    <xf numFmtId="166" fontId="30" fillId="0" borderId="0" xfId="1" applyNumberFormat="1" applyFont="1" applyFill="1" applyBorder="1" applyAlignment="1">
      <alignment horizontal="right" vertical="center"/>
    </xf>
    <xf numFmtId="167" fontId="30" fillId="0" borderId="0" xfId="1" applyNumberFormat="1" applyFont="1" applyFill="1" applyBorder="1" applyAlignment="1">
      <alignment horizontal="right" vertical="center"/>
    </xf>
    <xf numFmtId="168" fontId="30" fillId="33" borderId="0" xfId="1" applyNumberFormat="1" applyFont="1" applyFill="1" applyBorder="1" applyAlignment="1">
      <alignment horizontal="right" vertical="center"/>
    </xf>
    <xf numFmtId="165" fontId="30" fillId="36" borderId="0" xfId="0" applyNumberFormat="1" applyFont="1" applyFill="1" applyBorder="1" applyAlignment="1">
      <alignment horizontal="right" vertical="center"/>
    </xf>
    <xf numFmtId="174" fontId="26" fillId="0" borderId="0" xfId="0" applyNumberFormat="1" applyFont="1" applyFill="1" applyBorder="1" applyAlignment="1">
      <alignment vertical="center"/>
    </xf>
    <xf numFmtId="175" fontId="33" fillId="36" borderId="0" xfId="0" applyNumberFormat="1" applyFont="1" applyFill="1" applyBorder="1" applyAlignment="1">
      <alignment horizontal="right" vertical="center"/>
    </xf>
    <xf numFmtId="170" fontId="33" fillId="36" borderId="0" xfId="0" applyNumberFormat="1" applyFont="1" applyFill="1" applyBorder="1" applyAlignment="1">
      <alignment horizontal="right" vertical="center"/>
    </xf>
    <xf numFmtId="164" fontId="32" fillId="0" borderId="0" xfId="0" applyNumberFormat="1" applyFont="1" applyFill="1" applyAlignment="1">
      <alignment horizontal="right" vertical="center"/>
    </xf>
    <xf numFmtId="164" fontId="33" fillId="36" borderId="0" xfId="0" applyNumberFormat="1" applyFont="1" applyFill="1" applyBorder="1" applyAlignment="1">
      <alignment horizontal="right" vertical="center"/>
    </xf>
    <xf numFmtId="164" fontId="33" fillId="0" borderId="0" xfId="0" applyNumberFormat="1" applyFont="1" applyFill="1" applyBorder="1" applyAlignment="1">
      <alignment horizontal="right" vertical="center"/>
    </xf>
    <xf numFmtId="165" fontId="33" fillId="0" borderId="0" xfId="0" applyNumberFormat="1" applyFont="1" applyFill="1" applyBorder="1" applyAlignment="1">
      <alignment horizontal="right" vertical="center"/>
    </xf>
    <xf numFmtId="165" fontId="33" fillId="36" borderId="0" xfId="0" applyNumberFormat="1" applyFont="1" applyFill="1" applyBorder="1" applyAlignment="1">
      <alignment horizontal="right" vertical="center"/>
    </xf>
    <xf numFmtId="165" fontId="32" fillId="0" borderId="0" xfId="0" applyNumberFormat="1" applyFont="1" applyFill="1" applyAlignment="1">
      <alignment horizontal="right" vertical="center"/>
    </xf>
    <xf numFmtId="167" fontId="30" fillId="36" borderId="0" xfId="0" applyNumberFormat="1" applyFont="1" applyFill="1" applyBorder="1" applyAlignment="1">
      <alignment horizontal="right" vertical="center"/>
    </xf>
    <xf numFmtId="167" fontId="26" fillId="0" borderId="0" xfId="0" applyNumberFormat="1" applyFont="1" applyFill="1" applyAlignment="1">
      <alignment horizontal="right" vertical="center"/>
    </xf>
    <xf numFmtId="167" fontId="30" fillId="0" borderId="0" xfId="0" applyNumberFormat="1" applyFont="1" applyFill="1" applyBorder="1" applyAlignment="1">
      <alignment horizontal="right" vertical="center"/>
    </xf>
    <xf numFmtId="167" fontId="26" fillId="0" borderId="0" xfId="0" applyNumberFormat="1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center" indent="3"/>
    </xf>
    <xf numFmtId="0" fontId="34" fillId="0" borderId="10" xfId="0" applyFont="1" applyFill="1" applyBorder="1" applyAlignment="1">
      <alignment horizontal="left" vertical="center" wrapText="1" indent="3"/>
    </xf>
    <xf numFmtId="167" fontId="24" fillId="36" borderId="0" xfId="0" applyNumberFormat="1" applyFont="1" applyFill="1" applyAlignment="1">
      <alignment vertical="center"/>
    </xf>
    <xf numFmtId="168" fontId="24" fillId="33" borderId="0" xfId="0" applyNumberFormat="1" applyFont="1" applyFill="1" applyBorder="1" applyAlignment="1">
      <alignment vertical="center"/>
    </xf>
    <xf numFmtId="168" fontId="24" fillId="33" borderId="17" xfId="0" applyNumberFormat="1" applyFont="1" applyFill="1" applyBorder="1" applyAlignment="1">
      <alignment vertical="center"/>
    </xf>
    <xf numFmtId="167" fontId="35" fillId="36" borderId="0" xfId="0" applyNumberFormat="1" applyFont="1" applyFill="1" applyBorder="1" applyAlignment="1">
      <alignment horizontal="right" vertical="center"/>
    </xf>
    <xf numFmtId="167" fontId="24" fillId="36" borderId="0" xfId="0" applyNumberFormat="1" applyFont="1" applyFill="1" applyAlignment="1">
      <alignment horizontal="right" vertical="center"/>
    </xf>
    <xf numFmtId="167" fontId="24" fillId="0" borderId="0" xfId="0" applyNumberFormat="1" applyFont="1" applyFill="1" applyAlignment="1">
      <alignment horizontal="right" vertical="center"/>
    </xf>
    <xf numFmtId="167" fontId="35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166" fontId="24" fillId="36" borderId="0" xfId="0" applyNumberFormat="1" applyFont="1" applyFill="1" applyAlignment="1">
      <alignment vertical="center"/>
    </xf>
    <xf numFmtId="173" fontId="24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168" fontId="26" fillId="33" borderId="18" xfId="0" applyNumberFormat="1" applyFont="1" applyFill="1" applyBorder="1" applyAlignment="1">
      <alignment vertical="center"/>
    </xf>
    <xf numFmtId="0" fontId="36" fillId="37" borderId="12" xfId="0" applyFont="1" applyFill="1" applyBorder="1" applyAlignment="1">
      <alignment vertical="center" wrapText="1"/>
    </xf>
    <xf numFmtId="167" fontId="22" fillId="38" borderId="11" xfId="0" applyNumberFormat="1" applyFont="1" applyFill="1" applyBorder="1" applyAlignment="1">
      <alignment vertical="center"/>
    </xf>
    <xf numFmtId="167" fontId="22" fillId="38" borderId="13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8" fontId="26" fillId="33" borderId="15" xfId="0" applyNumberFormat="1" applyFont="1" applyFill="1" applyBorder="1" applyAlignment="1">
      <alignment vertical="center"/>
    </xf>
    <xf numFmtId="168" fontId="26" fillId="33" borderId="16" xfId="0" applyNumberFormat="1" applyFont="1" applyFill="1" applyBorder="1" applyAlignment="1">
      <alignment vertical="center"/>
    </xf>
    <xf numFmtId="0" fontId="26" fillId="33" borderId="10" xfId="0" applyFont="1" applyFill="1" applyBorder="1" applyAlignment="1">
      <alignment horizontal="left" vertical="center"/>
    </xf>
    <xf numFmtId="164" fontId="26" fillId="36" borderId="0" xfId="0" applyNumberFormat="1" applyFont="1" applyFill="1" applyBorder="1" applyAlignment="1">
      <alignment horizontal="right" vertical="center"/>
    </xf>
    <xf numFmtId="168" fontId="30" fillId="33" borderId="17" xfId="1" applyNumberFormat="1" applyFont="1" applyFill="1" applyBorder="1" applyAlignment="1">
      <alignment horizontal="right" vertical="center"/>
    </xf>
    <xf numFmtId="176" fontId="30" fillId="36" borderId="0" xfId="0" applyNumberFormat="1" applyFont="1" applyFill="1" applyBorder="1" applyAlignment="1">
      <alignment horizontal="right" vertical="center"/>
    </xf>
    <xf numFmtId="0" fontId="37" fillId="33" borderId="0" xfId="0" applyFont="1" applyFill="1" applyAlignment="1">
      <alignment horizontal="right" vertical="center"/>
    </xf>
    <xf numFmtId="176" fontId="33" fillId="36" borderId="0" xfId="0" applyNumberFormat="1" applyFont="1" applyFill="1" applyBorder="1" applyAlignment="1">
      <alignment horizontal="right" vertical="center"/>
    </xf>
    <xf numFmtId="164" fontId="35" fillId="36" borderId="0" xfId="0" applyNumberFormat="1" applyFont="1" applyFill="1" applyBorder="1" applyAlignment="1">
      <alignment horizontal="right" vertical="center"/>
    </xf>
    <xf numFmtId="164" fontId="24" fillId="36" borderId="0" xfId="0" applyNumberFormat="1" applyFont="1" applyFill="1" applyBorder="1" applyAlignment="1">
      <alignment horizontal="right" vertical="center"/>
    </xf>
    <xf numFmtId="164" fontId="24" fillId="36" borderId="0" xfId="0" applyNumberFormat="1" applyFont="1" applyFill="1" applyAlignment="1">
      <alignment horizontal="right" vertical="center"/>
    </xf>
    <xf numFmtId="164" fontId="24" fillId="0" borderId="0" xfId="0" applyNumberFormat="1" applyFont="1" applyFill="1" applyAlignment="1">
      <alignment horizontal="right" vertical="center"/>
    </xf>
    <xf numFmtId="164" fontId="35" fillId="0" borderId="0" xfId="0" applyNumberFormat="1" applyFont="1" applyFill="1" applyBorder="1" applyAlignment="1">
      <alignment horizontal="right" vertical="center"/>
    </xf>
    <xf numFmtId="165" fontId="35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Alignment="1">
      <alignment vertical="center"/>
    </xf>
    <xf numFmtId="165" fontId="24" fillId="36" borderId="0" xfId="0" applyNumberFormat="1" applyFont="1" applyFill="1" applyAlignment="1">
      <alignment vertical="center"/>
    </xf>
    <xf numFmtId="169" fontId="24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Alignment="1">
      <alignment vertical="center"/>
    </xf>
    <xf numFmtId="169" fontId="30" fillId="0" borderId="0" xfId="0" applyNumberFormat="1" applyFont="1" applyFill="1" applyBorder="1" applyAlignment="1">
      <alignment horizontal="right" vertical="center"/>
    </xf>
    <xf numFmtId="164" fontId="38" fillId="38" borderId="11" xfId="0" applyNumberFormat="1" applyFont="1" applyFill="1" applyBorder="1" applyAlignment="1">
      <alignment horizontal="right" vertical="center"/>
    </xf>
    <xf numFmtId="164" fontId="38" fillId="37" borderId="11" xfId="0" applyNumberFormat="1" applyFont="1" applyFill="1" applyBorder="1" applyAlignment="1">
      <alignment horizontal="right" vertical="center"/>
    </xf>
    <xf numFmtId="165" fontId="22" fillId="37" borderId="11" xfId="0" applyNumberFormat="1" applyFont="1" applyFill="1" applyBorder="1" applyAlignment="1">
      <alignment vertical="center"/>
    </xf>
    <xf numFmtId="165" fontId="22" fillId="38" borderId="11" xfId="0" applyNumberFormat="1" applyFont="1" applyFill="1" applyBorder="1" applyAlignment="1">
      <alignment vertical="center"/>
    </xf>
    <xf numFmtId="166" fontId="22" fillId="37" borderId="11" xfId="0" applyNumberFormat="1" applyFont="1" applyFill="1" applyBorder="1" applyAlignment="1">
      <alignment vertical="center"/>
    </xf>
    <xf numFmtId="166" fontId="22" fillId="38" borderId="11" xfId="0" applyNumberFormat="1" applyFont="1" applyFill="1" applyBorder="1" applyAlignment="1">
      <alignment vertical="center"/>
    </xf>
    <xf numFmtId="167" fontId="22" fillId="37" borderId="11" xfId="0" applyNumberFormat="1" applyFont="1" applyFill="1" applyBorder="1" applyAlignment="1">
      <alignment vertical="center"/>
    </xf>
    <xf numFmtId="168" fontId="22" fillId="39" borderId="11" xfId="0" applyNumberFormat="1" applyFont="1" applyFill="1" applyBorder="1" applyAlignment="1">
      <alignment vertical="center"/>
    </xf>
    <xf numFmtId="168" fontId="22" fillId="39" borderId="13" xfId="0" applyNumberFormat="1" applyFont="1" applyFill="1" applyBorder="1" applyAlignment="1">
      <alignment vertical="center"/>
    </xf>
    <xf numFmtId="0" fontId="39" fillId="37" borderId="12" xfId="0" applyFont="1" applyFill="1" applyBorder="1" applyAlignment="1">
      <alignment vertical="center" wrapText="1"/>
    </xf>
    <xf numFmtId="164" fontId="40" fillId="38" borderId="11" xfId="0" applyNumberFormat="1" applyFont="1" applyFill="1" applyBorder="1" applyAlignment="1">
      <alignment horizontal="right" vertical="center"/>
    </xf>
    <xf numFmtId="164" fontId="40" fillId="37" borderId="11" xfId="0" applyNumberFormat="1" applyFont="1" applyFill="1" applyBorder="1" applyAlignment="1">
      <alignment horizontal="right" vertical="center"/>
    </xf>
    <xf numFmtId="165" fontId="41" fillId="37" borderId="11" xfId="0" applyNumberFormat="1" applyFont="1" applyFill="1" applyBorder="1" applyAlignment="1">
      <alignment vertical="center"/>
    </xf>
    <xf numFmtId="165" fontId="41" fillId="38" borderId="11" xfId="0" applyNumberFormat="1" applyFont="1" applyFill="1" applyBorder="1" applyAlignment="1">
      <alignment vertical="center"/>
    </xf>
    <xf numFmtId="166" fontId="41" fillId="37" borderId="11" xfId="0" applyNumberFormat="1" applyFont="1" applyFill="1" applyBorder="1" applyAlignment="1">
      <alignment vertical="center"/>
    </xf>
    <xf numFmtId="166" fontId="41" fillId="38" borderId="11" xfId="0" applyNumberFormat="1" applyFont="1" applyFill="1" applyBorder="1" applyAlignment="1">
      <alignment vertical="center"/>
    </xf>
    <xf numFmtId="167" fontId="41" fillId="38" borderId="11" xfId="0" applyNumberFormat="1" applyFont="1" applyFill="1" applyBorder="1" applyAlignment="1">
      <alignment vertical="center"/>
    </xf>
    <xf numFmtId="167" fontId="41" fillId="37" borderId="11" xfId="0" applyNumberFormat="1" applyFont="1" applyFill="1" applyBorder="1" applyAlignment="1">
      <alignment vertical="center"/>
    </xf>
    <xf numFmtId="167" fontId="41" fillId="37" borderId="13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4" fontId="19" fillId="36" borderId="0" xfId="0" applyNumberFormat="1" applyFont="1" applyFill="1" applyBorder="1" applyAlignment="1">
      <alignment horizontal="right" vertical="center"/>
    </xf>
    <xf numFmtId="1" fontId="19" fillId="36" borderId="0" xfId="0" applyNumberFormat="1" applyFont="1" applyFill="1" applyAlignment="1">
      <alignment horizontal="right" vertical="center"/>
    </xf>
    <xf numFmtId="1" fontId="19" fillId="0" borderId="0" xfId="0" applyNumberFormat="1" applyFont="1" applyFill="1" applyAlignment="1">
      <alignment horizontal="right" vertical="center"/>
    </xf>
    <xf numFmtId="164" fontId="19" fillId="36" borderId="0" xfId="0" applyNumberFormat="1" applyFont="1" applyFill="1" applyAlignment="1">
      <alignment horizontal="right" vertical="center"/>
    </xf>
    <xf numFmtId="169" fontId="19" fillId="0" borderId="0" xfId="0" applyNumberFormat="1" applyFont="1" applyFill="1" applyBorder="1" applyAlignment="1">
      <alignment vertical="center"/>
    </xf>
    <xf numFmtId="167" fontId="19" fillId="36" borderId="0" xfId="0" applyNumberFormat="1" applyFont="1" applyFill="1" applyAlignment="1">
      <alignment vertical="center"/>
    </xf>
    <xf numFmtId="167" fontId="19" fillId="0" borderId="0" xfId="0" applyNumberFormat="1" applyFont="1" applyFill="1" applyAlignment="1">
      <alignment vertical="center"/>
    </xf>
    <xf numFmtId="168" fontId="26" fillId="0" borderId="15" xfId="0" applyNumberFormat="1" applyFont="1" applyFill="1" applyBorder="1"/>
    <xf numFmtId="168" fontId="26" fillId="0" borderId="16" xfId="0" applyNumberFormat="1" applyFont="1" applyFill="1" applyBorder="1"/>
    <xf numFmtId="177" fontId="26" fillId="36" borderId="0" xfId="0" applyNumberFormat="1" applyFont="1" applyFill="1" applyAlignment="1">
      <alignment vertical="center"/>
    </xf>
    <xf numFmtId="177" fontId="26" fillId="0" borderId="0" xfId="0" applyNumberFormat="1" applyFont="1" applyFill="1" applyAlignment="1">
      <alignment vertical="center"/>
    </xf>
    <xf numFmtId="178" fontId="26" fillId="36" borderId="0" xfId="0" applyNumberFormat="1" applyFont="1" applyFill="1" applyAlignment="1">
      <alignment vertical="center"/>
    </xf>
    <xf numFmtId="178" fontId="26" fillId="0" borderId="0" xfId="0" applyNumberFormat="1" applyFont="1" applyFill="1" applyAlignment="1">
      <alignment vertical="center"/>
    </xf>
    <xf numFmtId="167" fontId="22" fillId="36" borderId="0" xfId="0" applyNumberFormat="1" applyFont="1" applyFill="1" applyAlignment="1">
      <alignment vertical="center"/>
    </xf>
    <xf numFmtId="179" fontId="32" fillId="36" borderId="0" xfId="0" applyNumberFormat="1" applyFont="1" applyFill="1" applyAlignment="1">
      <alignment horizontal="right" vertical="center"/>
    </xf>
    <xf numFmtId="168" fontId="30" fillId="33" borderId="0" xfId="0" applyNumberFormat="1" applyFont="1" applyFill="1" applyBorder="1" applyAlignment="1">
      <alignment horizontal="right" vertical="center"/>
    </xf>
    <xf numFmtId="168" fontId="30" fillId="33" borderId="17" xfId="0" applyNumberFormat="1" applyFont="1" applyFill="1" applyBorder="1" applyAlignment="1">
      <alignment horizontal="right" vertical="center"/>
    </xf>
    <xf numFmtId="180" fontId="26" fillId="0" borderId="0" xfId="0" applyNumberFormat="1" applyFont="1" applyFill="1" applyAlignment="1">
      <alignment horizontal="right" vertical="center"/>
    </xf>
    <xf numFmtId="181" fontId="32" fillId="36" borderId="0" xfId="0" applyNumberFormat="1" applyFont="1" applyFill="1" applyAlignment="1">
      <alignment horizontal="right" vertical="center"/>
    </xf>
    <xf numFmtId="164" fontId="32" fillId="36" borderId="0" xfId="0" applyNumberFormat="1" applyFont="1" applyFill="1" applyAlignment="1">
      <alignment horizontal="right" vertical="center"/>
    </xf>
    <xf numFmtId="179" fontId="32" fillId="0" borderId="0" xfId="0" applyNumberFormat="1" applyFont="1" applyFill="1" applyAlignment="1">
      <alignment horizontal="right" vertical="center"/>
    </xf>
    <xf numFmtId="181" fontId="32" fillId="0" borderId="0" xfId="0" applyNumberFormat="1" applyFont="1" applyFill="1" applyAlignment="1">
      <alignment horizontal="right" vertical="center"/>
    </xf>
    <xf numFmtId="180" fontId="26" fillId="36" borderId="0" xfId="0" applyNumberFormat="1" applyFont="1" applyFill="1" applyAlignment="1">
      <alignment horizontal="right" vertical="center"/>
    </xf>
    <xf numFmtId="180" fontId="32" fillId="0" borderId="0" xfId="0" applyNumberFormat="1" applyFont="1" applyFill="1" applyAlignment="1">
      <alignment horizontal="right" vertical="center"/>
    </xf>
    <xf numFmtId="180" fontId="26" fillId="36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69" fontId="26" fillId="0" borderId="0" xfId="0" applyNumberFormat="1" applyFont="1" applyFill="1" applyAlignment="1">
      <alignment horizontal="right" vertical="center"/>
    </xf>
    <xf numFmtId="169" fontId="26" fillId="36" borderId="0" xfId="0" applyNumberFormat="1" applyFont="1" applyFill="1" applyAlignment="1">
      <alignment vertical="center"/>
    </xf>
    <xf numFmtId="169" fontId="26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horizontal="right" vertical="center"/>
    </xf>
    <xf numFmtId="182" fontId="26" fillId="36" borderId="0" xfId="0" applyNumberFormat="1" applyFont="1" applyFill="1" applyAlignment="1">
      <alignment vertical="center"/>
    </xf>
    <xf numFmtId="166" fontId="26" fillId="0" borderId="0" xfId="0" applyNumberFormat="1" applyFont="1" applyFill="1" applyAlignment="1">
      <alignment horizontal="right" vertical="center"/>
    </xf>
    <xf numFmtId="183" fontId="26" fillId="36" borderId="0" xfId="0" applyNumberFormat="1" applyFont="1" applyFill="1" applyAlignment="1">
      <alignment vertical="center"/>
    </xf>
    <xf numFmtId="168" fontId="26" fillId="33" borderId="0" xfId="0" applyNumberFormat="1" applyFont="1" applyFill="1" applyBorder="1" applyAlignment="1">
      <alignment horizontal="right" vertical="center"/>
    </xf>
    <xf numFmtId="168" fontId="26" fillId="33" borderId="17" xfId="0" applyNumberFormat="1" applyFont="1" applyFill="1" applyBorder="1" applyAlignment="1">
      <alignment horizontal="right" vertical="center"/>
    </xf>
    <xf numFmtId="0" fontId="22" fillId="37" borderId="12" xfId="0" applyFont="1" applyFill="1" applyBorder="1" applyAlignment="1">
      <alignment horizontal="left" vertical="center"/>
    </xf>
    <xf numFmtId="165" fontId="38" fillId="38" borderId="11" xfId="0" applyNumberFormat="1" applyFont="1" applyFill="1" applyBorder="1" applyAlignment="1">
      <alignment horizontal="right" vertical="center"/>
    </xf>
    <xf numFmtId="180" fontId="38" fillId="37" borderId="11" xfId="0" applyNumberFormat="1" applyFont="1" applyFill="1" applyBorder="1" applyAlignment="1">
      <alignment horizontal="right" vertical="center"/>
    </xf>
    <xf numFmtId="180" fontId="38" fillId="38" borderId="11" xfId="0" applyNumberFormat="1" applyFont="1" applyFill="1" applyBorder="1" applyAlignment="1">
      <alignment horizontal="right" vertical="center"/>
    </xf>
    <xf numFmtId="169" fontId="38" fillId="37" borderId="11" xfId="0" applyNumberFormat="1" applyFont="1" applyFill="1" applyBorder="1" applyAlignment="1">
      <alignment horizontal="right" vertical="center"/>
    </xf>
    <xf numFmtId="169" fontId="38" fillId="38" borderId="11" xfId="0" applyNumberFormat="1" applyFont="1" applyFill="1" applyBorder="1" applyAlignment="1">
      <alignment horizontal="right" vertical="center"/>
    </xf>
    <xf numFmtId="167" fontId="38" fillId="38" borderId="11" xfId="0" applyNumberFormat="1" applyFont="1" applyFill="1" applyBorder="1" applyAlignment="1">
      <alignment horizontal="right" vertical="center"/>
    </xf>
    <xf numFmtId="167" fontId="38" fillId="37" borderId="11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6" fillId="36" borderId="0" xfId="0" applyFont="1" applyFill="1" applyBorder="1" applyAlignment="1">
      <alignment vertical="center"/>
    </xf>
    <xf numFmtId="165" fontId="38" fillId="38" borderId="11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67" fontId="26" fillId="36" borderId="0" xfId="0" applyNumberFormat="1" applyFont="1" applyFill="1" applyBorder="1" applyAlignment="1">
      <alignment horizontal="right" vertical="center"/>
    </xf>
    <xf numFmtId="167" fontId="26" fillId="36" borderId="0" xfId="0" applyNumberFormat="1" applyFont="1" applyFill="1" applyAlignment="1">
      <alignment horizontal="right" vertical="center"/>
    </xf>
    <xf numFmtId="170" fontId="33" fillId="0" borderId="0" xfId="0" applyNumberFormat="1" applyFont="1" applyFill="1" applyBorder="1" applyAlignment="1">
      <alignment horizontal="right" vertical="center"/>
    </xf>
    <xf numFmtId="178" fontId="24" fillId="36" borderId="0" xfId="0" applyNumberFormat="1" applyFont="1" applyFill="1" applyAlignment="1">
      <alignment vertical="center"/>
    </xf>
    <xf numFmtId="178" fontId="24" fillId="0" borderId="0" xfId="0" applyNumberFormat="1" applyFont="1" applyFill="1" applyAlignment="1">
      <alignment vertical="center"/>
    </xf>
    <xf numFmtId="169" fontId="22" fillId="37" borderId="11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167" fontId="32" fillId="36" borderId="0" xfId="0" applyNumberFormat="1" applyFont="1" applyFill="1" applyAlignment="1">
      <alignment horizontal="right" vertical="center"/>
    </xf>
    <xf numFmtId="168" fontId="32" fillId="33" borderId="0" xfId="0" applyNumberFormat="1" applyFont="1" applyFill="1" applyBorder="1" applyAlignment="1">
      <alignment horizontal="right" vertical="center"/>
    </xf>
    <xf numFmtId="168" fontId="32" fillId="33" borderId="17" xfId="0" applyNumberFormat="1" applyFont="1" applyFill="1" applyBorder="1" applyAlignment="1">
      <alignment horizontal="right" vertical="center"/>
    </xf>
    <xf numFmtId="180" fontId="22" fillId="38" borderId="11" xfId="0" applyNumberFormat="1" applyFont="1" applyFill="1" applyBorder="1" applyAlignment="1">
      <alignment vertical="center"/>
    </xf>
    <xf numFmtId="180" fontId="22" fillId="37" borderId="11" xfId="0" applyNumberFormat="1" applyFont="1" applyFill="1" applyBorder="1" applyAlignment="1">
      <alignment vertical="center"/>
    </xf>
    <xf numFmtId="169" fontId="22" fillId="38" borderId="11" xfId="0" applyNumberFormat="1" applyFont="1" applyFill="1" applyBorder="1" applyAlignment="1">
      <alignment vertical="center"/>
    </xf>
    <xf numFmtId="169" fontId="22" fillId="0" borderId="0" xfId="0" applyNumberFormat="1" applyFont="1" applyAlignment="1">
      <alignment vertical="center"/>
    </xf>
    <xf numFmtId="164" fontId="22" fillId="38" borderId="11" xfId="0" applyNumberFormat="1" applyFont="1" applyFill="1" applyBorder="1" applyAlignment="1">
      <alignment horizontal="right" vertical="center"/>
    </xf>
    <xf numFmtId="164" fontId="22" fillId="37" borderId="11" xfId="0" applyNumberFormat="1" applyFont="1" applyFill="1" applyBorder="1" applyAlignment="1">
      <alignment horizontal="right" vertical="center"/>
    </xf>
    <xf numFmtId="180" fontId="22" fillId="37" borderId="11" xfId="0" applyNumberFormat="1" applyFont="1" applyFill="1" applyBorder="1" applyAlignment="1">
      <alignment horizontal="right" vertical="center"/>
    </xf>
    <xf numFmtId="180" fontId="22" fillId="38" borderId="11" xfId="0" applyNumberFormat="1" applyFont="1" applyFill="1" applyBorder="1" applyAlignment="1">
      <alignment horizontal="right" vertical="center"/>
    </xf>
    <xf numFmtId="0" fontId="41" fillId="37" borderId="12" xfId="0" applyFont="1" applyFill="1" applyBorder="1" applyAlignment="1">
      <alignment horizontal="left" vertical="center"/>
    </xf>
    <xf numFmtId="164" fontId="41" fillId="38" borderId="11" xfId="0" applyNumberFormat="1" applyFont="1" applyFill="1" applyBorder="1" applyAlignment="1">
      <alignment horizontal="right" vertical="center"/>
    </xf>
    <xf numFmtId="164" fontId="41" fillId="37" borderId="11" xfId="0" applyNumberFormat="1" applyFont="1" applyFill="1" applyBorder="1" applyAlignment="1">
      <alignment horizontal="right" vertical="center"/>
    </xf>
    <xf numFmtId="180" fontId="41" fillId="37" borderId="11" xfId="0" applyNumberFormat="1" applyFont="1" applyFill="1" applyBorder="1" applyAlignment="1">
      <alignment horizontal="right" vertical="center"/>
    </xf>
    <xf numFmtId="180" fontId="41" fillId="38" borderId="11" xfId="0" applyNumberFormat="1" applyFont="1" applyFill="1" applyBorder="1" applyAlignment="1">
      <alignment horizontal="right" vertical="center"/>
    </xf>
    <xf numFmtId="180" fontId="41" fillId="38" borderId="11" xfId="0" applyNumberFormat="1" applyFont="1" applyFill="1" applyBorder="1" applyAlignment="1">
      <alignment vertical="center"/>
    </xf>
    <xf numFmtId="180" fontId="41" fillId="37" borderId="11" xfId="0" applyNumberFormat="1" applyFont="1" applyFill="1" applyBorder="1" applyAlignment="1">
      <alignment vertical="center"/>
    </xf>
    <xf numFmtId="169" fontId="41" fillId="37" borderId="11" xfId="0" applyNumberFormat="1" applyFont="1" applyFill="1" applyBorder="1" applyAlignment="1">
      <alignment vertical="center"/>
    </xf>
    <xf numFmtId="169" fontId="41" fillId="38" borderId="11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169" fontId="41" fillId="0" borderId="0" xfId="0" applyNumberFormat="1" applyFont="1" applyAlignment="1">
      <alignment vertical="center"/>
    </xf>
    <xf numFmtId="0" fontId="19" fillId="33" borderId="0" xfId="0" applyFont="1" applyFill="1" applyAlignment="1">
      <alignment horizontal="left"/>
    </xf>
    <xf numFmtId="0" fontId="19" fillId="33" borderId="0" xfId="0" applyFont="1" applyFill="1"/>
    <xf numFmtId="164" fontId="28" fillId="33" borderId="0" xfId="0" applyNumberFormat="1" applyFont="1" applyFill="1" applyAlignment="1">
      <alignment horizontal="right"/>
    </xf>
    <xf numFmtId="0" fontId="19" fillId="33" borderId="0" xfId="0" applyFont="1" applyFill="1" applyBorder="1"/>
    <xf numFmtId="0" fontId="26" fillId="33" borderId="0" xfId="0" applyFont="1" applyFill="1"/>
    <xf numFmtId="164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vertical="top" wrapText="1"/>
    </xf>
    <xf numFmtId="0" fontId="19" fillId="33" borderId="0" xfId="0" applyFont="1" applyFill="1" applyAlignment="1">
      <alignment wrapText="1"/>
    </xf>
    <xf numFmtId="1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vertical="top"/>
    </xf>
    <xf numFmtId="0" fontId="44" fillId="33" borderId="0" xfId="0" applyFont="1" applyFill="1" applyAlignment="1">
      <alignment horizontal="right"/>
    </xf>
    <xf numFmtId="0" fontId="45" fillId="0" borderId="0" xfId="0" applyFont="1"/>
  </cellXfs>
  <cellStyles count="42850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" xfId="1" builtinId="3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26631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26659"/>
    <cellStyle name="Procentowy 3 10" xfId="26660"/>
    <cellStyle name="Procentowy 3 10 10" xfId="26661"/>
    <cellStyle name="Procentowy 3 10 10 2" xfId="26662"/>
    <cellStyle name="Procentowy 3 10 11" xfId="26663"/>
    <cellStyle name="Procentowy 3 10 11 2" xfId="26664"/>
    <cellStyle name="Procentowy 3 10 12" xfId="26665"/>
    <cellStyle name="Procentowy 3 10 12 2" xfId="26666"/>
    <cellStyle name="Procentowy 3 10 13" xfId="26667"/>
    <cellStyle name="Procentowy 3 10 13 2" xfId="26668"/>
    <cellStyle name="Procentowy 3 10 14" xfId="26669"/>
    <cellStyle name="Procentowy 3 10 14 2" xfId="26670"/>
    <cellStyle name="Procentowy 3 10 15" xfId="26671"/>
    <cellStyle name="Procentowy 3 10 15 2" xfId="26672"/>
    <cellStyle name="Procentowy 3 10 16" xfId="26673"/>
    <cellStyle name="Procentowy 3 10 16 2" xfId="26674"/>
    <cellStyle name="Procentowy 3 10 17" xfId="26675"/>
    <cellStyle name="Procentowy 3 10 17 2" xfId="26676"/>
    <cellStyle name="Procentowy 3 10 18" xfId="26677"/>
    <cellStyle name="Procentowy 3 10 18 2" xfId="26678"/>
    <cellStyle name="Procentowy 3 10 19" xfId="26679"/>
    <cellStyle name="Procentowy 3 10 19 2" xfId="26680"/>
    <cellStyle name="Procentowy 3 10 2" xfId="26681"/>
    <cellStyle name="Procentowy 3 10 2 2" xfId="26682"/>
    <cellStyle name="Procentowy 3 10 2 3" xfId="26683"/>
    <cellStyle name="Procentowy 3 10 2 4" xfId="26684"/>
    <cellStyle name="Procentowy 3 10 2 5" xfId="26685"/>
    <cellStyle name="Procentowy 3 10 2 6" xfId="26686"/>
    <cellStyle name="Procentowy 3 10 2 7" xfId="26687"/>
    <cellStyle name="Procentowy 3 10 20" xfId="26688"/>
    <cellStyle name="Procentowy 3 10 20 2" xfId="26689"/>
    <cellStyle name="Procentowy 3 10 21" xfId="26690"/>
    <cellStyle name="Procentowy 3 10 21 2" xfId="26691"/>
    <cellStyle name="Procentowy 3 10 22" xfId="26692"/>
    <cellStyle name="Procentowy 3 10 22 2" xfId="26693"/>
    <cellStyle name="Procentowy 3 10 23" xfId="26694"/>
    <cellStyle name="Procentowy 3 10 23 2" xfId="26695"/>
    <cellStyle name="Procentowy 3 10 24" xfId="26696"/>
    <cellStyle name="Procentowy 3 10 24 2" xfId="26697"/>
    <cellStyle name="Procentowy 3 10 25" xfId="26698"/>
    <cellStyle name="Procentowy 3 10 25 2" xfId="26699"/>
    <cellStyle name="Procentowy 3 10 26" xfId="26700"/>
    <cellStyle name="Procentowy 3 10 26 2" xfId="26701"/>
    <cellStyle name="Procentowy 3 10 27" xfId="26702"/>
    <cellStyle name="Procentowy 3 10 27 2" xfId="26703"/>
    <cellStyle name="Procentowy 3 10 28" xfId="26704"/>
    <cellStyle name="Procentowy 3 10 28 2" xfId="26705"/>
    <cellStyle name="Procentowy 3 10 29" xfId="26706"/>
    <cellStyle name="Procentowy 3 10 29 2" xfId="26707"/>
    <cellStyle name="Procentowy 3 10 3" xfId="26708"/>
    <cellStyle name="Procentowy 3 10 3 2" xfId="26709"/>
    <cellStyle name="Procentowy 3 10 3 3" xfId="26710"/>
    <cellStyle name="Procentowy 3 10 3 4" xfId="26711"/>
    <cellStyle name="Procentowy 3 10 3 5" xfId="26712"/>
    <cellStyle name="Procentowy 3 10 3 6" xfId="26713"/>
    <cellStyle name="Procentowy 3 10 3 7" xfId="26714"/>
    <cellStyle name="Procentowy 3 10 30" xfId="26715"/>
    <cellStyle name="Procentowy 3 10 30 2" xfId="26716"/>
    <cellStyle name="Procentowy 3 10 31" xfId="26717"/>
    <cellStyle name="Procentowy 3 10 31 2" xfId="26718"/>
    <cellStyle name="Procentowy 3 10 32" xfId="26719"/>
    <cellStyle name="Procentowy 3 10 33" xfId="26720"/>
    <cellStyle name="Procentowy 3 10 34" xfId="26721"/>
    <cellStyle name="Procentowy 3 10 35" xfId="26722"/>
    <cellStyle name="Procentowy 3 10 36" xfId="26723"/>
    <cellStyle name="Procentowy 3 10 37" xfId="26724"/>
    <cellStyle name="Procentowy 3 10 38" xfId="26725"/>
    <cellStyle name="Procentowy 3 10 39" xfId="26726"/>
    <cellStyle name="Procentowy 3 10 4" xfId="26727"/>
    <cellStyle name="Procentowy 3 10 4 2" xfId="26728"/>
    <cellStyle name="Procentowy 3 10 4 3" xfId="26729"/>
    <cellStyle name="Procentowy 3 10 4 4" xfId="26730"/>
    <cellStyle name="Procentowy 3 10 4 5" xfId="26731"/>
    <cellStyle name="Procentowy 3 10 4 6" xfId="26732"/>
    <cellStyle name="Procentowy 3 10 4 7" xfId="26733"/>
    <cellStyle name="Procentowy 3 10 40" xfId="26734"/>
    <cellStyle name="Procentowy 3 10 41" xfId="26735"/>
    <cellStyle name="Procentowy 3 10 42" xfId="26736"/>
    <cellStyle name="Procentowy 3 10 43" xfId="26737"/>
    <cellStyle name="Procentowy 3 10 44" xfId="26738"/>
    <cellStyle name="Procentowy 3 10 45" xfId="26739"/>
    <cellStyle name="Procentowy 3 10 46" xfId="26740"/>
    <cellStyle name="Procentowy 3 10 47" xfId="26741"/>
    <cellStyle name="Procentowy 3 10 48" xfId="26742"/>
    <cellStyle name="Procentowy 3 10 49" xfId="26743"/>
    <cellStyle name="Procentowy 3 10 5" xfId="26744"/>
    <cellStyle name="Procentowy 3 10 5 2" xfId="26745"/>
    <cellStyle name="Procentowy 3 10 5 3" xfId="26746"/>
    <cellStyle name="Procentowy 3 10 5 4" xfId="26747"/>
    <cellStyle name="Procentowy 3 10 5 5" xfId="26748"/>
    <cellStyle name="Procentowy 3 10 5 6" xfId="26749"/>
    <cellStyle name="Procentowy 3 10 5 7" xfId="26750"/>
    <cellStyle name="Procentowy 3 10 50" xfId="26751"/>
    <cellStyle name="Procentowy 3 10 51" xfId="26752"/>
    <cellStyle name="Procentowy 3 10 52" xfId="26753"/>
    <cellStyle name="Procentowy 3 10 53" xfId="26754"/>
    <cellStyle name="Procentowy 3 10 54" xfId="26755"/>
    <cellStyle name="Procentowy 3 10 55" xfId="26756"/>
    <cellStyle name="Procentowy 3 10 56" xfId="26757"/>
    <cellStyle name="Procentowy 3 10 57" xfId="26758"/>
    <cellStyle name="Procentowy 3 10 58" xfId="26759"/>
    <cellStyle name="Procentowy 3 10 59" xfId="26760"/>
    <cellStyle name="Procentowy 3 10 6" xfId="26761"/>
    <cellStyle name="Procentowy 3 10 6 2" xfId="26762"/>
    <cellStyle name="Procentowy 3 10 60" xfId="26763"/>
    <cellStyle name="Procentowy 3 10 61" xfId="26764"/>
    <cellStyle name="Procentowy 3 10 62" xfId="26765"/>
    <cellStyle name="Procentowy 3 10 63" xfId="26766"/>
    <cellStyle name="Procentowy 3 10 64" xfId="26767"/>
    <cellStyle name="Procentowy 3 10 65" xfId="26768"/>
    <cellStyle name="Procentowy 3 10 66" xfId="26769"/>
    <cellStyle name="Procentowy 3 10 67" xfId="26770"/>
    <cellStyle name="Procentowy 3 10 68" xfId="26771"/>
    <cellStyle name="Procentowy 3 10 69" xfId="26772"/>
    <cellStyle name="Procentowy 3 10 7" xfId="26773"/>
    <cellStyle name="Procentowy 3 10 7 2" xfId="26774"/>
    <cellStyle name="Procentowy 3 10 70" xfId="26775"/>
    <cellStyle name="Procentowy 3 10 71" xfId="26776"/>
    <cellStyle name="Procentowy 3 10 72" xfId="26777"/>
    <cellStyle name="Procentowy 3 10 73" xfId="26778"/>
    <cellStyle name="Procentowy 3 10 74" xfId="26779"/>
    <cellStyle name="Procentowy 3 10 8" xfId="26780"/>
    <cellStyle name="Procentowy 3 10 8 2" xfId="26781"/>
    <cellStyle name="Procentowy 3 10 9" xfId="26782"/>
    <cellStyle name="Procentowy 3 10 9 2" xfId="26783"/>
    <cellStyle name="Procentowy 3 11" xfId="26784"/>
    <cellStyle name="Procentowy 3 11 10" xfId="26785"/>
    <cellStyle name="Procentowy 3 11 10 2" xfId="26786"/>
    <cellStyle name="Procentowy 3 11 11" xfId="26787"/>
    <cellStyle name="Procentowy 3 11 11 2" xfId="26788"/>
    <cellStyle name="Procentowy 3 11 12" xfId="26789"/>
    <cellStyle name="Procentowy 3 11 12 2" xfId="26790"/>
    <cellStyle name="Procentowy 3 11 13" xfId="26791"/>
    <cellStyle name="Procentowy 3 11 13 2" xfId="26792"/>
    <cellStyle name="Procentowy 3 11 14" xfId="26793"/>
    <cellStyle name="Procentowy 3 11 14 2" xfId="26794"/>
    <cellStyle name="Procentowy 3 11 15" xfId="26795"/>
    <cellStyle name="Procentowy 3 11 15 2" xfId="26796"/>
    <cellStyle name="Procentowy 3 11 16" xfId="26797"/>
    <cellStyle name="Procentowy 3 11 16 2" xfId="26798"/>
    <cellStyle name="Procentowy 3 11 17" xfId="26799"/>
    <cellStyle name="Procentowy 3 11 17 2" xfId="26800"/>
    <cellStyle name="Procentowy 3 11 18" xfId="26801"/>
    <cellStyle name="Procentowy 3 11 18 2" xfId="26802"/>
    <cellStyle name="Procentowy 3 11 19" xfId="26803"/>
    <cellStyle name="Procentowy 3 11 19 2" xfId="26804"/>
    <cellStyle name="Procentowy 3 11 2" xfId="26805"/>
    <cellStyle name="Procentowy 3 11 2 2" xfId="26806"/>
    <cellStyle name="Procentowy 3 11 2 3" xfId="26807"/>
    <cellStyle name="Procentowy 3 11 2 4" xfId="26808"/>
    <cellStyle name="Procentowy 3 11 2 5" xfId="26809"/>
    <cellStyle name="Procentowy 3 11 2 6" xfId="26810"/>
    <cellStyle name="Procentowy 3 11 2 7" xfId="26811"/>
    <cellStyle name="Procentowy 3 11 20" xfId="26812"/>
    <cellStyle name="Procentowy 3 11 20 2" xfId="26813"/>
    <cellStyle name="Procentowy 3 11 21" xfId="26814"/>
    <cellStyle name="Procentowy 3 11 21 2" xfId="26815"/>
    <cellStyle name="Procentowy 3 11 22" xfId="26816"/>
    <cellStyle name="Procentowy 3 11 22 2" xfId="26817"/>
    <cellStyle name="Procentowy 3 11 23" xfId="26818"/>
    <cellStyle name="Procentowy 3 11 23 2" xfId="26819"/>
    <cellStyle name="Procentowy 3 11 24" xfId="26820"/>
    <cellStyle name="Procentowy 3 11 24 2" xfId="26821"/>
    <cellStyle name="Procentowy 3 11 25" xfId="26822"/>
    <cellStyle name="Procentowy 3 11 25 2" xfId="26823"/>
    <cellStyle name="Procentowy 3 11 26" xfId="26824"/>
    <cellStyle name="Procentowy 3 11 26 2" xfId="26825"/>
    <cellStyle name="Procentowy 3 11 27" xfId="26826"/>
    <cellStyle name="Procentowy 3 11 27 2" xfId="26827"/>
    <cellStyle name="Procentowy 3 11 28" xfId="26828"/>
    <cellStyle name="Procentowy 3 11 28 2" xfId="26829"/>
    <cellStyle name="Procentowy 3 11 29" xfId="26830"/>
    <cellStyle name="Procentowy 3 11 29 2" xfId="26831"/>
    <cellStyle name="Procentowy 3 11 3" xfId="26832"/>
    <cellStyle name="Procentowy 3 11 3 2" xfId="26833"/>
    <cellStyle name="Procentowy 3 11 3 3" xfId="26834"/>
    <cellStyle name="Procentowy 3 11 3 4" xfId="26835"/>
    <cellStyle name="Procentowy 3 11 3 5" xfId="26836"/>
    <cellStyle name="Procentowy 3 11 3 6" xfId="26837"/>
    <cellStyle name="Procentowy 3 11 3 7" xfId="26838"/>
    <cellStyle name="Procentowy 3 11 30" xfId="26839"/>
    <cellStyle name="Procentowy 3 11 30 2" xfId="26840"/>
    <cellStyle name="Procentowy 3 11 31" xfId="26841"/>
    <cellStyle name="Procentowy 3 11 31 2" xfId="26842"/>
    <cellStyle name="Procentowy 3 11 32" xfId="26843"/>
    <cellStyle name="Procentowy 3 11 33" xfId="26844"/>
    <cellStyle name="Procentowy 3 11 34" xfId="26845"/>
    <cellStyle name="Procentowy 3 11 35" xfId="26846"/>
    <cellStyle name="Procentowy 3 11 36" xfId="26847"/>
    <cellStyle name="Procentowy 3 11 37" xfId="26848"/>
    <cellStyle name="Procentowy 3 11 38" xfId="26849"/>
    <cellStyle name="Procentowy 3 11 39" xfId="26850"/>
    <cellStyle name="Procentowy 3 11 4" xfId="26851"/>
    <cellStyle name="Procentowy 3 11 4 2" xfId="26852"/>
    <cellStyle name="Procentowy 3 11 4 3" xfId="26853"/>
    <cellStyle name="Procentowy 3 11 4 4" xfId="26854"/>
    <cellStyle name="Procentowy 3 11 4 5" xfId="26855"/>
    <cellStyle name="Procentowy 3 11 4 6" xfId="26856"/>
    <cellStyle name="Procentowy 3 11 4 7" xfId="26857"/>
    <cellStyle name="Procentowy 3 11 40" xfId="26858"/>
    <cellStyle name="Procentowy 3 11 41" xfId="26859"/>
    <cellStyle name="Procentowy 3 11 42" xfId="26860"/>
    <cellStyle name="Procentowy 3 11 43" xfId="26861"/>
    <cellStyle name="Procentowy 3 11 44" xfId="26862"/>
    <cellStyle name="Procentowy 3 11 45" xfId="26863"/>
    <cellStyle name="Procentowy 3 11 46" xfId="26864"/>
    <cellStyle name="Procentowy 3 11 47" xfId="26865"/>
    <cellStyle name="Procentowy 3 11 48" xfId="26866"/>
    <cellStyle name="Procentowy 3 11 49" xfId="26867"/>
    <cellStyle name="Procentowy 3 11 5" xfId="26868"/>
    <cellStyle name="Procentowy 3 11 5 2" xfId="26869"/>
    <cellStyle name="Procentowy 3 11 5 3" xfId="26870"/>
    <cellStyle name="Procentowy 3 11 5 4" xfId="26871"/>
    <cellStyle name="Procentowy 3 11 5 5" xfId="26872"/>
    <cellStyle name="Procentowy 3 11 5 6" xfId="26873"/>
    <cellStyle name="Procentowy 3 11 5 7" xfId="26874"/>
    <cellStyle name="Procentowy 3 11 50" xfId="26875"/>
    <cellStyle name="Procentowy 3 11 51" xfId="26876"/>
    <cellStyle name="Procentowy 3 11 52" xfId="26877"/>
    <cellStyle name="Procentowy 3 11 53" xfId="26878"/>
    <cellStyle name="Procentowy 3 11 54" xfId="26879"/>
    <cellStyle name="Procentowy 3 11 55" xfId="26880"/>
    <cellStyle name="Procentowy 3 11 56" xfId="26881"/>
    <cellStyle name="Procentowy 3 11 57" xfId="26882"/>
    <cellStyle name="Procentowy 3 11 58" xfId="26883"/>
    <cellStyle name="Procentowy 3 11 59" xfId="26884"/>
    <cellStyle name="Procentowy 3 11 6" xfId="26885"/>
    <cellStyle name="Procentowy 3 11 6 2" xfId="26886"/>
    <cellStyle name="Procentowy 3 11 60" xfId="26887"/>
    <cellStyle name="Procentowy 3 11 61" xfId="26888"/>
    <cellStyle name="Procentowy 3 11 62" xfId="26889"/>
    <cellStyle name="Procentowy 3 11 63" xfId="26890"/>
    <cellStyle name="Procentowy 3 11 64" xfId="26891"/>
    <cellStyle name="Procentowy 3 11 65" xfId="26892"/>
    <cellStyle name="Procentowy 3 11 66" xfId="26893"/>
    <cellStyle name="Procentowy 3 11 67" xfId="26894"/>
    <cellStyle name="Procentowy 3 11 68" xfId="26895"/>
    <cellStyle name="Procentowy 3 11 69" xfId="26896"/>
    <cellStyle name="Procentowy 3 11 7" xfId="26897"/>
    <cellStyle name="Procentowy 3 11 7 2" xfId="26898"/>
    <cellStyle name="Procentowy 3 11 70" xfId="26899"/>
    <cellStyle name="Procentowy 3 11 71" xfId="26900"/>
    <cellStyle name="Procentowy 3 11 72" xfId="26901"/>
    <cellStyle name="Procentowy 3 11 73" xfId="26902"/>
    <cellStyle name="Procentowy 3 11 74" xfId="26903"/>
    <cellStyle name="Procentowy 3 11 8" xfId="26904"/>
    <cellStyle name="Procentowy 3 11 8 2" xfId="26905"/>
    <cellStyle name="Procentowy 3 11 9" xfId="26906"/>
    <cellStyle name="Procentowy 3 11 9 2" xfId="26907"/>
    <cellStyle name="Procentowy 3 12" xfId="26908"/>
    <cellStyle name="Procentowy 3 12 10" xfId="26909"/>
    <cellStyle name="Procentowy 3 12 10 2" xfId="26910"/>
    <cellStyle name="Procentowy 3 12 11" xfId="26911"/>
    <cellStyle name="Procentowy 3 12 11 2" xfId="26912"/>
    <cellStyle name="Procentowy 3 12 12" xfId="26913"/>
    <cellStyle name="Procentowy 3 12 12 2" xfId="26914"/>
    <cellStyle name="Procentowy 3 12 13" xfId="26915"/>
    <cellStyle name="Procentowy 3 12 13 2" xfId="26916"/>
    <cellStyle name="Procentowy 3 12 14" xfId="26917"/>
    <cellStyle name="Procentowy 3 12 14 2" xfId="26918"/>
    <cellStyle name="Procentowy 3 12 15" xfId="26919"/>
    <cellStyle name="Procentowy 3 12 15 2" xfId="26920"/>
    <cellStyle name="Procentowy 3 12 16" xfId="26921"/>
    <cellStyle name="Procentowy 3 12 16 2" xfId="26922"/>
    <cellStyle name="Procentowy 3 12 17" xfId="26923"/>
    <cellStyle name="Procentowy 3 12 17 2" xfId="26924"/>
    <cellStyle name="Procentowy 3 12 18" xfId="26925"/>
    <cellStyle name="Procentowy 3 12 18 2" xfId="26926"/>
    <cellStyle name="Procentowy 3 12 19" xfId="26927"/>
    <cellStyle name="Procentowy 3 12 19 2" xfId="26928"/>
    <cellStyle name="Procentowy 3 12 2" xfId="26929"/>
    <cellStyle name="Procentowy 3 12 2 2" xfId="26930"/>
    <cellStyle name="Procentowy 3 12 2 3" xfId="26931"/>
    <cellStyle name="Procentowy 3 12 2 4" xfId="26932"/>
    <cellStyle name="Procentowy 3 12 2 5" xfId="26933"/>
    <cellStyle name="Procentowy 3 12 2 6" xfId="26934"/>
    <cellStyle name="Procentowy 3 12 2 7" xfId="26935"/>
    <cellStyle name="Procentowy 3 12 20" xfId="26936"/>
    <cellStyle name="Procentowy 3 12 20 2" xfId="26937"/>
    <cellStyle name="Procentowy 3 12 21" xfId="26938"/>
    <cellStyle name="Procentowy 3 12 21 2" xfId="26939"/>
    <cellStyle name="Procentowy 3 12 22" xfId="26940"/>
    <cellStyle name="Procentowy 3 12 22 2" xfId="26941"/>
    <cellStyle name="Procentowy 3 12 23" xfId="26942"/>
    <cellStyle name="Procentowy 3 12 23 2" xfId="26943"/>
    <cellStyle name="Procentowy 3 12 24" xfId="26944"/>
    <cellStyle name="Procentowy 3 12 24 2" xfId="26945"/>
    <cellStyle name="Procentowy 3 12 25" xfId="26946"/>
    <cellStyle name="Procentowy 3 12 25 2" xfId="26947"/>
    <cellStyle name="Procentowy 3 12 26" xfId="26948"/>
    <cellStyle name="Procentowy 3 12 26 2" xfId="26949"/>
    <cellStyle name="Procentowy 3 12 27" xfId="26950"/>
    <cellStyle name="Procentowy 3 12 27 2" xfId="26951"/>
    <cellStyle name="Procentowy 3 12 28" xfId="26952"/>
    <cellStyle name="Procentowy 3 12 28 2" xfId="26953"/>
    <cellStyle name="Procentowy 3 12 29" xfId="26954"/>
    <cellStyle name="Procentowy 3 12 29 2" xfId="26955"/>
    <cellStyle name="Procentowy 3 12 3" xfId="26956"/>
    <cellStyle name="Procentowy 3 12 3 2" xfId="26957"/>
    <cellStyle name="Procentowy 3 12 3 3" xfId="26958"/>
    <cellStyle name="Procentowy 3 12 3 4" xfId="26959"/>
    <cellStyle name="Procentowy 3 12 3 5" xfId="26960"/>
    <cellStyle name="Procentowy 3 12 3 6" xfId="26961"/>
    <cellStyle name="Procentowy 3 12 3 7" xfId="26962"/>
    <cellStyle name="Procentowy 3 12 30" xfId="26963"/>
    <cellStyle name="Procentowy 3 12 30 2" xfId="26964"/>
    <cellStyle name="Procentowy 3 12 31" xfId="26965"/>
    <cellStyle name="Procentowy 3 12 31 2" xfId="26966"/>
    <cellStyle name="Procentowy 3 12 32" xfId="26967"/>
    <cellStyle name="Procentowy 3 12 33" xfId="26968"/>
    <cellStyle name="Procentowy 3 12 34" xfId="26969"/>
    <cellStyle name="Procentowy 3 12 35" xfId="26970"/>
    <cellStyle name="Procentowy 3 12 36" xfId="26971"/>
    <cellStyle name="Procentowy 3 12 37" xfId="26972"/>
    <cellStyle name="Procentowy 3 12 38" xfId="26973"/>
    <cellStyle name="Procentowy 3 12 39" xfId="26974"/>
    <cellStyle name="Procentowy 3 12 4" xfId="26975"/>
    <cellStyle name="Procentowy 3 12 4 2" xfId="26976"/>
    <cellStyle name="Procentowy 3 12 4 3" xfId="26977"/>
    <cellStyle name="Procentowy 3 12 4 4" xfId="26978"/>
    <cellStyle name="Procentowy 3 12 4 5" xfId="26979"/>
    <cellStyle name="Procentowy 3 12 4 6" xfId="26980"/>
    <cellStyle name="Procentowy 3 12 4 7" xfId="26981"/>
    <cellStyle name="Procentowy 3 12 40" xfId="26982"/>
    <cellStyle name="Procentowy 3 12 41" xfId="26983"/>
    <cellStyle name="Procentowy 3 12 42" xfId="26984"/>
    <cellStyle name="Procentowy 3 12 43" xfId="26985"/>
    <cellStyle name="Procentowy 3 12 44" xfId="26986"/>
    <cellStyle name="Procentowy 3 12 45" xfId="26987"/>
    <cellStyle name="Procentowy 3 12 46" xfId="26988"/>
    <cellStyle name="Procentowy 3 12 47" xfId="26989"/>
    <cellStyle name="Procentowy 3 12 48" xfId="26990"/>
    <cellStyle name="Procentowy 3 12 49" xfId="26991"/>
    <cellStyle name="Procentowy 3 12 5" xfId="26992"/>
    <cellStyle name="Procentowy 3 12 5 2" xfId="26993"/>
    <cellStyle name="Procentowy 3 12 5 3" xfId="26994"/>
    <cellStyle name="Procentowy 3 12 5 4" xfId="26995"/>
    <cellStyle name="Procentowy 3 12 5 5" xfId="26996"/>
    <cellStyle name="Procentowy 3 12 5 6" xfId="26997"/>
    <cellStyle name="Procentowy 3 12 5 7" xfId="26998"/>
    <cellStyle name="Procentowy 3 12 50" xfId="26999"/>
    <cellStyle name="Procentowy 3 12 51" xfId="27000"/>
    <cellStyle name="Procentowy 3 12 52" xfId="27001"/>
    <cellStyle name="Procentowy 3 12 53" xfId="27002"/>
    <cellStyle name="Procentowy 3 12 54" xfId="27003"/>
    <cellStyle name="Procentowy 3 12 55" xfId="27004"/>
    <cellStyle name="Procentowy 3 12 56" xfId="27005"/>
    <cellStyle name="Procentowy 3 12 57" xfId="27006"/>
    <cellStyle name="Procentowy 3 12 58" xfId="27007"/>
    <cellStyle name="Procentowy 3 12 59" xfId="27008"/>
    <cellStyle name="Procentowy 3 12 6" xfId="27009"/>
    <cellStyle name="Procentowy 3 12 6 2" xfId="27010"/>
    <cellStyle name="Procentowy 3 12 60" xfId="27011"/>
    <cellStyle name="Procentowy 3 12 61" xfId="27012"/>
    <cellStyle name="Procentowy 3 12 62" xfId="27013"/>
    <cellStyle name="Procentowy 3 12 63" xfId="27014"/>
    <cellStyle name="Procentowy 3 12 64" xfId="27015"/>
    <cellStyle name="Procentowy 3 12 65" xfId="27016"/>
    <cellStyle name="Procentowy 3 12 66" xfId="27017"/>
    <cellStyle name="Procentowy 3 12 67" xfId="27018"/>
    <cellStyle name="Procentowy 3 12 68" xfId="27019"/>
    <cellStyle name="Procentowy 3 12 69" xfId="27020"/>
    <cellStyle name="Procentowy 3 12 7" xfId="27021"/>
    <cellStyle name="Procentowy 3 12 7 2" xfId="27022"/>
    <cellStyle name="Procentowy 3 12 70" xfId="27023"/>
    <cellStyle name="Procentowy 3 12 71" xfId="27024"/>
    <cellStyle name="Procentowy 3 12 72" xfId="27025"/>
    <cellStyle name="Procentowy 3 12 73" xfId="27026"/>
    <cellStyle name="Procentowy 3 12 74" xfId="27027"/>
    <cellStyle name="Procentowy 3 12 8" xfId="27028"/>
    <cellStyle name="Procentowy 3 12 8 2" xfId="27029"/>
    <cellStyle name="Procentowy 3 12 9" xfId="27030"/>
    <cellStyle name="Procentowy 3 12 9 2" xfId="27031"/>
    <cellStyle name="Procentowy 3 13" xfId="27032"/>
    <cellStyle name="Procentowy 3 13 10" xfId="27033"/>
    <cellStyle name="Procentowy 3 13 10 2" xfId="27034"/>
    <cellStyle name="Procentowy 3 13 11" xfId="27035"/>
    <cellStyle name="Procentowy 3 13 11 2" xfId="27036"/>
    <cellStyle name="Procentowy 3 13 12" xfId="27037"/>
    <cellStyle name="Procentowy 3 13 12 2" xfId="27038"/>
    <cellStyle name="Procentowy 3 13 13" xfId="27039"/>
    <cellStyle name="Procentowy 3 13 13 2" xfId="27040"/>
    <cellStyle name="Procentowy 3 13 14" xfId="27041"/>
    <cellStyle name="Procentowy 3 13 14 2" xfId="27042"/>
    <cellStyle name="Procentowy 3 13 15" xfId="27043"/>
    <cellStyle name="Procentowy 3 13 15 2" xfId="27044"/>
    <cellStyle name="Procentowy 3 13 16" xfId="27045"/>
    <cellStyle name="Procentowy 3 13 16 2" xfId="27046"/>
    <cellStyle name="Procentowy 3 13 17" xfId="27047"/>
    <cellStyle name="Procentowy 3 13 17 2" xfId="27048"/>
    <cellStyle name="Procentowy 3 13 18" xfId="27049"/>
    <cellStyle name="Procentowy 3 13 18 2" xfId="27050"/>
    <cellStyle name="Procentowy 3 13 19" xfId="27051"/>
    <cellStyle name="Procentowy 3 13 19 2" xfId="27052"/>
    <cellStyle name="Procentowy 3 13 2" xfId="27053"/>
    <cellStyle name="Procentowy 3 13 2 2" xfId="27054"/>
    <cellStyle name="Procentowy 3 13 2 3" xfId="27055"/>
    <cellStyle name="Procentowy 3 13 2 4" xfId="27056"/>
    <cellStyle name="Procentowy 3 13 2 5" xfId="27057"/>
    <cellStyle name="Procentowy 3 13 2 6" xfId="27058"/>
    <cellStyle name="Procentowy 3 13 2 7" xfId="27059"/>
    <cellStyle name="Procentowy 3 13 20" xfId="27060"/>
    <cellStyle name="Procentowy 3 13 20 2" xfId="27061"/>
    <cellStyle name="Procentowy 3 13 21" xfId="27062"/>
    <cellStyle name="Procentowy 3 13 21 2" xfId="27063"/>
    <cellStyle name="Procentowy 3 13 22" xfId="27064"/>
    <cellStyle name="Procentowy 3 13 22 2" xfId="27065"/>
    <cellStyle name="Procentowy 3 13 23" xfId="27066"/>
    <cellStyle name="Procentowy 3 13 23 2" xfId="27067"/>
    <cellStyle name="Procentowy 3 13 24" xfId="27068"/>
    <cellStyle name="Procentowy 3 13 24 2" xfId="27069"/>
    <cellStyle name="Procentowy 3 13 25" xfId="27070"/>
    <cellStyle name="Procentowy 3 13 25 2" xfId="27071"/>
    <cellStyle name="Procentowy 3 13 26" xfId="27072"/>
    <cellStyle name="Procentowy 3 13 26 2" xfId="27073"/>
    <cellStyle name="Procentowy 3 13 27" xfId="27074"/>
    <cellStyle name="Procentowy 3 13 27 2" xfId="27075"/>
    <cellStyle name="Procentowy 3 13 28" xfId="27076"/>
    <cellStyle name="Procentowy 3 13 28 2" xfId="27077"/>
    <cellStyle name="Procentowy 3 13 29" xfId="27078"/>
    <cellStyle name="Procentowy 3 13 29 2" xfId="27079"/>
    <cellStyle name="Procentowy 3 13 3" xfId="27080"/>
    <cellStyle name="Procentowy 3 13 3 2" xfId="27081"/>
    <cellStyle name="Procentowy 3 13 3 3" xfId="27082"/>
    <cellStyle name="Procentowy 3 13 3 4" xfId="27083"/>
    <cellStyle name="Procentowy 3 13 3 5" xfId="27084"/>
    <cellStyle name="Procentowy 3 13 3 6" xfId="27085"/>
    <cellStyle name="Procentowy 3 13 3 7" xfId="27086"/>
    <cellStyle name="Procentowy 3 13 30" xfId="27087"/>
    <cellStyle name="Procentowy 3 13 30 2" xfId="27088"/>
    <cellStyle name="Procentowy 3 13 31" xfId="27089"/>
    <cellStyle name="Procentowy 3 13 31 2" xfId="27090"/>
    <cellStyle name="Procentowy 3 13 32" xfId="27091"/>
    <cellStyle name="Procentowy 3 13 33" xfId="27092"/>
    <cellStyle name="Procentowy 3 13 34" xfId="27093"/>
    <cellStyle name="Procentowy 3 13 35" xfId="27094"/>
    <cellStyle name="Procentowy 3 13 36" xfId="27095"/>
    <cellStyle name="Procentowy 3 13 37" xfId="27096"/>
    <cellStyle name="Procentowy 3 13 38" xfId="27097"/>
    <cellStyle name="Procentowy 3 13 39" xfId="27098"/>
    <cellStyle name="Procentowy 3 13 4" xfId="27099"/>
    <cellStyle name="Procentowy 3 13 4 2" xfId="27100"/>
    <cellStyle name="Procentowy 3 13 4 3" xfId="27101"/>
    <cellStyle name="Procentowy 3 13 4 4" xfId="27102"/>
    <cellStyle name="Procentowy 3 13 4 5" xfId="27103"/>
    <cellStyle name="Procentowy 3 13 4 6" xfId="27104"/>
    <cellStyle name="Procentowy 3 13 4 7" xfId="27105"/>
    <cellStyle name="Procentowy 3 13 40" xfId="27106"/>
    <cellStyle name="Procentowy 3 13 41" xfId="27107"/>
    <cellStyle name="Procentowy 3 13 42" xfId="27108"/>
    <cellStyle name="Procentowy 3 13 43" xfId="27109"/>
    <cellStyle name="Procentowy 3 13 44" xfId="27110"/>
    <cellStyle name="Procentowy 3 13 45" xfId="27111"/>
    <cellStyle name="Procentowy 3 13 46" xfId="27112"/>
    <cellStyle name="Procentowy 3 13 47" xfId="27113"/>
    <cellStyle name="Procentowy 3 13 48" xfId="27114"/>
    <cellStyle name="Procentowy 3 13 49" xfId="27115"/>
    <cellStyle name="Procentowy 3 13 5" xfId="27116"/>
    <cellStyle name="Procentowy 3 13 5 2" xfId="27117"/>
    <cellStyle name="Procentowy 3 13 5 3" xfId="27118"/>
    <cellStyle name="Procentowy 3 13 5 4" xfId="27119"/>
    <cellStyle name="Procentowy 3 13 5 5" xfId="27120"/>
    <cellStyle name="Procentowy 3 13 5 6" xfId="27121"/>
    <cellStyle name="Procentowy 3 13 5 7" xfId="27122"/>
    <cellStyle name="Procentowy 3 13 50" xfId="27123"/>
    <cellStyle name="Procentowy 3 13 51" xfId="27124"/>
    <cellStyle name="Procentowy 3 13 52" xfId="27125"/>
    <cellStyle name="Procentowy 3 13 53" xfId="27126"/>
    <cellStyle name="Procentowy 3 13 54" xfId="27127"/>
    <cellStyle name="Procentowy 3 13 55" xfId="27128"/>
    <cellStyle name="Procentowy 3 13 56" xfId="27129"/>
    <cellStyle name="Procentowy 3 13 57" xfId="27130"/>
    <cellStyle name="Procentowy 3 13 58" xfId="27131"/>
    <cellStyle name="Procentowy 3 13 59" xfId="27132"/>
    <cellStyle name="Procentowy 3 13 6" xfId="27133"/>
    <cellStyle name="Procentowy 3 13 6 2" xfId="27134"/>
    <cellStyle name="Procentowy 3 13 60" xfId="27135"/>
    <cellStyle name="Procentowy 3 13 61" xfId="27136"/>
    <cellStyle name="Procentowy 3 13 62" xfId="27137"/>
    <cellStyle name="Procentowy 3 13 63" xfId="27138"/>
    <cellStyle name="Procentowy 3 13 64" xfId="27139"/>
    <cellStyle name="Procentowy 3 13 65" xfId="27140"/>
    <cellStyle name="Procentowy 3 13 66" xfId="27141"/>
    <cellStyle name="Procentowy 3 13 67" xfId="27142"/>
    <cellStyle name="Procentowy 3 13 68" xfId="27143"/>
    <cellStyle name="Procentowy 3 13 69" xfId="27144"/>
    <cellStyle name="Procentowy 3 13 7" xfId="27145"/>
    <cellStyle name="Procentowy 3 13 7 2" xfId="27146"/>
    <cellStyle name="Procentowy 3 13 70" xfId="27147"/>
    <cellStyle name="Procentowy 3 13 71" xfId="27148"/>
    <cellStyle name="Procentowy 3 13 72" xfId="27149"/>
    <cellStyle name="Procentowy 3 13 73" xfId="27150"/>
    <cellStyle name="Procentowy 3 13 74" xfId="27151"/>
    <cellStyle name="Procentowy 3 13 8" xfId="27152"/>
    <cellStyle name="Procentowy 3 13 8 2" xfId="27153"/>
    <cellStyle name="Procentowy 3 13 9" xfId="27154"/>
    <cellStyle name="Procentowy 3 13 9 2" xfId="27155"/>
    <cellStyle name="Procentowy 3 14" xfId="27156"/>
    <cellStyle name="Procentowy 3 14 10" xfId="27157"/>
    <cellStyle name="Procentowy 3 14 10 2" xfId="27158"/>
    <cellStyle name="Procentowy 3 14 11" xfId="27159"/>
    <cellStyle name="Procentowy 3 14 11 2" xfId="27160"/>
    <cellStyle name="Procentowy 3 14 12" xfId="27161"/>
    <cellStyle name="Procentowy 3 14 12 2" xfId="27162"/>
    <cellStyle name="Procentowy 3 14 13" xfId="27163"/>
    <cellStyle name="Procentowy 3 14 13 2" xfId="27164"/>
    <cellStyle name="Procentowy 3 14 14" xfId="27165"/>
    <cellStyle name="Procentowy 3 14 14 2" xfId="27166"/>
    <cellStyle name="Procentowy 3 14 15" xfId="27167"/>
    <cellStyle name="Procentowy 3 14 15 2" xfId="27168"/>
    <cellStyle name="Procentowy 3 14 16" xfId="27169"/>
    <cellStyle name="Procentowy 3 14 16 2" xfId="27170"/>
    <cellStyle name="Procentowy 3 14 17" xfId="27171"/>
    <cellStyle name="Procentowy 3 14 17 2" xfId="27172"/>
    <cellStyle name="Procentowy 3 14 18" xfId="27173"/>
    <cellStyle name="Procentowy 3 14 18 2" xfId="27174"/>
    <cellStyle name="Procentowy 3 14 19" xfId="27175"/>
    <cellStyle name="Procentowy 3 14 19 2" xfId="27176"/>
    <cellStyle name="Procentowy 3 14 2" xfId="27177"/>
    <cellStyle name="Procentowy 3 14 2 2" xfId="27178"/>
    <cellStyle name="Procentowy 3 14 2 3" xfId="27179"/>
    <cellStyle name="Procentowy 3 14 2 4" xfId="27180"/>
    <cellStyle name="Procentowy 3 14 2 5" xfId="27181"/>
    <cellStyle name="Procentowy 3 14 2 6" xfId="27182"/>
    <cellStyle name="Procentowy 3 14 2 7" xfId="27183"/>
    <cellStyle name="Procentowy 3 14 20" xfId="27184"/>
    <cellStyle name="Procentowy 3 14 20 2" xfId="27185"/>
    <cellStyle name="Procentowy 3 14 21" xfId="27186"/>
    <cellStyle name="Procentowy 3 14 21 2" xfId="27187"/>
    <cellStyle name="Procentowy 3 14 22" xfId="27188"/>
    <cellStyle name="Procentowy 3 14 22 2" xfId="27189"/>
    <cellStyle name="Procentowy 3 14 23" xfId="27190"/>
    <cellStyle name="Procentowy 3 14 23 2" xfId="27191"/>
    <cellStyle name="Procentowy 3 14 24" xfId="27192"/>
    <cellStyle name="Procentowy 3 14 24 2" xfId="27193"/>
    <cellStyle name="Procentowy 3 14 25" xfId="27194"/>
    <cellStyle name="Procentowy 3 14 25 2" xfId="27195"/>
    <cellStyle name="Procentowy 3 14 26" xfId="27196"/>
    <cellStyle name="Procentowy 3 14 26 2" xfId="27197"/>
    <cellStyle name="Procentowy 3 14 27" xfId="27198"/>
    <cellStyle name="Procentowy 3 14 27 2" xfId="27199"/>
    <cellStyle name="Procentowy 3 14 28" xfId="27200"/>
    <cellStyle name="Procentowy 3 14 28 2" xfId="27201"/>
    <cellStyle name="Procentowy 3 14 29" xfId="27202"/>
    <cellStyle name="Procentowy 3 14 29 2" xfId="27203"/>
    <cellStyle name="Procentowy 3 14 3" xfId="27204"/>
    <cellStyle name="Procentowy 3 14 3 2" xfId="27205"/>
    <cellStyle name="Procentowy 3 14 3 3" xfId="27206"/>
    <cellStyle name="Procentowy 3 14 3 4" xfId="27207"/>
    <cellStyle name="Procentowy 3 14 3 5" xfId="27208"/>
    <cellStyle name="Procentowy 3 14 3 6" xfId="27209"/>
    <cellStyle name="Procentowy 3 14 3 7" xfId="27210"/>
    <cellStyle name="Procentowy 3 14 30" xfId="27211"/>
    <cellStyle name="Procentowy 3 14 30 2" xfId="27212"/>
    <cellStyle name="Procentowy 3 14 31" xfId="27213"/>
    <cellStyle name="Procentowy 3 14 31 2" xfId="27214"/>
    <cellStyle name="Procentowy 3 14 32" xfId="27215"/>
    <cellStyle name="Procentowy 3 14 33" xfId="27216"/>
    <cellStyle name="Procentowy 3 14 34" xfId="27217"/>
    <cellStyle name="Procentowy 3 14 35" xfId="27218"/>
    <cellStyle name="Procentowy 3 14 36" xfId="27219"/>
    <cellStyle name="Procentowy 3 14 37" xfId="27220"/>
    <cellStyle name="Procentowy 3 14 38" xfId="27221"/>
    <cellStyle name="Procentowy 3 14 39" xfId="27222"/>
    <cellStyle name="Procentowy 3 14 4" xfId="27223"/>
    <cellStyle name="Procentowy 3 14 4 2" xfId="27224"/>
    <cellStyle name="Procentowy 3 14 4 3" xfId="27225"/>
    <cellStyle name="Procentowy 3 14 4 4" xfId="27226"/>
    <cellStyle name="Procentowy 3 14 4 5" xfId="27227"/>
    <cellStyle name="Procentowy 3 14 4 6" xfId="27228"/>
    <cellStyle name="Procentowy 3 14 4 7" xfId="27229"/>
    <cellStyle name="Procentowy 3 14 40" xfId="27230"/>
    <cellStyle name="Procentowy 3 14 41" xfId="27231"/>
    <cellStyle name="Procentowy 3 14 42" xfId="27232"/>
    <cellStyle name="Procentowy 3 14 43" xfId="27233"/>
    <cellStyle name="Procentowy 3 14 44" xfId="27234"/>
    <cellStyle name="Procentowy 3 14 45" xfId="27235"/>
    <cellStyle name="Procentowy 3 14 46" xfId="27236"/>
    <cellStyle name="Procentowy 3 14 47" xfId="27237"/>
    <cellStyle name="Procentowy 3 14 48" xfId="27238"/>
    <cellStyle name="Procentowy 3 14 49" xfId="27239"/>
    <cellStyle name="Procentowy 3 14 5" xfId="27240"/>
    <cellStyle name="Procentowy 3 14 5 2" xfId="27241"/>
    <cellStyle name="Procentowy 3 14 5 3" xfId="27242"/>
    <cellStyle name="Procentowy 3 14 5 4" xfId="27243"/>
    <cellStyle name="Procentowy 3 14 5 5" xfId="27244"/>
    <cellStyle name="Procentowy 3 14 5 6" xfId="27245"/>
    <cellStyle name="Procentowy 3 14 5 7" xfId="27246"/>
    <cellStyle name="Procentowy 3 14 50" xfId="27247"/>
    <cellStyle name="Procentowy 3 14 51" xfId="27248"/>
    <cellStyle name="Procentowy 3 14 52" xfId="27249"/>
    <cellStyle name="Procentowy 3 14 53" xfId="27250"/>
    <cellStyle name="Procentowy 3 14 54" xfId="27251"/>
    <cellStyle name="Procentowy 3 14 55" xfId="27252"/>
    <cellStyle name="Procentowy 3 14 56" xfId="27253"/>
    <cellStyle name="Procentowy 3 14 57" xfId="27254"/>
    <cellStyle name="Procentowy 3 14 58" xfId="27255"/>
    <cellStyle name="Procentowy 3 14 59" xfId="27256"/>
    <cellStyle name="Procentowy 3 14 6" xfId="27257"/>
    <cellStyle name="Procentowy 3 14 6 2" xfId="27258"/>
    <cellStyle name="Procentowy 3 14 60" xfId="27259"/>
    <cellStyle name="Procentowy 3 14 61" xfId="27260"/>
    <cellStyle name="Procentowy 3 14 62" xfId="27261"/>
    <cellStyle name="Procentowy 3 14 63" xfId="27262"/>
    <cellStyle name="Procentowy 3 14 64" xfId="27263"/>
    <cellStyle name="Procentowy 3 14 65" xfId="27264"/>
    <cellStyle name="Procentowy 3 14 66" xfId="27265"/>
    <cellStyle name="Procentowy 3 14 67" xfId="27266"/>
    <cellStyle name="Procentowy 3 14 68" xfId="27267"/>
    <cellStyle name="Procentowy 3 14 69" xfId="27268"/>
    <cellStyle name="Procentowy 3 14 7" xfId="27269"/>
    <cellStyle name="Procentowy 3 14 7 2" xfId="27270"/>
    <cellStyle name="Procentowy 3 14 70" xfId="27271"/>
    <cellStyle name="Procentowy 3 14 71" xfId="27272"/>
    <cellStyle name="Procentowy 3 14 72" xfId="27273"/>
    <cellStyle name="Procentowy 3 14 73" xfId="27274"/>
    <cellStyle name="Procentowy 3 14 74" xfId="27275"/>
    <cellStyle name="Procentowy 3 14 8" xfId="27276"/>
    <cellStyle name="Procentowy 3 14 8 2" xfId="27277"/>
    <cellStyle name="Procentowy 3 14 9" xfId="27278"/>
    <cellStyle name="Procentowy 3 14 9 2" xfId="27279"/>
    <cellStyle name="Procentowy 3 15" xfId="27280"/>
    <cellStyle name="Procentowy 3 15 10" xfId="27281"/>
    <cellStyle name="Procentowy 3 15 10 2" xfId="27282"/>
    <cellStyle name="Procentowy 3 15 11" xfId="27283"/>
    <cellStyle name="Procentowy 3 15 11 2" xfId="27284"/>
    <cellStyle name="Procentowy 3 15 12" xfId="27285"/>
    <cellStyle name="Procentowy 3 15 12 2" xfId="27286"/>
    <cellStyle name="Procentowy 3 15 13" xfId="27287"/>
    <cellStyle name="Procentowy 3 15 13 2" xfId="27288"/>
    <cellStyle name="Procentowy 3 15 14" xfId="27289"/>
    <cellStyle name="Procentowy 3 15 14 2" xfId="27290"/>
    <cellStyle name="Procentowy 3 15 15" xfId="27291"/>
    <cellStyle name="Procentowy 3 15 15 2" xfId="27292"/>
    <cellStyle name="Procentowy 3 15 16" xfId="27293"/>
    <cellStyle name="Procentowy 3 15 16 2" xfId="27294"/>
    <cellStyle name="Procentowy 3 15 17" xfId="27295"/>
    <cellStyle name="Procentowy 3 15 17 2" xfId="27296"/>
    <cellStyle name="Procentowy 3 15 18" xfId="27297"/>
    <cellStyle name="Procentowy 3 15 18 2" xfId="27298"/>
    <cellStyle name="Procentowy 3 15 19" xfId="27299"/>
    <cellStyle name="Procentowy 3 15 19 2" xfId="27300"/>
    <cellStyle name="Procentowy 3 15 2" xfId="27301"/>
    <cellStyle name="Procentowy 3 15 2 2" xfId="27302"/>
    <cellStyle name="Procentowy 3 15 2 3" xfId="27303"/>
    <cellStyle name="Procentowy 3 15 2 4" xfId="27304"/>
    <cellStyle name="Procentowy 3 15 2 5" xfId="27305"/>
    <cellStyle name="Procentowy 3 15 2 6" xfId="27306"/>
    <cellStyle name="Procentowy 3 15 2 7" xfId="27307"/>
    <cellStyle name="Procentowy 3 15 20" xfId="27308"/>
    <cellStyle name="Procentowy 3 15 20 2" xfId="27309"/>
    <cellStyle name="Procentowy 3 15 21" xfId="27310"/>
    <cellStyle name="Procentowy 3 15 21 2" xfId="27311"/>
    <cellStyle name="Procentowy 3 15 22" xfId="27312"/>
    <cellStyle name="Procentowy 3 15 22 2" xfId="27313"/>
    <cellStyle name="Procentowy 3 15 23" xfId="27314"/>
    <cellStyle name="Procentowy 3 15 23 2" xfId="27315"/>
    <cellStyle name="Procentowy 3 15 24" xfId="27316"/>
    <cellStyle name="Procentowy 3 15 24 2" xfId="27317"/>
    <cellStyle name="Procentowy 3 15 25" xfId="27318"/>
    <cellStyle name="Procentowy 3 15 25 2" xfId="27319"/>
    <cellStyle name="Procentowy 3 15 26" xfId="27320"/>
    <cellStyle name="Procentowy 3 15 26 2" xfId="27321"/>
    <cellStyle name="Procentowy 3 15 27" xfId="27322"/>
    <cellStyle name="Procentowy 3 15 27 2" xfId="27323"/>
    <cellStyle name="Procentowy 3 15 28" xfId="27324"/>
    <cellStyle name="Procentowy 3 15 28 2" xfId="27325"/>
    <cellStyle name="Procentowy 3 15 29" xfId="27326"/>
    <cellStyle name="Procentowy 3 15 29 2" xfId="27327"/>
    <cellStyle name="Procentowy 3 15 3" xfId="27328"/>
    <cellStyle name="Procentowy 3 15 3 2" xfId="27329"/>
    <cellStyle name="Procentowy 3 15 3 3" xfId="27330"/>
    <cellStyle name="Procentowy 3 15 3 4" xfId="27331"/>
    <cellStyle name="Procentowy 3 15 3 5" xfId="27332"/>
    <cellStyle name="Procentowy 3 15 3 6" xfId="27333"/>
    <cellStyle name="Procentowy 3 15 3 7" xfId="27334"/>
    <cellStyle name="Procentowy 3 15 30" xfId="27335"/>
    <cellStyle name="Procentowy 3 15 30 2" xfId="27336"/>
    <cellStyle name="Procentowy 3 15 31" xfId="27337"/>
    <cellStyle name="Procentowy 3 15 31 2" xfId="27338"/>
    <cellStyle name="Procentowy 3 15 32" xfId="27339"/>
    <cellStyle name="Procentowy 3 15 33" xfId="27340"/>
    <cellStyle name="Procentowy 3 15 34" xfId="27341"/>
    <cellStyle name="Procentowy 3 15 35" xfId="27342"/>
    <cellStyle name="Procentowy 3 15 36" xfId="27343"/>
    <cellStyle name="Procentowy 3 15 37" xfId="27344"/>
    <cellStyle name="Procentowy 3 15 38" xfId="27345"/>
    <cellStyle name="Procentowy 3 15 39" xfId="27346"/>
    <cellStyle name="Procentowy 3 15 4" xfId="27347"/>
    <cellStyle name="Procentowy 3 15 4 2" xfId="27348"/>
    <cellStyle name="Procentowy 3 15 4 3" xfId="27349"/>
    <cellStyle name="Procentowy 3 15 4 4" xfId="27350"/>
    <cellStyle name="Procentowy 3 15 4 5" xfId="27351"/>
    <cellStyle name="Procentowy 3 15 4 6" xfId="27352"/>
    <cellStyle name="Procentowy 3 15 4 7" xfId="27353"/>
    <cellStyle name="Procentowy 3 15 40" xfId="27354"/>
    <cellStyle name="Procentowy 3 15 41" xfId="27355"/>
    <cellStyle name="Procentowy 3 15 42" xfId="27356"/>
    <cellStyle name="Procentowy 3 15 43" xfId="27357"/>
    <cellStyle name="Procentowy 3 15 44" xfId="27358"/>
    <cellStyle name="Procentowy 3 15 45" xfId="27359"/>
    <cellStyle name="Procentowy 3 15 46" xfId="27360"/>
    <cellStyle name="Procentowy 3 15 47" xfId="27361"/>
    <cellStyle name="Procentowy 3 15 48" xfId="27362"/>
    <cellStyle name="Procentowy 3 15 49" xfId="27363"/>
    <cellStyle name="Procentowy 3 15 5" xfId="27364"/>
    <cellStyle name="Procentowy 3 15 5 2" xfId="27365"/>
    <cellStyle name="Procentowy 3 15 5 3" xfId="27366"/>
    <cellStyle name="Procentowy 3 15 5 4" xfId="27367"/>
    <cellStyle name="Procentowy 3 15 5 5" xfId="27368"/>
    <cellStyle name="Procentowy 3 15 5 6" xfId="27369"/>
    <cellStyle name="Procentowy 3 15 5 7" xfId="27370"/>
    <cellStyle name="Procentowy 3 15 50" xfId="27371"/>
    <cellStyle name="Procentowy 3 15 51" xfId="27372"/>
    <cellStyle name="Procentowy 3 15 52" xfId="27373"/>
    <cellStyle name="Procentowy 3 15 53" xfId="27374"/>
    <cellStyle name="Procentowy 3 15 54" xfId="27375"/>
    <cellStyle name="Procentowy 3 15 55" xfId="27376"/>
    <cellStyle name="Procentowy 3 15 56" xfId="27377"/>
    <cellStyle name="Procentowy 3 15 57" xfId="27378"/>
    <cellStyle name="Procentowy 3 15 58" xfId="27379"/>
    <cellStyle name="Procentowy 3 15 59" xfId="27380"/>
    <cellStyle name="Procentowy 3 15 6" xfId="27381"/>
    <cellStyle name="Procentowy 3 15 6 2" xfId="27382"/>
    <cellStyle name="Procentowy 3 15 60" xfId="27383"/>
    <cellStyle name="Procentowy 3 15 61" xfId="27384"/>
    <cellStyle name="Procentowy 3 15 62" xfId="27385"/>
    <cellStyle name="Procentowy 3 15 63" xfId="27386"/>
    <cellStyle name="Procentowy 3 15 64" xfId="27387"/>
    <cellStyle name="Procentowy 3 15 65" xfId="27388"/>
    <cellStyle name="Procentowy 3 15 66" xfId="27389"/>
    <cellStyle name="Procentowy 3 15 67" xfId="27390"/>
    <cellStyle name="Procentowy 3 15 68" xfId="27391"/>
    <cellStyle name="Procentowy 3 15 69" xfId="27392"/>
    <cellStyle name="Procentowy 3 15 7" xfId="27393"/>
    <cellStyle name="Procentowy 3 15 7 2" xfId="27394"/>
    <cellStyle name="Procentowy 3 15 70" xfId="27395"/>
    <cellStyle name="Procentowy 3 15 71" xfId="27396"/>
    <cellStyle name="Procentowy 3 15 72" xfId="27397"/>
    <cellStyle name="Procentowy 3 15 73" xfId="27398"/>
    <cellStyle name="Procentowy 3 15 74" xfId="27399"/>
    <cellStyle name="Procentowy 3 15 8" xfId="27400"/>
    <cellStyle name="Procentowy 3 15 8 2" xfId="27401"/>
    <cellStyle name="Procentowy 3 15 9" xfId="27402"/>
    <cellStyle name="Procentowy 3 15 9 2" xfId="27403"/>
    <cellStyle name="Procentowy 3 16" xfId="27404"/>
    <cellStyle name="Procentowy 3 16 10" xfId="27405"/>
    <cellStyle name="Procentowy 3 16 10 2" xfId="27406"/>
    <cellStyle name="Procentowy 3 16 11" xfId="27407"/>
    <cellStyle name="Procentowy 3 16 11 2" xfId="27408"/>
    <cellStyle name="Procentowy 3 16 12" xfId="27409"/>
    <cellStyle name="Procentowy 3 16 12 2" xfId="27410"/>
    <cellStyle name="Procentowy 3 16 13" xfId="27411"/>
    <cellStyle name="Procentowy 3 16 13 2" xfId="27412"/>
    <cellStyle name="Procentowy 3 16 14" xfId="27413"/>
    <cellStyle name="Procentowy 3 16 14 2" xfId="27414"/>
    <cellStyle name="Procentowy 3 16 15" xfId="27415"/>
    <cellStyle name="Procentowy 3 16 15 2" xfId="27416"/>
    <cellStyle name="Procentowy 3 16 16" xfId="27417"/>
    <cellStyle name="Procentowy 3 16 16 2" xfId="27418"/>
    <cellStyle name="Procentowy 3 16 17" xfId="27419"/>
    <cellStyle name="Procentowy 3 16 17 2" xfId="27420"/>
    <cellStyle name="Procentowy 3 16 18" xfId="27421"/>
    <cellStyle name="Procentowy 3 16 18 2" xfId="27422"/>
    <cellStyle name="Procentowy 3 16 19" xfId="27423"/>
    <cellStyle name="Procentowy 3 16 19 2" xfId="27424"/>
    <cellStyle name="Procentowy 3 16 2" xfId="27425"/>
    <cellStyle name="Procentowy 3 16 2 2" xfId="27426"/>
    <cellStyle name="Procentowy 3 16 2 3" xfId="27427"/>
    <cellStyle name="Procentowy 3 16 2 4" xfId="27428"/>
    <cellStyle name="Procentowy 3 16 2 5" xfId="27429"/>
    <cellStyle name="Procentowy 3 16 2 6" xfId="27430"/>
    <cellStyle name="Procentowy 3 16 2 7" xfId="27431"/>
    <cellStyle name="Procentowy 3 16 20" xfId="27432"/>
    <cellStyle name="Procentowy 3 16 20 2" xfId="27433"/>
    <cellStyle name="Procentowy 3 16 21" xfId="27434"/>
    <cellStyle name="Procentowy 3 16 21 2" xfId="27435"/>
    <cellStyle name="Procentowy 3 16 22" xfId="27436"/>
    <cellStyle name="Procentowy 3 16 22 2" xfId="27437"/>
    <cellStyle name="Procentowy 3 16 23" xfId="27438"/>
    <cellStyle name="Procentowy 3 16 23 2" xfId="27439"/>
    <cellStyle name="Procentowy 3 16 24" xfId="27440"/>
    <cellStyle name="Procentowy 3 16 24 2" xfId="27441"/>
    <cellStyle name="Procentowy 3 16 25" xfId="27442"/>
    <cellStyle name="Procentowy 3 16 25 2" xfId="27443"/>
    <cellStyle name="Procentowy 3 16 26" xfId="27444"/>
    <cellStyle name="Procentowy 3 16 26 2" xfId="27445"/>
    <cellStyle name="Procentowy 3 16 27" xfId="27446"/>
    <cellStyle name="Procentowy 3 16 27 2" xfId="27447"/>
    <cellStyle name="Procentowy 3 16 28" xfId="27448"/>
    <cellStyle name="Procentowy 3 16 28 2" xfId="27449"/>
    <cellStyle name="Procentowy 3 16 29" xfId="27450"/>
    <cellStyle name="Procentowy 3 16 29 2" xfId="27451"/>
    <cellStyle name="Procentowy 3 16 3" xfId="27452"/>
    <cellStyle name="Procentowy 3 16 3 2" xfId="27453"/>
    <cellStyle name="Procentowy 3 16 3 3" xfId="27454"/>
    <cellStyle name="Procentowy 3 16 3 4" xfId="27455"/>
    <cellStyle name="Procentowy 3 16 3 5" xfId="27456"/>
    <cellStyle name="Procentowy 3 16 3 6" xfId="27457"/>
    <cellStyle name="Procentowy 3 16 3 7" xfId="27458"/>
    <cellStyle name="Procentowy 3 16 30" xfId="27459"/>
    <cellStyle name="Procentowy 3 16 30 2" xfId="27460"/>
    <cellStyle name="Procentowy 3 16 31" xfId="27461"/>
    <cellStyle name="Procentowy 3 16 31 2" xfId="27462"/>
    <cellStyle name="Procentowy 3 16 32" xfId="27463"/>
    <cellStyle name="Procentowy 3 16 33" xfId="27464"/>
    <cellStyle name="Procentowy 3 16 34" xfId="27465"/>
    <cellStyle name="Procentowy 3 16 35" xfId="27466"/>
    <cellStyle name="Procentowy 3 16 36" xfId="27467"/>
    <cellStyle name="Procentowy 3 16 37" xfId="27468"/>
    <cellStyle name="Procentowy 3 16 38" xfId="27469"/>
    <cellStyle name="Procentowy 3 16 39" xfId="27470"/>
    <cellStyle name="Procentowy 3 16 4" xfId="27471"/>
    <cellStyle name="Procentowy 3 16 4 2" xfId="27472"/>
    <cellStyle name="Procentowy 3 16 4 3" xfId="27473"/>
    <cellStyle name="Procentowy 3 16 4 4" xfId="27474"/>
    <cellStyle name="Procentowy 3 16 4 5" xfId="27475"/>
    <cellStyle name="Procentowy 3 16 4 6" xfId="27476"/>
    <cellStyle name="Procentowy 3 16 4 7" xfId="27477"/>
    <cellStyle name="Procentowy 3 16 40" xfId="27478"/>
    <cellStyle name="Procentowy 3 16 41" xfId="27479"/>
    <cellStyle name="Procentowy 3 16 42" xfId="27480"/>
    <cellStyle name="Procentowy 3 16 43" xfId="27481"/>
    <cellStyle name="Procentowy 3 16 44" xfId="27482"/>
    <cellStyle name="Procentowy 3 16 45" xfId="27483"/>
    <cellStyle name="Procentowy 3 16 46" xfId="27484"/>
    <cellStyle name="Procentowy 3 16 47" xfId="27485"/>
    <cellStyle name="Procentowy 3 16 48" xfId="27486"/>
    <cellStyle name="Procentowy 3 16 49" xfId="27487"/>
    <cellStyle name="Procentowy 3 16 5" xfId="27488"/>
    <cellStyle name="Procentowy 3 16 5 2" xfId="27489"/>
    <cellStyle name="Procentowy 3 16 5 3" xfId="27490"/>
    <cellStyle name="Procentowy 3 16 5 4" xfId="27491"/>
    <cellStyle name="Procentowy 3 16 5 5" xfId="27492"/>
    <cellStyle name="Procentowy 3 16 5 6" xfId="27493"/>
    <cellStyle name="Procentowy 3 16 5 7" xfId="27494"/>
    <cellStyle name="Procentowy 3 16 50" xfId="27495"/>
    <cellStyle name="Procentowy 3 16 51" xfId="27496"/>
    <cellStyle name="Procentowy 3 16 52" xfId="27497"/>
    <cellStyle name="Procentowy 3 16 53" xfId="27498"/>
    <cellStyle name="Procentowy 3 16 54" xfId="27499"/>
    <cellStyle name="Procentowy 3 16 55" xfId="27500"/>
    <cellStyle name="Procentowy 3 16 56" xfId="27501"/>
    <cellStyle name="Procentowy 3 16 57" xfId="27502"/>
    <cellStyle name="Procentowy 3 16 58" xfId="27503"/>
    <cellStyle name="Procentowy 3 16 59" xfId="27504"/>
    <cellStyle name="Procentowy 3 16 6" xfId="27505"/>
    <cellStyle name="Procentowy 3 16 6 2" xfId="27506"/>
    <cellStyle name="Procentowy 3 16 60" xfId="27507"/>
    <cellStyle name="Procentowy 3 16 61" xfId="27508"/>
    <cellStyle name="Procentowy 3 16 62" xfId="27509"/>
    <cellStyle name="Procentowy 3 16 63" xfId="27510"/>
    <cellStyle name="Procentowy 3 16 64" xfId="27511"/>
    <cellStyle name="Procentowy 3 16 65" xfId="27512"/>
    <cellStyle name="Procentowy 3 16 66" xfId="27513"/>
    <cellStyle name="Procentowy 3 16 67" xfId="27514"/>
    <cellStyle name="Procentowy 3 16 68" xfId="27515"/>
    <cellStyle name="Procentowy 3 16 69" xfId="27516"/>
    <cellStyle name="Procentowy 3 16 7" xfId="27517"/>
    <cellStyle name="Procentowy 3 16 7 2" xfId="27518"/>
    <cellStyle name="Procentowy 3 16 70" xfId="27519"/>
    <cellStyle name="Procentowy 3 16 71" xfId="27520"/>
    <cellStyle name="Procentowy 3 16 72" xfId="27521"/>
    <cellStyle name="Procentowy 3 16 73" xfId="27522"/>
    <cellStyle name="Procentowy 3 16 74" xfId="27523"/>
    <cellStyle name="Procentowy 3 16 8" xfId="27524"/>
    <cellStyle name="Procentowy 3 16 8 2" xfId="27525"/>
    <cellStyle name="Procentowy 3 16 9" xfId="27526"/>
    <cellStyle name="Procentowy 3 16 9 2" xfId="27527"/>
    <cellStyle name="Procentowy 3 17" xfId="27528"/>
    <cellStyle name="Procentowy 3 17 10" xfId="27529"/>
    <cellStyle name="Procentowy 3 17 10 2" xfId="27530"/>
    <cellStyle name="Procentowy 3 17 11" xfId="27531"/>
    <cellStyle name="Procentowy 3 17 11 2" xfId="27532"/>
    <cellStyle name="Procentowy 3 17 12" xfId="27533"/>
    <cellStyle name="Procentowy 3 17 12 2" xfId="27534"/>
    <cellStyle name="Procentowy 3 17 13" xfId="27535"/>
    <cellStyle name="Procentowy 3 17 13 2" xfId="27536"/>
    <cellStyle name="Procentowy 3 17 14" xfId="27537"/>
    <cellStyle name="Procentowy 3 17 14 2" xfId="27538"/>
    <cellStyle name="Procentowy 3 17 15" xfId="27539"/>
    <cellStyle name="Procentowy 3 17 15 2" xfId="27540"/>
    <cellStyle name="Procentowy 3 17 16" xfId="27541"/>
    <cellStyle name="Procentowy 3 17 16 2" xfId="27542"/>
    <cellStyle name="Procentowy 3 17 17" xfId="27543"/>
    <cellStyle name="Procentowy 3 17 17 2" xfId="27544"/>
    <cellStyle name="Procentowy 3 17 18" xfId="27545"/>
    <cellStyle name="Procentowy 3 17 18 2" xfId="27546"/>
    <cellStyle name="Procentowy 3 17 19" xfId="27547"/>
    <cellStyle name="Procentowy 3 17 19 2" xfId="27548"/>
    <cellStyle name="Procentowy 3 17 2" xfId="27549"/>
    <cellStyle name="Procentowy 3 17 2 2" xfId="27550"/>
    <cellStyle name="Procentowy 3 17 2 3" xfId="27551"/>
    <cellStyle name="Procentowy 3 17 2 4" xfId="27552"/>
    <cellStyle name="Procentowy 3 17 2 5" xfId="27553"/>
    <cellStyle name="Procentowy 3 17 2 6" xfId="27554"/>
    <cellStyle name="Procentowy 3 17 2 7" xfId="27555"/>
    <cellStyle name="Procentowy 3 17 20" xfId="27556"/>
    <cellStyle name="Procentowy 3 17 20 2" xfId="27557"/>
    <cellStyle name="Procentowy 3 17 21" xfId="27558"/>
    <cellStyle name="Procentowy 3 17 21 2" xfId="27559"/>
    <cellStyle name="Procentowy 3 17 22" xfId="27560"/>
    <cellStyle name="Procentowy 3 17 22 2" xfId="27561"/>
    <cellStyle name="Procentowy 3 17 23" xfId="27562"/>
    <cellStyle name="Procentowy 3 17 23 2" xfId="27563"/>
    <cellStyle name="Procentowy 3 17 24" xfId="27564"/>
    <cellStyle name="Procentowy 3 17 24 2" xfId="27565"/>
    <cellStyle name="Procentowy 3 17 25" xfId="27566"/>
    <cellStyle name="Procentowy 3 17 25 2" xfId="27567"/>
    <cellStyle name="Procentowy 3 17 26" xfId="27568"/>
    <cellStyle name="Procentowy 3 17 26 2" xfId="27569"/>
    <cellStyle name="Procentowy 3 17 27" xfId="27570"/>
    <cellStyle name="Procentowy 3 17 27 2" xfId="27571"/>
    <cellStyle name="Procentowy 3 17 28" xfId="27572"/>
    <cellStyle name="Procentowy 3 17 28 2" xfId="27573"/>
    <cellStyle name="Procentowy 3 17 29" xfId="27574"/>
    <cellStyle name="Procentowy 3 17 29 2" xfId="27575"/>
    <cellStyle name="Procentowy 3 17 3" xfId="27576"/>
    <cellStyle name="Procentowy 3 17 3 2" xfId="27577"/>
    <cellStyle name="Procentowy 3 17 3 3" xfId="27578"/>
    <cellStyle name="Procentowy 3 17 3 4" xfId="27579"/>
    <cellStyle name="Procentowy 3 17 3 5" xfId="27580"/>
    <cellStyle name="Procentowy 3 17 3 6" xfId="27581"/>
    <cellStyle name="Procentowy 3 17 3 7" xfId="27582"/>
    <cellStyle name="Procentowy 3 17 30" xfId="27583"/>
    <cellStyle name="Procentowy 3 17 30 2" xfId="27584"/>
    <cellStyle name="Procentowy 3 17 31" xfId="27585"/>
    <cellStyle name="Procentowy 3 17 31 2" xfId="27586"/>
    <cellStyle name="Procentowy 3 17 32" xfId="27587"/>
    <cellStyle name="Procentowy 3 17 33" xfId="27588"/>
    <cellStyle name="Procentowy 3 17 34" xfId="27589"/>
    <cellStyle name="Procentowy 3 17 35" xfId="27590"/>
    <cellStyle name="Procentowy 3 17 36" xfId="27591"/>
    <cellStyle name="Procentowy 3 17 37" xfId="27592"/>
    <cellStyle name="Procentowy 3 17 38" xfId="27593"/>
    <cellStyle name="Procentowy 3 17 39" xfId="27594"/>
    <cellStyle name="Procentowy 3 17 4" xfId="27595"/>
    <cellStyle name="Procentowy 3 17 4 2" xfId="27596"/>
    <cellStyle name="Procentowy 3 17 4 3" xfId="27597"/>
    <cellStyle name="Procentowy 3 17 4 4" xfId="27598"/>
    <cellStyle name="Procentowy 3 17 4 5" xfId="27599"/>
    <cellStyle name="Procentowy 3 17 4 6" xfId="27600"/>
    <cellStyle name="Procentowy 3 17 4 7" xfId="27601"/>
    <cellStyle name="Procentowy 3 17 40" xfId="27602"/>
    <cellStyle name="Procentowy 3 17 41" xfId="27603"/>
    <cellStyle name="Procentowy 3 17 42" xfId="27604"/>
    <cellStyle name="Procentowy 3 17 43" xfId="27605"/>
    <cellStyle name="Procentowy 3 17 44" xfId="27606"/>
    <cellStyle name="Procentowy 3 17 45" xfId="27607"/>
    <cellStyle name="Procentowy 3 17 46" xfId="27608"/>
    <cellStyle name="Procentowy 3 17 47" xfId="27609"/>
    <cellStyle name="Procentowy 3 17 48" xfId="27610"/>
    <cellStyle name="Procentowy 3 17 49" xfId="27611"/>
    <cellStyle name="Procentowy 3 17 5" xfId="27612"/>
    <cellStyle name="Procentowy 3 17 5 2" xfId="27613"/>
    <cellStyle name="Procentowy 3 17 5 3" xfId="27614"/>
    <cellStyle name="Procentowy 3 17 5 4" xfId="27615"/>
    <cellStyle name="Procentowy 3 17 5 5" xfId="27616"/>
    <cellStyle name="Procentowy 3 17 5 6" xfId="27617"/>
    <cellStyle name="Procentowy 3 17 5 7" xfId="27618"/>
    <cellStyle name="Procentowy 3 17 50" xfId="27619"/>
    <cellStyle name="Procentowy 3 17 51" xfId="27620"/>
    <cellStyle name="Procentowy 3 17 52" xfId="27621"/>
    <cellStyle name="Procentowy 3 17 53" xfId="27622"/>
    <cellStyle name="Procentowy 3 17 54" xfId="27623"/>
    <cellStyle name="Procentowy 3 17 55" xfId="27624"/>
    <cellStyle name="Procentowy 3 17 56" xfId="27625"/>
    <cellStyle name="Procentowy 3 17 57" xfId="27626"/>
    <cellStyle name="Procentowy 3 17 58" xfId="27627"/>
    <cellStyle name="Procentowy 3 17 59" xfId="27628"/>
    <cellStyle name="Procentowy 3 17 6" xfId="27629"/>
    <cellStyle name="Procentowy 3 17 6 2" xfId="27630"/>
    <cellStyle name="Procentowy 3 17 60" xfId="27631"/>
    <cellStyle name="Procentowy 3 17 61" xfId="27632"/>
    <cellStyle name="Procentowy 3 17 62" xfId="27633"/>
    <cellStyle name="Procentowy 3 17 63" xfId="27634"/>
    <cellStyle name="Procentowy 3 17 64" xfId="27635"/>
    <cellStyle name="Procentowy 3 17 65" xfId="27636"/>
    <cellStyle name="Procentowy 3 17 66" xfId="27637"/>
    <cellStyle name="Procentowy 3 17 67" xfId="27638"/>
    <cellStyle name="Procentowy 3 17 68" xfId="27639"/>
    <cellStyle name="Procentowy 3 17 69" xfId="27640"/>
    <cellStyle name="Procentowy 3 17 7" xfId="27641"/>
    <cellStyle name="Procentowy 3 17 7 2" xfId="27642"/>
    <cellStyle name="Procentowy 3 17 70" xfId="27643"/>
    <cellStyle name="Procentowy 3 17 71" xfId="27644"/>
    <cellStyle name="Procentowy 3 17 72" xfId="27645"/>
    <cellStyle name="Procentowy 3 17 73" xfId="27646"/>
    <cellStyle name="Procentowy 3 17 74" xfId="27647"/>
    <cellStyle name="Procentowy 3 17 8" xfId="27648"/>
    <cellStyle name="Procentowy 3 17 8 2" xfId="27649"/>
    <cellStyle name="Procentowy 3 17 9" xfId="27650"/>
    <cellStyle name="Procentowy 3 17 9 2" xfId="27651"/>
    <cellStyle name="Procentowy 3 18" xfId="27652"/>
    <cellStyle name="Procentowy 3 18 10" xfId="27653"/>
    <cellStyle name="Procentowy 3 18 10 2" xfId="27654"/>
    <cellStyle name="Procentowy 3 18 11" xfId="27655"/>
    <cellStyle name="Procentowy 3 18 11 2" xfId="27656"/>
    <cellStyle name="Procentowy 3 18 12" xfId="27657"/>
    <cellStyle name="Procentowy 3 18 12 2" xfId="27658"/>
    <cellStyle name="Procentowy 3 18 13" xfId="27659"/>
    <cellStyle name="Procentowy 3 18 13 2" xfId="27660"/>
    <cellStyle name="Procentowy 3 18 14" xfId="27661"/>
    <cellStyle name="Procentowy 3 18 14 2" xfId="27662"/>
    <cellStyle name="Procentowy 3 18 15" xfId="27663"/>
    <cellStyle name="Procentowy 3 18 15 2" xfId="27664"/>
    <cellStyle name="Procentowy 3 18 16" xfId="27665"/>
    <cellStyle name="Procentowy 3 18 16 2" xfId="27666"/>
    <cellStyle name="Procentowy 3 18 17" xfId="27667"/>
    <cellStyle name="Procentowy 3 18 17 2" xfId="27668"/>
    <cellStyle name="Procentowy 3 18 18" xfId="27669"/>
    <cellStyle name="Procentowy 3 18 18 2" xfId="27670"/>
    <cellStyle name="Procentowy 3 18 19" xfId="27671"/>
    <cellStyle name="Procentowy 3 18 19 2" xfId="27672"/>
    <cellStyle name="Procentowy 3 18 2" xfId="27673"/>
    <cellStyle name="Procentowy 3 18 2 2" xfId="27674"/>
    <cellStyle name="Procentowy 3 18 2 3" xfId="27675"/>
    <cellStyle name="Procentowy 3 18 2 4" xfId="27676"/>
    <cellStyle name="Procentowy 3 18 2 5" xfId="27677"/>
    <cellStyle name="Procentowy 3 18 2 6" xfId="27678"/>
    <cellStyle name="Procentowy 3 18 2 7" xfId="27679"/>
    <cellStyle name="Procentowy 3 18 20" xfId="27680"/>
    <cellStyle name="Procentowy 3 18 20 2" xfId="27681"/>
    <cellStyle name="Procentowy 3 18 21" xfId="27682"/>
    <cellStyle name="Procentowy 3 18 21 2" xfId="27683"/>
    <cellStyle name="Procentowy 3 18 22" xfId="27684"/>
    <cellStyle name="Procentowy 3 18 22 2" xfId="27685"/>
    <cellStyle name="Procentowy 3 18 23" xfId="27686"/>
    <cellStyle name="Procentowy 3 18 23 2" xfId="27687"/>
    <cellStyle name="Procentowy 3 18 24" xfId="27688"/>
    <cellStyle name="Procentowy 3 18 24 2" xfId="27689"/>
    <cellStyle name="Procentowy 3 18 25" xfId="27690"/>
    <cellStyle name="Procentowy 3 18 25 2" xfId="27691"/>
    <cellStyle name="Procentowy 3 18 26" xfId="27692"/>
    <cellStyle name="Procentowy 3 18 26 2" xfId="27693"/>
    <cellStyle name="Procentowy 3 18 27" xfId="27694"/>
    <cellStyle name="Procentowy 3 18 27 2" xfId="27695"/>
    <cellStyle name="Procentowy 3 18 28" xfId="27696"/>
    <cellStyle name="Procentowy 3 18 28 2" xfId="27697"/>
    <cellStyle name="Procentowy 3 18 29" xfId="27698"/>
    <cellStyle name="Procentowy 3 18 29 2" xfId="27699"/>
    <cellStyle name="Procentowy 3 18 3" xfId="27700"/>
    <cellStyle name="Procentowy 3 18 3 2" xfId="27701"/>
    <cellStyle name="Procentowy 3 18 3 3" xfId="27702"/>
    <cellStyle name="Procentowy 3 18 3 4" xfId="27703"/>
    <cellStyle name="Procentowy 3 18 3 5" xfId="27704"/>
    <cellStyle name="Procentowy 3 18 3 6" xfId="27705"/>
    <cellStyle name="Procentowy 3 18 3 7" xfId="27706"/>
    <cellStyle name="Procentowy 3 18 30" xfId="27707"/>
    <cellStyle name="Procentowy 3 18 30 2" xfId="27708"/>
    <cellStyle name="Procentowy 3 18 31" xfId="27709"/>
    <cellStyle name="Procentowy 3 18 31 2" xfId="27710"/>
    <cellStyle name="Procentowy 3 18 32" xfId="27711"/>
    <cellStyle name="Procentowy 3 18 33" xfId="27712"/>
    <cellStyle name="Procentowy 3 18 34" xfId="27713"/>
    <cellStyle name="Procentowy 3 18 35" xfId="27714"/>
    <cellStyle name="Procentowy 3 18 36" xfId="27715"/>
    <cellStyle name="Procentowy 3 18 37" xfId="27716"/>
    <cellStyle name="Procentowy 3 18 38" xfId="27717"/>
    <cellStyle name="Procentowy 3 18 39" xfId="27718"/>
    <cellStyle name="Procentowy 3 18 4" xfId="27719"/>
    <cellStyle name="Procentowy 3 18 4 2" xfId="27720"/>
    <cellStyle name="Procentowy 3 18 4 3" xfId="27721"/>
    <cellStyle name="Procentowy 3 18 4 4" xfId="27722"/>
    <cellStyle name="Procentowy 3 18 4 5" xfId="27723"/>
    <cellStyle name="Procentowy 3 18 4 6" xfId="27724"/>
    <cellStyle name="Procentowy 3 18 4 7" xfId="27725"/>
    <cellStyle name="Procentowy 3 18 40" xfId="27726"/>
    <cellStyle name="Procentowy 3 18 41" xfId="27727"/>
    <cellStyle name="Procentowy 3 18 42" xfId="27728"/>
    <cellStyle name="Procentowy 3 18 43" xfId="27729"/>
    <cellStyle name="Procentowy 3 18 44" xfId="27730"/>
    <cellStyle name="Procentowy 3 18 45" xfId="27731"/>
    <cellStyle name="Procentowy 3 18 46" xfId="27732"/>
    <cellStyle name="Procentowy 3 18 47" xfId="27733"/>
    <cellStyle name="Procentowy 3 18 48" xfId="27734"/>
    <cellStyle name="Procentowy 3 18 49" xfId="27735"/>
    <cellStyle name="Procentowy 3 18 5" xfId="27736"/>
    <cellStyle name="Procentowy 3 18 5 2" xfId="27737"/>
    <cellStyle name="Procentowy 3 18 5 3" xfId="27738"/>
    <cellStyle name="Procentowy 3 18 5 4" xfId="27739"/>
    <cellStyle name="Procentowy 3 18 5 5" xfId="27740"/>
    <cellStyle name="Procentowy 3 18 5 6" xfId="27741"/>
    <cellStyle name="Procentowy 3 18 5 7" xfId="27742"/>
    <cellStyle name="Procentowy 3 18 50" xfId="27743"/>
    <cellStyle name="Procentowy 3 18 51" xfId="27744"/>
    <cellStyle name="Procentowy 3 18 52" xfId="27745"/>
    <cellStyle name="Procentowy 3 18 53" xfId="27746"/>
    <cellStyle name="Procentowy 3 18 54" xfId="27747"/>
    <cellStyle name="Procentowy 3 18 55" xfId="27748"/>
    <cellStyle name="Procentowy 3 18 56" xfId="27749"/>
    <cellStyle name="Procentowy 3 18 57" xfId="27750"/>
    <cellStyle name="Procentowy 3 18 58" xfId="27751"/>
    <cellStyle name="Procentowy 3 18 59" xfId="27752"/>
    <cellStyle name="Procentowy 3 18 6" xfId="27753"/>
    <cellStyle name="Procentowy 3 18 6 2" xfId="27754"/>
    <cellStyle name="Procentowy 3 18 60" xfId="27755"/>
    <cellStyle name="Procentowy 3 18 61" xfId="27756"/>
    <cellStyle name="Procentowy 3 18 62" xfId="27757"/>
    <cellStyle name="Procentowy 3 18 63" xfId="27758"/>
    <cellStyle name="Procentowy 3 18 64" xfId="27759"/>
    <cellStyle name="Procentowy 3 18 65" xfId="27760"/>
    <cellStyle name="Procentowy 3 18 66" xfId="27761"/>
    <cellStyle name="Procentowy 3 18 67" xfId="27762"/>
    <cellStyle name="Procentowy 3 18 68" xfId="27763"/>
    <cellStyle name="Procentowy 3 18 69" xfId="27764"/>
    <cellStyle name="Procentowy 3 18 7" xfId="27765"/>
    <cellStyle name="Procentowy 3 18 7 2" xfId="27766"/>
    <cellStyle name="Procentowy 3 18 70" xfId="27767"/>
    <cellStyle name="Procentowy 3 18 71" xfId="27768"/>
    <cellStyle name="Procentowy 3 18 72" xfId="27769"/>
    <cellStyle name="Procentowy 3 18 73" xfId="27770"/>
    <cellStyle name="Procentowy 3 18 74" xfId="27771"/>
    <cellStyle name="Procentowy 3 18 8" xfId="27772"/>
    <cellStyle name="Procentowy 3 18 8 2" xfId="27773"/>
    <cellStyle name="Procentowy 3 18 9" xfId="27774"/>
    <cellStyle name="Procentowy 3 18 9 2" xfId="27775"/>
    <cellStyle name="Procentowy 3 19" xfId="27776"/>
    <cellStyle name="Procentowy 3 19 10" xfId="27777"/>
    <cellStyle name="Procentowy 3 19 10 2" xfId="27778"/>
    <cellStyle name="Procentowy 3 19 11" xfId="27779"/>
    <cellStyle name="Procentowy 3 19 11 2" xfId="27780"/>
    <cellStyle name="Procentowy 3 19 12" xfId="27781"/>
    <cellStyle name="Procentowy 3 19 12 2" xfId="27782"/>
    <cellStyle name="Procentowy 3 19 13" xfId="27783"/>
    <cellStyle name="Procentowy 3 19 13 2" xfId="27784"/>
    <cellStyle name="Procentowy 3 19 14" xfId="27785"/>
    <cellStyle name="Procentowy 3 19 14 2" xfId="27786"/>
    <cellStyle name="Procentowy 3 19 15" xfId="27787"/>
    <cellStyle name="Procentowy 3 19 15 2" xfId="27788"/>
    <cellStyle name="Procentowy 3 19 16" xfId="27789"/>
    <cellStyle name="Procentowy 3 19 16 2" xfId="27790"/>
    <cellStyle name="Procentowy 3 19 17" xfId="27791"/>
    <cellStyle name="Procentowy 3 19 17 2" xfId="27792"/>
    <cellStyle name="Procentowy 3 19 18" xfId="27793"/>
    <cellStyle name="Procentowy 3 19 18 2" xfId="27794"/>
    <cellStyle name="Procentowy 3 19 19" xfId="27795"/>
    <cellStyle name="Procentowy 3 19 19 2" xfId="27796"/>
    <cellStyle name="Procentowy 3 19 2" xfId="27797"/>
    <cellStyle name="Procentowy 3 19 2 2" xfId="27798"/>
    <cellStyle name="Procentowy 3 19 2 3" xfId="27799"/>
    <cellStyle name="Procentowy 3 19 2 4" xfId="27800"/>
    <cellStyle name="Procentowy 3 19 2 5" xfId="27801"/>
    <cellStyle name="Procentowy 3 19 2 6" xfId="27802"/>
    <cellStyle name="Procentowy 3 19 2 7" xfId="27803"/>
    <cellStyle name="Procentowy 3 19 20" xfId="27804"/>
    <cellStyle name="Procentowy 3 19 20 2" xfId="27805"/>
    <cellStyle name="Procentowy 3 19 21" xfId="27806"/>
    <cellStyle name="Procentowy 3 19 21 2" xfId="27807"/>
    <cellStyle name="Procentowy 3 19 22" xfId="27808"/>
    <cellStyle name="Procentowy 3 19 22 2" xfId="27809"/>
    <cellStyle name="Procentowy 3 19 23" xfId="27810"/>
    <cellStyle name="Procentowy 3 19 23 2" xfId="27811"/>
    <cellStyle name="Procentowy 3 19 24" xfId="27812"/>
    <cellStyle name="Procentowy 3 19 24 2" xfId="27813"/>
    <cellStyle name="Procentowy 3 19 25" xfId="27814"/>
    <cellStyle name="Procentowy 3 19 25 2" xfId="27815"/>
    <cellStyle name="Procentowy 3 19 26" xfId="27816"/>
    <cellStyle name="Procentowy 3 19 26 2" xfId="27817"/>
    <cellStyle name="Procentowy 3 19 27" xfId="27818"/>
    <cellStyle name="Procentowy 3 19 27 2" xfId="27819"/>
    <cellStyle name="Procentowy 3 19 28" xfId="27820"/>
    <cellStyle name="Procentowy 3 19 28 2" xfId="27821"/>
    <cellStyle name="Procentowy 3 19 29" xfId="27822"/>
    <cellStyle name="Procentowy 3 19 29 2" xfId="27823"/>
    <cellStyle name="Procentowy 3 19 3" xfId="27824"/>
    <cellStyle name="Procentowy 3 19 3 2" xfId="27825"/>
    <cellStyle name="Procentowy 3 19 3 3" xfId="27826"/>
    <cellStyle name="Procentowy 3 19 3 4" xfId="27827"/>
    <cellStyle name="Procentowy 3 19 3 5" xfId="27828"/>
    <cellStyle name="Procentowy 3 19 3 6" xfId="27829"/>
    <cellStyle name="Procentowy 3 19 3 7" xfId="27830"/>
    <cellStyle name="Procentowy 3 19 30" xfId="27831"/>
    <cellStyle name="Procentowy 3 19 30 2" xfId="27832"/>
    <cellStyle name="Procentowy 3 19 31" xfId="27833"/>
    <cellStyle name="Procentowy 3 19 31 2" xfId="27834"/>
    <cellStyle name="Procentowy 3 19 32" xfId="27835"/>
    <cellStyle name="Procentowy 3 19 33" xfId="27836"/>
    <cellStyle name="Procentowy 3 19 34" xfId="27837"/>
    <cellStyle name="Procentowy 3 19 35" xfId="27838"/>
    <cellStyle name="Procentowy 3 19 36" xfId="27839"/>
    <cellStyle name="Procentowy 3 19 37" xfId="27840"/>
    <cellStyle name="Procentowy 3 19 38" xfId="27841"/>
    <cellStyle name="Procentowy 3 19 39" xfId="27842"/>
    <cellStyle name="Procentowy 3 19 4" xfId="27843"/>
    <cellStyle name="Procentowy 3 19 4 2" xfId="27844"/>
    <cellStyle name="Procentowy 3 19 4 3" xfId="27845"/>
    <cellStyle name="Procentowy 3 19 4 4" xfId="27846"/>
    <cellStyle name="Procentowy 3 19 4 5" xfId="27847"/>
    <cellStyle name="Procentowy 3 19 4 6" xfId="27848"/>
    <cellStyle name="Procentowy 3 19 4 7" xfId="27849"/>
    <cellStyle name="Procentowy 3 19 40" xfId="27850"/>
    <cellStyle name="Procentowy 3 19 41" xfId="27851"/>
    <cellStyle name="Procentowy 3 19 42" xfId="27852"/>
    <cellStyle name="Procentowy 3 19 43" xfId="27853"/>
    <cellStyle name="Procentowy 3 19 44" xfId="27854"/>
    <cellStyle name="Procentowy 3 19 45" xfId="27855"/>
    <cellStyle name="Procentowy 3 19 46" xfId="27856"/>
    <cellStyle name="Procentowy 3 19 47" xfId="27857"/>
    <cellStyle name="Procentowy 3 19 48" xfId="27858"/>
    <cellStyle name="Procentowy 3 19 49" xfId="27859"/>
    <cellStyle name="Procentowy 3 19 5" xfId="27860"/>
    <cellStyle name="Procentowy 3 19 5 2" xfId="27861"/>
    <cellStyle name="Procentowy 3 19 5 3" xfId="27862"/>
    <cellStyle name="Procentowy 3 19 5 4" xfId="27863"/>
    <cellStyle name="Procentowy 3 19 5 5" xfId="27864"/>
    <cellStyle name="Procentowy 3 19 5 6" xfId="27865"/>
    <cellStyle name="Procentowy 3 19 5 7" xfId="27866"/>
    <cellStyle name="Procentowy 3 19 50" xfId="27867"/>
    <cellStyle name="Procentowy 3 19 51" xfId="27868"/>
    <cellStyle name="Procentowy 3 19 52" xfId="27869"/>
    <cellStyle name="Procentowy 3 19 53" xfId="27870"/>
    <cellStyle name="Procentowy 3 19 54" xfId="27871"/>
    <cellStyle name="Procentowy 3 19 55" xfId="27872"/>
    <cellStyle name="Procentowy 3 19 56" xfId="27873"/>
    <cellStyle name="Procentowy 3 19 57" xfId="27874"/>
    <cellStyle name="Procentowy 3 19 58" xfId="27875"/>
    <cellStyle name="Procentowy 3 19 59" xfId="27876"/>
    <cellStyle name="Procentowy 3 19 6" xfId="27877"/>
    <cellStyle name="Procentowy 3 19 6 2" xfId="27878"/>
    <cellStyle name="Procentowy 3 19 60" xfId="27879"/>
    <cellStyle name="Procentowy 3 19 61" xfId="27880"/>
    <cellStyle name="Procentowy 3 19 62" xfId="27881"/>
    <cellStyle name="Procentowy 3 19 63" xfId="27882"/>
    <cellStyle name="Procentowy 3 19 64" xfId="27883"/>
    <cellStyle name="Procentowy 3 19 65" xfId="27884"/>
    <cellStyle name="Procentowy 3 19 66" xfId="27885"/>
    <cellStyle name="Procentowy 3 19 67" xfId="27886"/>
    <cellStyle name="Procentowy 3 19 68" xfId="27887"/>
    <cellStyle name="Procentowy 3 19 69" xfId="27888"/>
    <cellStyle name="Procentowy 3 19 7" xfId="27889"/>
    <cellStyle name="Procentowy 3 19 7 2" xfId="27890"/>
    <cellStyle name="Procentowy 3 19 70" xfId="27891"/>
    <cellStyle name="Procentowy 3 19 71" xfId="27892"/>
    <cellStyle name="Procentowy 3 19 72" xfId="27893"/>
    <cellStyle name="Procentowy 3 19 73" xfId="27894"/>
    <cellStyle name="Procentowy 3 19 74" xfId="27895"/>
    <cellStyle name="Procentowy 3 19 8" xfId="27896"/>
    <cellStyle name="Procentowy 3 19 8 2" xfId="27897"/>
    <cellStyle name="Procentowy 3 19 9" xfId="27898"/>
    <cellStyle name="Procentowy 3 19 9 2" xfId="27899"/>
    <cellStyle name="Procentowy 3 2" xfId="27900"/>
    <cellStyle name="Procentowy 3 2 10" xfId="27901"/>
    <cellStyle name="Procentowy 3 2 10 2" xfId="27902"/>
    <cellStyle name="Procentowy 3 2 11" xfId="27903"/>
    <cellStyle name="Procentowy 3 2 11 2" xfId="27904"/>
    <cellStyle name="Procentowy 3 2 12" xfId="27905"/>
    <cellStyle name="Procentowy 3 2 12 2" xfId="27906"/>
    <cellStyle name="Procentowy 3 2 13" xfId="27907"/>
    <cellStyle name="Procentowy 3 2 13 2" xfId="27908"/>
    <cellStyle name="Procentowy 3 2 14" xfId="27909"/>
    <cellStyle name="Procentowy 3 2 14 2" xfId="27910"/>
    <cellStyle name="Procentowy 3 2 15" xfId="27911"/>
    <cellStyle name="Procentowy 3 2 15 2" xfId="27912"/>
    <cellStyle name="Procentowy 3 2 16" xfId="27913"/>
    <cellStyle name="Procentowy 3 2 16 2" xfId="27914"/>
    <cellStyle name="Procentowy 3 2 17" xfId="27915"/>
    <cellStyle name="Procentowy 3 2 17 2" xfId="27916"/>
    <cellStyle name="Procentowy 3 2 18" xfId="27917"/>
    <cellStyle name="Procentowy 3 2 18 2" xfId="27918"/>
    <cellStyle name="Procentowy 3 2 19" xfId="27919"/>
    <cellStyle name="Procentowy 3 2 19 2" xfId="27920"/>
    <cellStyle name="Procentowy 3 2 2" xfId="27921"/>
    <cellStyle name="Procentowy 3 2 2 2" xfId="27922"/>
    <cellStyle name="Procentowy 3 2 2 2 2" xfId="27923"/>
    <cellStyle name="Procentowy 3 2 2 3" xfId="27924"/>
    <cellStyle name="Procentowy 3 2 2 4" xfId="27925"/>
    <cellStyle name="Procentowy 3 2 2 5" xfId="27926"/>
    <cellStyle name="Procentowy 3 2 2 6" xfId="27927"/>
    <cellStyle name="Procentowy 3 2 2 7" xfId="27928"/>
    <cellStyle name="Procentowy 3 2 2 8" xfId="27929"/>
    <cellStyle name="Procentowy 3 2 20" xfId="27930"/>
    <cellStyle name="Procentowy 3 2 20 2" xfId="27931"/>
    <cellStyle name="Procentowy 3 2 21" xfId="27932"/>
    <cellStyle name="Procentowy 3 2 21 2" xfId="27933"/>
    <cellStyle name="Procentowy 3 2 22" xfId="27934"/>
    <cellStyle name="Procentowy 3 2 22 2" xfId="27935"/>
    <cellStyle name="Procentowy 3 2 23" xfId="27936"/>
    <cellStyle name="Procentowy 3 2 23 2" xfId="27937"/>
    <cellStyle name="Procentowy 3 2 24" xfId="27938"/>
    <cellStyle name="Procentowy 3 2 24 2" xfId="27939"/>
    <cellStyle name="Procentowy 3 2 25" xfId="27940"/>
    <cellStyle name="Procentowy 3 2 25 2" xfId="27941"/>
    <cellStyle name="Procentowy 3 2 26" xfId="27942"/>
    <cellStyle name="Procentowy 3 2 26 2" xfId="27943"/>
    <cellStyle name="Procentowy 3 2 27" xfId="27944"/>
    <cellStyle name="Procentowy 3 2 27 2" xfId="27945"/>
    <cellStyle name="Procentowy 3 2 28" xfId="27946"/>
    <cellStyle name="Procentowy 3 2 28 2" xfId="27947"/>
    <cellStyle name="Procentowy 3 2 29" xfId="27948"/>
    <cellStyle name="Procentowy 3 2 29 2" xfId="27949"/>
    <cellStyle name="Procentowy 3 2 3" xfId="27950"/>
    <cellStyle name="Procentowy 3 2 3 2" xfId="27951"/>
    <cellStyle name="Procentowy 3 2 3 2 2" xfId="27952"/>
    <cellStyle name="Procentowy 3 2 3 3" xfId="27953"/>
    <cellStyle name="Procentowy 3 2 3 4" xfId="27954"/>
    <cellStyle name="Procentowy 3 2 3 5" xfId="27955"/>
    <cellStyle name="Procentowy 3 2 3 6" xfId="27956"/>
    <cellStyle name="Procentowy 3 2 3 7" xfId="27957"/>
    <cellStyle name="Procentowy 3 2 3 8" xfId="27958"/>
    <cellStyle name="Procentowy 3 2 30" xfId="27959"/>
    <cellStyle name="Procentowy 3 2 30 2" xfId="27960"/>
    <cellStyle name="Procentowy 3 2 31" xfId="27961"/>
    <cellStyle name="Procentowy 3 2 31 2" xfId="27962"/>
    <cellStyle name="Procentowy 3 2 32" xfId="27963"/>
    <cellStyle name="Procentowy 3 2 33" xfId="27964"/>
    <cellStyle name="Procentowy 3 2 34" xfId="27965"/>
    <cellStyle name="Procentowy 3 2 35" xfId="27966"/>
    <cellStyle name="Procentowy 3 2 36" xfId="27967"/>
    <cellStyle name="Procentowy 3 2 37" xfId="27968"/>
    <cellStyle name="Procentowy 3 2 38" xfId="27969"/>
    <cellStyle name="Procentowy 3 2 39" xfId="27970"/>
    <cellStyle name="Procentowy 3 2 4" xfId="27971"/>
    <cellStyle name="Procentowy 3 2 4 2" xfId="27972"/>
    <cellStyle name="Procentowy 3 2 4 2 2" xfId="27973"/>
    <cellStyle name="Procentowy 3 2 4 3" xfId="27974"/>
    <cellStyle name="Procentowy 3 2 4 4" xfId="27975"/>
    <cellStyle name="Procentowy 3 2 4 5" xfId="27976"/>
    <cellStyle name="Procentowy 3 2 4 6" xfId="27977"/>
    <cellStyle name="Procentowy 3 2 4 7" xfId="27978"/>
    <cellStyle name="Procentowy 3 2 4 8" xfId="27979"/>
    <cellStyle name="Procentowy 3 2 40" xfId="27980"/>
    <cellStyle name="Procentowy 3 2 41" xfId="27981"/>
    <cellStyle name="Procentowy 3 2 42" xfId="27982"/>
    <cellStyle name="Procentowy 3 2 43" xfId="27983"/>
    <cellStyle name="Procentowy 3 2 44" xfId="27984"/>
    <cellStyle name="Procentowy 3 2 45" xfId="27985"/>
    <cellStyle name="Procentowy 3 2 46" xfId="27986"/>
    <cellStyle name="Procentowy 3 2 47" xfId="27987"/>
    <cellStyle name="Procentowy 3 2 48" xfId="27988"/>
    <cellStyle name="Procentowy 3 2 49" xfId="27989"/>
    <cellStyle name="Procentowy 3 2 5" xfId="27990"/>
    <cellStyle name="Procentowy 3 2 5 2" xfId="27991"/>
    <cellStyle name="Procentowy 3 2 5 2 2" xfId="27992"/>
    <cellStyle name="Procentowy 3 2 5 3" xfId="27993"/>
    <cellStyle name="Procentowy 3 2 5 4" xfId="27994"/>
    <cellStyle name="Procentowy 3 2 5 5" xfId="27995"/>
    <cellStyle name="Procentowy 3 2 5 6" xfId="27996"/>
    <cellStyle name="Procentowy 3 2 5 7" xfId="27997"/>
    <cellStyle name="Procentowy 3 2 5 8" xfId="27998"/>
    <cellStyle name="Procentowy 3 2 50" xfId="27999"/>
    <cellStyle name="Procentowy 3 2 51" xfId="28000"/>
    <cellStyle name="Procentowy 3 2 52" xfId="28001"/>
    <cellStyle name="Procentowy 3 2 53" xfId="28002"/>
    <cellStyle name="Procentowy 3 2 54" xfId="28003"/>
    <cellStyle name="Procentowy 3 2 55" xfId="28004"/>
    <cellStyle name="Procentowy 3 2 56" xfId="28005"/>
    <cellStyle name="Procentowy 3 2 57" xfId="28006"/>
    <cellStyle name="Procentowy 3 2 58" xfId="28007"/>
    <cellStyle name="Procentowy 3 2 59" xfId="28008"/>
    <cellStyle name="Procentowy 3 2 6" xfId="28009"/>
    <cellStyle name="Procentowy 3 2 6 2" xfId="28010"/>
    <cellStyle name="Procentowy 3 2 6 3" xfId="28011"/>
    <cellStyle name="Procentowy 3 2 60" xfId="28012"/>
    <cellStyle name="Procentowy 3 2 61" xfId="28013"/>
    <cellStyle name="Procentowy 3 2 62" xfId="28014"/>
    <cellStyle name="Procentowy 3 2 63" xfId="28015"/>
    <cellStyle name="Procentowy 3 2 64" xfId="28016"/>
    <cellStyle name="Procentowy 3 2 65" xfId="28017"/>
    <cellStyle name="Procentowy 3 2 66" xfId="28018"/>
    <cellStyle name="Procentowy 3 2 67" xfId="28019"/>
    <cellStyle name="Procentowy 3 2 68" xfId="28020"/>
    <cellStyle name="Procentowy 3 2 69" xfId="28021"/>
    <cellStyle name="Procentowy 3 2 7" xfId="28022"/>
    <cellStyle name="Procentowy 3 2 7 2" xfId="28023"/>
    <cellStyle name="Procentowy 3 2 70" xfId="28024"/>
    <cellStyle name="Procentowy 3 2 71" xfId="28025"/>
    <cellStyle name="Procentowy 3 2 72" xfId="28026"/>
    <cellStyle name="Procentowy 3 2 73" xfId="28027"/>
    <cellStyle name="Procentowy 3 2 74" xfId="28028"/>
    <cellStyle name="Procentowy 3 2 75" xfId="28029"/>
    <cellStyle name="Procentowy 3 2 8" xfId="28030"/>
    <cellStyle name="Procentowy 3 2 8 2" xfId="28031"/>
    <cellStyle name="Procentowy 3 2 9" xfId="28032"/>
    <cellStyle name="Procentowy 3 2 9 2" xfId="28033"/>
    <cellStyle name="Procentowy 3 20" xfId="28034"/>
    <cellStyle name="Procentowy 3 20 10" xfId="28035"/>
    <cellStyle name="Procentowy 3 20 10 2" xfId="28036"/>
    <cellStyle name="Procentowy 3 20 11" xfId="28037"/>
    <cellStyle name="Procentowy 3 20 11 2" xfId="28038"/>
    <cellStyle name="Procentowy 3 20 12" xfId="28039"/>
    <cellStyle name="Procentowy 3 20 12 2" xfId="28040"/>
    <cellStyle name="Procentowy 3 20 13" xfId="28041"/>
    <cellStyle name="Procentowy 3 20 13 2" xfId="28042"/>
    <cellStyle name="Procentowy 3 20 14" xfId="28043"/>
    <cellStyle name="Procentowy 3 20 14 2" xfId="28044"/>
    <cellStyle name="Procentowy 3 20 15" xfId="28045"/>
    <cellStyle name="Procentowy 3 20 15 2" xfId="28046"/>
    <cellStyle name="Procentowy 3 20 16" xfId="28047"/>
    <cellStyle name="Procentowy 3 20 16 2" xfId="28048"/>
    <cellStyle name="Procentowy 3 20 17" xfId="28049"/>
    <cellStyle name="Procentowy 3 20 17 2" xfId="28050"/>
    <cellStyle name="Procentowy 3 20 18" xfId="28051"/>
    <cellStyle name="Procentowy 3 20 18 2" xfId="28052"/>
    <cellStyle name="Procentowy 3 20 19" xfId="28053"/>
    <cellStyle name="Procentowy 3 20 19 2" xfId="28054"/>
    <cellStyle name="Procentowy 3 20 2" xfId="28055"/>
    <cellStyle name="Procentowy 3 20 2 2" xfId="28056"/>
    <cellStyle name="Procentowy 3 20 2 3" xfId="28057"/>
    <cellStyle name="Procentowy 3 20 2 4" xfId="28058"/>
    <cellStyle name="Procentowy 3 20 2 5" xfId="28059"/>
    <cellStyle name="Procentowy 3 20 2 6" xfId="28060"/>
    <cellStyle name="Procentowy 3 20 2 7" xfId="28061"/>
    <cellStyle name="Procentowy 3 20 20" xfId="28062"/>
    <cellStyle name="Procentowy 3 20 20 2" xfId="28063"/>
    <cellStyle name="Procentowy 3 20 21" xfId="28064"/>
    <cellStyle name="Procentowy 3 20 21 2" xfId="28065"/>
    <cellStyle name="Procentowy 3 20 22" xfId="28066"/>
    <cellStyle name="Procentowy 3 20 22 2" xfId="28067"/>
    <cellStyle name="Procentowy 3 20 23" xfId="28068"/>
    <cellStyle name="Procentowy 3 20 23 2" xfId="28069"/>
    <cellStyle name="Procentowy 3 20 24" xfId="28070"/>
    <cellStyle name="Procentowy 3 20 24 2" xfId="28071"/>
    <cellStyle name="Procentowy 3 20 25" xfId="28072"/>
    <cellStyle name="Procentowy 3 20 25 2" xfId="28073"/>
    <cellStyle name="Procentowy 3 20 26" xfId="28074"/>
    <cellStyle name="Procentowy 3 20 26 2" xfId="28075"/>
    <cellStyle name="Procentowy 3 20 27" xfId="28076"/>
    <cellStyle name="Procentowy 3 20 27 2" xfId="28077"/>
    <cellStyle name="Procentowy 3 20 28" xfId="28078"/>
    <cellStyle name="Procentowy 3 20 28 2" xfId="28079"/>
    <cellStyle name="Procentowy 3 20 29" xfId="28080"/>
    <cellStyle name="Procentowy 3 20 29 2" xfId="28081"/>
    <cellStyle name="Procentowy 3 20 3" xfId="28082"/>
    <cellStyle name="Procentowy 3 20 3 2" xfId="28083"/>
    <cellStyle name="Procentowy 3 20 3 3" xfId="28084"/>
    <cellStyle name="Procentowy 3 20 3 4" xfId="28085"/>
    <cellStyle name="Procentowy 3 20 3 5" xfId="28086"/>
    <cellStyle name="Procentowy 3 20 3 6" xfId="28087"/>
    <cellStyle name="Procentowy 3 20 3 7" xfId="28088"/>
    <cellStyle name="Procentowy 3 20 30" xfId="28089"/>
    <cellStyle name="Procentowy 3 20 30 2" xfId="28090"/>
    <cellStyle name="Procentowy 3 20 31" xfId="28091"/>
    <cellStyle name="Procentowy 3 20 31 2" xfId="28092"/>
    <cellStyle name="Procentowy 3 20 32" xfId="28093"/>
    <cellStyle name="Procentowy 3 20 33" xfId="28094"/>
    <cellStyle name="Procentowy 3 20 34" xfId="28095"/>
    <cellStyle name="Procentowy 3 20 35" xfId="28096"/>
    <cellStyle name="Procentowy 3 20 36" xfId="28097"/>
    <cellStyle name="Procentowy 3 20 37" xfId="28098"/>
    <cellStyle name="Procentowy 3 20 38" xfId="28099"/>
    <cellStyle name="Procentowy 3 20 39" xfId="28100"/>
    <cellStyle name="Procentowy 3 20 4" xfId="28101"/>
    <cellStyle name="Procentowy 3 20 4 2" xfId="28102"/>
    <cellStyle name="Procentowy 3 20 4 3" xfId="28103"/>
    <cellStyle name="Procentowy 3 20 4 4" xfId="28104"/>
    <cellStyle name="Procentowy 3 20 4 5" xfId="28105"/>
    <cellStyle name="Procentowy 3 20 4 6" xfId="28106"/>
    <cellStyle name="Procentowy 3 20 4 7" xfId="28107"/>
    <cellStyle name="Procentowy 3 20 40" xfId="28108"/>
    <cellStyle name="Procentowy 3 20 41" xfId="28109"/>
    <cellStyle name="Procentowy 3 20 42" xfId="28110"/>
    <cellStyle name="Procentowy 3 20 43" xfId="28111"/>
    <cellStyle name="Procentowy 3 20 44" xfId="28112"/>
    <cellStyle name="Procentowy 3 20 45" xfId="28113"/>
    <cellStyle name="Procentowy 3 20 46" xfId="28114"/>
    <cellStyle name="Procentowy 3 20 47" xfId="28115"/>
    <cellStyle name="Procentowy 3 20 48" xfId="28116"/>
    <cellStyle name="Procentowy 3 20 49" xfId="28117"/>
    <cellStyle name="Procentowy 3 20 5" xfId="28118"/>
    <cellStyle name="Procentowy 3 20 5 2" xfId="28119"/>
    <cellStyle name="Procentowy 3 20 5 3" xfId="28120"/>
    <cellStyle name="Procentowy 3 20 5 4" xfId="28121"/>
    <cellStyle name="Procentowy 3 20 5 5" xfId="28122"/>
    <cellStyle name="Procentowy 3 20 5 6" xfId="28123"/>
    <cellStyle name="Procentowy 3 20 5 7" xfId="28124"/>
    <cellStyle name="Procentowy 3 20 50" xfId="28125"/>
    <cellStyle name="Procentowy 3 20 51" xfId="28126"/>
    <cellStyle name="Procentowy 3 20 52" xfId="28127"/>
    <cellStyle name="Procentowy 3 20 53" xfId="28128"/>
    <cellStyle name="Procentowy 3 20 54" xfId="28129"/>
    <cellStyle name="Procentowy 3 20 55" xfId="28130"/>
    <cellStyle name="Procentowy 3 20 56" xfId="28131"/>
    <cellStyle name="Procentowy 3 20 57" xfId="28132"/>
    <cellStyle name="Procentowy 3 20 58" xfId="28133"/>
    <cellStyle name="Procentowy 3 20 59" xfId="28134"/>
    <cellStyle name="Procentowy 3 20 6" xfId="28135"/>
    <cellStyle name="Procentowy 3 20 6 2" xfId="28136"/>
    <cellStyle name="Procentowy 3 20 60" xfId="28137"/>
    <cellStyle name="Procentowy 3 20 61" xfId="28138"/>
    <cellStyle name="Procentowy 3 20 62" xfId="28139"/>
    <cellStyle name="Procentowy 3 20 63" xfId="28140"/>
    <cellStyle name="Procentowy 3 20 64" xfId="28141"/>
    <cellStyle name="Procentowy 3 20 65" xfId="28142"/>
    <cellStyle name="Procentowy 3 20 66" xfId="28143"/>
    <cellStyle name="Procentowy 3 20 67" xfId="28144"/>
    <cellStyle name="Procentowy 3 20 68" xfId="28145"/>
    <cellStyle name="Procentowy 3 20 69" xfId="28146"/>
    <cellStyle name="Procentowy 3 20 7" xfId="28147"/>
    <cellStyle name="Procentowy 3 20 7 2" xfId="28148"/>
    <cellStyle name="Procentowy 3 20 70" xfId="28149"/>
    <cellStyle name="Procentowy 3 20 71" xfId="28150"/>
    <cellStyle name="Procentowy 3 20 72" xfId="28151"/>
    <cellStyle name="Procentowy 3 20 73" xfId="28152"/>
    <cellStyle name="Procentowy 3 20 74" xfId="28153"/>
    <cellStyle name="Procentowy 3 20 8" xfId="28154"/>
    <cellStyle name="Procentowy 3 20 8 2" xfId="28155"/>
    <cellStyle name="Procentowy 3 20 9" xfId="28156"/>
    <cellStyle name="Procentowy 3 20 9 2" xfId="28157"/>
    <cellStyle name="Procentowy 3 21" xfId="28158"/>
    <cellStyle name="Procentowy 3 21 10" xfId="28159"/>
    <cellStyle name="Procentowy 3 21 10 2" xfId="28160"/>
    <cellStyle name="Procentowy 3 21 11" xfId="28161"/>
    <cellStyle name="Procentowy 3 21 11 2" xfId="28162"/>
    <cellStyle name="Procentowy 3 21 12" xfId="28163"/>
    <cellStyle name="Procentowy 3 21 12 2" xfId="28164"/>
    <cellStyle name="Procentowy 3 21 13" xfId="28165"/>
    <cellStyle name="Procentowy 3 21 13 2" xfId="28166"/>
    <cellStyle name="Procentowy 3 21 14" xfId="28167"/>
    <cellStyle name="Procentowy 3 21 14 2" xfId="28168"/>
    <cellStyle name="Procentowy 3 21 15" xfId="28169"/>
    <cellStyle name="Procentowy 3 21 15 2" xfId="28170"/>
    <cellStyle name="Procentowy 3 21 16" xfId="28171"/>
    <cellStyle name="Procentowy 3 21 16 2" xfId="28172"/>
    <cellStyle name="Procentowy 3 21 17" xfId="28173"/>
    <cellStyle name="Procentowy 3 21 17 2" xfId="28174"/>
    <cellStyle name="Procentowy 3 21 18" xfId="28175"/>
    <cellStyle name="Procentowy 3 21 18 2" xfId="28176"/>
    <cellStyle name="Procentowy 3 21 19" xfId="28177"/>
    <cellStyle name="Procentowy 3 21 19 2" xfId="28178"/>
    <cellStyle name="Procentowy 3 21 2" xfId="28179"/>
    <cellStyle name="Procentowy 3 21 2 2" xfId="28180"/>
    <cellStyle name="Procentowy 3 21 2 3" xfId="28181"/>
    <cellStyle name="Procentowy 3 21 2 4" xfId="28182"/>
    <cellStyle name="Procentowy 3 21 2 5" xfId="28183"/>
    <cellStyle name="Procentowy 3 21 2 6" xfId="28184"/>
    <cellStyle name="Procentowy 3 21 2 7" xfId="28185"/>
    <cellStyle name="Procentowy 3 21 20" xfId="28186"/>
    <cellStyle name="Procentowy 3 21 20 2" xfId="28187"/>
    <cellStyle name="Procentowy 3 21 21" xfId="28188"/>
    <cellStyle name="Procentowy 3 21 21 2" xfId="28189"/>
    <cellStyle name="Procentowy 3 21 22" xfId="28190"/>
    <cellStyle name="Procentowy 3 21 22 2" xfId="28191"/>
    <cellStyle name="Procentowy 3 21 23" xfId="28192"/>
    <cellStyle name="Procentowy 3 21 23 2" xfId="28193"/>
    <cellStyle name="Procentowy 3 21 24" xfId="28194"/>
    <cellStyle name="Procentowy 3 21 24 2" xfId="28195"/>
    <cellStyle name="Procentowy 3 21 25" xfId="28196"/>
    <cellStyle name="Procentowy 3 21 25 2" xfId="28197"/>
    <cellStyle name="Procentowy 3 21 26" xfId="28198"/>
    <cellStyle name="Procentowy 3 21 26 2" xfId="28199"/>
    <cellStyle name="Procentowy 3 21 27" xfId="28200"/>
    <cellStyle name="Procentowy 3 21 27 2" xfId="28201"/>
    <cellStyle name="Procentowy 3 21 28" xfId="28202"/>
    <cellStyle name="Procentowy 3 21 28 2" xfId="28203"/>
    <cellStyle name="Procentowy 3 21 29" xfId="28204"/>
    <cellStyle name="Procentowy 3 21 29 2" xfId="28205"/>
    <cellStyle name="Procentowy 3 21 3" xfId="28206"/>
    <cellStyle name="Procentowy 3 21 3 2" xfId="28207"/>
    <cellStyle name="Procentowy 3 21 3 3" xfId="28208"/>
    <cellStyle name="Procentowy 3 21 3 4" xfId="28209"/>
    <cellStyle name="Procentowy 3 21 3 5" xfId="28210"/>
    <cellStyle name="Procentowy 3 21 3 6" xfId="28211"/>
    <cellStyle name="Procentowy 3 21 3 7" xfId="28212"/>
    <cellStyle name="Procentowy 3 21 30" xfId="28213"/>
    <cellStyle name="Procentowy 3 21 30 2" xfId="28214"/>
    <cellStyle name="Procentowy 3 21 31" xfId="28215"/>
    <cellStyle name="Procentowy 3 21 31 2" xfId="28216"/>
    <cellStyle name="Procentowy 3 21 32" xfId="28217"/>
    <cellStyle name="Procentowy 3 21 33" xfId="28218"/>
    <cellStyle name="Procentowy 3 21 34" xfId="28219"/>
    <cellStyle name="Procentowy 3 21 35" xfId="28220"/>
    <cellStyle name="Procentowy 3 21 36" xfId="28221"/>
    <cellStyle name="Procentowy 3 21 37" xfId="28222"/>
    <cellStyle name="Procentowy 3 21 38" xfId="28223"/>
    <cellStyle name="Procentowy 3 21 39" xfId="28224"/>
    <cellStyle name="Procentowy 3 21 4" xfId="28225"/>
    <cellStyle name="Procentowy 3 21 4 2" xfId="28226"/>
    <cellStyle name="Procentowy 3 21 4 3" xfId="28227"/>
    <cellStyle name="Procentowy 3 21 4 4" xfId="28228"/>
    <cellStyle name="Procentowy 3 21 4 5" xfId="28229"/>
    <cellStyle name="Procentowy 3 21 4 6" xfId="28230"/>
    <cellStyle name="Procentowy 3 21 4 7" xfId="28231"/>
    <cellStyle name="Procentowy 3 21 40" xfId="28232"/>
    <cellStyle name="Procentowy 3 21 41" xfId="28233"/>
    <cellStyle name="Procentowy 3 21 42" xfId="28234"/>
    <cellStyle name="Procentowy 3 21 43" xfId="28235"/>
    <cellStyle name="Procentowy 3 21 44" xfId="28236"/>
    <cellStyle name="Procentowy 3 21 45" xfId="28237"/>
    <cellStyle name="Procentowy 3 21 46" xfId="28238"/>
    <cellStyle name="Procentowy 3 21 47" xfId="28239"/>
    <cellStyle name="Procentowy 3 21 48" xfId="28240"/>
    <cellStyle name="Procentowy 3 21 49" xfId="28241"/>
    <cellStyle name="Procentowy 3 21 5" xfId="28242"/>
    <cellStyle name="Procentowy 3 21 5 2" xfId="28243"/>
    <cellStyle name="Procentowy 3 21 5 3" xfId="28244"/>
    <cellStyle name="Procentowy 3 21 5 4" xfId="28245"/>
    <cellStyle name="Procentowy 3 21 5 5" xfId="28246"/>
    <cellStyle name="Procentowy 3 21 5 6" xfId="28247"/>
    <cellStyle name="Procentowy 3 21 5 7" xfId="28248"/>
    <cellStyle name="Procentowy 3 21 50" xfId="28249"/>
    <cellStyle name="Procentowy 3 21 51" xfId="28250"/>
    <cellStyle name="Procentowy 3 21 52" xfId="28251"/>
    <cellStyle name="Procentowy 3 21 53" xfId="28252"/>
    <cellStyle name="Procentowy 3 21 54" xfId="28253"/>
    <cellStyle name="Procentowy 3 21 55" xfId="28254"/>
    <cellStyle name="Procentowy 3 21 56" xfId="28255"/>
    <cellStyle name="Procentowy 3 21 57" xfId="28256"/>
    <cellStyle name="Procentowy 3 21 58" xfId="28257"/>
    <cellStyle name="Procentowy 3 21 59" xfId="28258"/>
    <cellStyle name="Procentowy 3 21 6" xfId="28259"/>
    <cellStyle name="Procentowy 3 21 6 2" xfId="28260"/>
    <cellStyle name="Procentowy 3 21 60" xfId="28261"/>
    <cellStyle name="Procentowy 3 21 61" xfId="28262"/>
    <cellStyle name="Procentowy 3 21 62" xfId="28263"/>
    <cellStyle name="Procentowy 3 21 63" xfId="28264"/>
    <cellStyle name="Procentowy 3 21 64" xfId="28265"/>
    <cellStyle name="Procentowy 3 21 65" xfId="28266"/>
    <cellStyle name="Procentowy 3 21 66" xfId="28267"/>
    <cellStyle name="Procentowy 3 21 67" xfId="28268"/>
    <cellStyle name="Procentowy 3 21 68" xfId="28269"/>
    <cellStyle name="Procentowy 3 21 69" xfId="28270"/>
    <cellStyle name="Procentowy 3 21 7" xfId="28271"/>
    <cellStyle name="Procentowy 3 21 7 2" xfId="28272"/>
    <cellStyle name="Procentowy 3 21 70" xfId="28273"/>
    <cellStyle name="Procentowy 3 21 71" xfId="28274"/>
    <cellStyle name="Procentowy 3 21 72" xfId="28275"/>
    <cellStyle name="Procentowy 3 21 73" xfId="28276"/>
    <cellStyle name="Procentowy 3 21 74" xfId="28277"/>
    <cellStyle name="Procentowy 3 21 8" xfId="28278"/>
    <cellStyle name="Procentowy 3 21 8 2" xfId="28279"/>
    <cellStyle name="Procentowy 3 21 9" xfId="28280"/>
    <cellStyle name="Procentowy 3 21 9 2" xfId="28281"/>
    <cellStyle name="Procentowy 3 22" xfId="28282"/>
    <cellStyle name="Procentowy 3 22 10" xfId="28283"/>
    <cellStyle name="Procentowy 3 22 10 2" xfId="28284"/>
    <cellStyle name="Procentowy 3 22 11" xfId="28285"/>
    <cellStyle name="Procentowy 3 22 11 2" xfId="28286"/>
    <cellStyle name="Procentowy 3 22 12" xfId="28287"/>
    <cellStyle name="Procentowy 3 22 12 2" xfId="28288"/>
    <cellStyle name="Procentowy 3 22 13" xfId="28289"/>
    <cellStyle name="Procentowy 3 22 13 2" xfId="28290"/>
    <cellStyle name="Procentowy 3 22 14" xfId="28291"/>
    <cellStyle name="Procentowy 3 22 14 2" xfId="28292"/>
    <cellStyle name="Procentowy 3 22 15" xfId="28293"/>
    <cellStyle name="Procentowy 3 22 15 2" xfId="28294"/>
    <cellStyle name="Procentowy 3 22 16" xfId="28295"/>
    <cellStyle name="Procentowy 3 22 16 2" xfId="28296"/>
    <cellStyle name="Procentowy 3 22 17" xfId="28297"/>
    <cellStyle name="Procentowy 3 22 17 2" xfId="28298"/>
    <cellStyle name="Procentowy 3 22 18" xfId="28299"/>
    <cellStyle name="Procentowy 3 22 18 2" xfId="28300"/>
    <cellStyle name="Procentowy 3 22 19" xfId="28301"/>
    <cellStyle name="Procentowy 3 22 19 2" xfId="28302"/>
    <cellStyle name="Procentowy 3 22 2" xfId="28303"/>
    <cellStyle name="Procentowy 3 22 2 2" xfId="28304"/>
    <cellStyle name="Procentowy 3 22 2 3" xfId="28305"/>
    <cellStyle name="Procentowy 3 22 2 4" xfId="28306"/>
    <cellStyle name="Procentowy 3 22 2 5" xfId="28307"/>
    <cellStyle name="Procentowy 3 22 2 6" xfId="28308"/>
    <cellStyle name="Procentowy 3 22 2 7" xfId="28309"/>
    <cellStyle name="Procentowy 3 22 20" xfId="28310"/>
    <cellStyle name="Procentowy 3 22 20 2" xfId="28311"/>
    <cellStyle name="Procentowy 3 22 21" xfId="28312"/>
    <cellStyle name="Procentowy 3 22 21 2" xfId="28313"/>
    <cellStyle name="Procentowy 3 22 22" xfId="28314"/>
    <cellStyle name="Procentowy 3 22 22 2" xfId="28315"/>
    <cellStyle name="Procentowy 3 22 23" xfId="28316"/>
    <cellStyle name="Procentowy 3 22 23 2" xfId="28317"/>
    <cellStyle name="Procentowy 3 22 24" xfId="28318"/>
    <cellStyle name="Procentowy 3 22 24 2" xfId="28319"/>
    <cellStyle name="Procentowy 3 22 25" xfId="28320"/>
    <cellStyle name="Procentowy 3 22 25 2" xfId="28321"/>
    <cellStyle name="Procentowy 3 22 26" xfId="28322"/>
    <cellStyle name="Procentowy 3 22 26 2" xfId="28323"/>
    <cellStyle name="Procentowy 3 22 27" xfId="28324"/>
    <cellStyle name="Procentowy 3 22 27 2" xfId="28325"/>
    <cellStyle name="Procentowy 3 22 28" xfId="28326"/>
    <cellStyle name="Procentowy 3 22 28 2" xfId="28327"/>
    <cellStyle name="Procentowy 3 22 29" xfId="28328"/>
    <cellStyle name="Procentowy 3 22 29 2" xfId="28329"/>
    <cellStyle name="Procentowy 3 22 3" xfId="28330"/>
    <cellStyle name="Procentowy 3 22 3 2" xfId="28331"/>
    <cellStyle name="Procentowy 3 22 3 3" xfId="28332"/>
    <cellStyle name="Procentowy 3 22 3 4" xfId="28333"/>
    <cellStyle name="Procentowy 3 22 3 5" xfId="28334"/>
    <cellStyle name="Procentowy 3 22 3 6" xfId="28335"/>
    <cellStyle name="Procentowy 3 22 3 7" xfId="28336"/>
    <cellStyle name="Procentowy 3 22 30" xfId="28337"/>
    <cellStyle name="Procentowy 3 22 30 2" xfId="28338"/>
    <cellStyle name="Procentowy 3 22 31" xfId="28339"/>
    <cellStyle name="Procentowy 3 22 31 2" xfId="28340"/>
    <cellStyle name="Procentowy 3 22 32" xfId="28341"/>
    <cellStyle name="Procentowy 3 22 33" xfId="28342"/>
    <cellStyle name="Procentowy 3 22 34" xfId="28343"/>
    <cellStyle name="Procentowy 3 22 35" xfId="28344"/>
    <cellStyle name="Procentowy 3 22 36" xfId="28345"/>
    <cellStyle name="Procentowy 3 22 37" xfId="28346"/>
    <cellStyle name="Procentowy 3 22 38" xfId="28347"/>
    <cellStyle name="Procentowy 3 22 39" xfId="28348"/>
    <cellStyle name="Procentowy 3 22 4" xfId="28349"/>
    <cellStyle name="Procentowy 3 22 4 2" xfId="28350"/>
    <cellStyle name="Procentowy 3 22 4 3" xfId="28351"/>
    <cellStyle name="Procentowy 3 22 4 4" xfId="28352"/>
    <cellStyle name="Procentowy 3 22 4 5" xfId="28353"/>
    <cellStyle name="Procentowy 3 22 4 6" xfId="28354"/>
    <cellStyle name="Procentowy 3 22 4 7" xfId="28355"/>
    <cellStyle name="Procentowy 3 22 40" xfId="28356"/>
    <cellStyle name="Procentowy 3 22 41" xfId="28357"/>
    <cellStyle name="Procentowy 3 22 42" xfId="28358"/>
    <cellStyle name="Procentowy 3 22 43" xfId="28359"/>
    <cellStyle name="Procentowy 3 22 44" xfId="28360"/>
    <cellStyle name="Procentowy 3 22 45" xfId="28361"/>
    <cellStyle name="Procentowy 3 22 46" xfId="28362"/>
    <cellStyle name="Procentowy 3 22 47" xfId="28363"/>
    <cellStyle name="Procentowy 3 22 48" xfId="28364"/>
    <cellStyle name="Procentowy 3 22 49" xfId="28365"/>
    <cellStyle name="Procentowy 3 22 5" xfId="28366"/>
    <cellStyle name="Procentowy 3 22 5 2" xfId="28367"/>
    <cellStyle name="Procentowy 3 22 5 3" xfId="28368"/>
    <cellStyle name="Procentowy 3 22 5 4" xfId="28369"/>
    <cellStyle name="Procentowy 3 22 5 5" xfId="28370"/>
    <cellStyle name="Procentowy 3 22 5 6" xfId="28371"/>
    <cellStyle name="Procentowy 3 22 5 7" xfId="28372"/>
    <cellStyle name="Procentowy 3 22 50" xfId="28373"/>
    <cellStyle name="Procentowy 3 22 51" xfId="28374"/>
    <cellStyle name="Procentowy 3 22 52" xfId="28375"/>
    <cellStyle name="Procentowy 3 22 53" xfId="28376"/>
    <cellStyle name="Procentowy 3 22 54" xfId="28377"/>
    <cellStyle name="Procentowy 3 22 55" xfId="28378"/>
    <cellStyle name="Procentowy 3 22 56" xfId="28379"/>
    <cellStyle name="Procentowy 3 22 57" xfId="28380"/>
    <cellStyle name="Procentowy 3 22 58" xfId="28381"/>
    <cellStyle name="Procentowy 3 22 59" xfId="28382"/>
    <cellStyle name="Procentowy 3 22 6" xfId="28383"/>
    <cellStyle name="Procentowy 3 22 6 2" xfId="28384"/>
    <cellStyle name="Procentowy 3 22 60" xfId="28385"/>
    <cellStyle name="Procentowy 3 22 61" xfId="28386"/>
    <cellStyle name="Procentowy 3 22 62" xfId="28387"/>
    <cellStyle name="Procentowy 3 22 63" xfId="28388"/>
    <cellStyle name="Procentowy 3 22 64" xfId="28389"/>
    <cellStyle name="Procentowy 3 22 65" xfId="28390"/>
    <cellStyle name="Procentowy 3 22 66" xfId="28391"/>
    <cellStyle name="Procentowy 3 22 67" xfId="28392"/>
    <cellStyle name="Procentowy 3 22 68" xfId="28393"/>
    <cellStyle name="Procentowy 3 22 69" xfId="28394"/>
    <cellStyle name="Procentowy 3 22 7" xfId="28395"/>
    <cellStyle name="Procentowy 3 22 7 2" xfId="28396"/>
    <cellStyle name="Procentowy 3 22 70" xfId="28397"/>
    <cellStyle name="Procentowy 3 22 71" xfId="28398"/>
    <cellStyle name="Procentowy 3 22 72" xfId="28399"/>
    <cellStyle name="Procentowy 3 22 73" xfId="28400"/>
    <cellStyle name="Procentowy 3 22 74" xfId="28401"/>
    <cellStyle name="Procentowy 3 22 8" xfId="28402"/>
    <cellStyle name="Procentowy 3 22 8 2" xfId="28403"/>
    <cellStyle name="Procentowy 3 22 9" xfId="28404"/>
    <cellStyle name="Procentowy 3 22 9 2" xfId="28405"/>
    <cellStyle name="Procentowy 3 23" xfId="28406"/>
    <cellStyle name="Procentowy 3 23 10" xfId="28407"/>
    <cellStyle name="Procentowy 3 23 10 2" xfId="28408"/>
    <cellStyle name="Procentowy 3 23 11" xfId="28409"/>
    <cellStyle name="Procentowy 3 23 11 2" xfId="28410"/>
    <cellStyle name="Procentowy 3 23 12" xfId="28411"/>
    <cellStyle name="Procentowy 3 23 12 2" xfId="28412"/>
    <cellStyle name="Procentowy 3 23 13" xfId="28413"/>
    <cellStyle name="Procentowy 3 23 13 2" xfId="28414"/>
    <cellStyle name="Procentowy 3 23 14" xfId="28415"/>
    <cellStyle name="Procentowy 3 23 14 2" xfId="28416"/>
    <cellStyle name="Procentowy 3 23 15" xfId="28417"/>
    <cellStyle name="Procentowy 3 23 15 2" xfId="28418"/>
    <cellStyle name="Procentowy 3 23 16" xfId="28419"/>
    <cellStyle name="Procentowy 3 23 16 2" xfId="28420"/>
    <cellStyle name="Procentowy 3 23 17" xfId="28421"/>
    <cellStyle name="Procentowy 3 23 17 2" xfId="28422"/>
    <cellStyle name="Procentowy 3 23 18" xfId="28423"/>
    <cellStyle name="Procentowy 3 23 18 2" xfId="28424"/>
    <cellStyle name="Procentowy 3 23 19" xfId="28425"/>
    <cellStyle name="Procentowy 3 23 19 2" xfId="28426"/>
    <cellStyle name="Procentowy 3 23 2" xfId="28427"/>
    <cellStyle name="Procentowy 3 23 2 2" xfId="28428"/>
    <cellStyle name="Procentowy 3 23 2 3" xfId="28429"/>
    <cellStyle name="Procentowy 3 23 2 4" xfId="28430"/>
    <cellStyle name="Procentowy 3 23 2 5" xfId="28431"/>
    <cellStyle name="Procentowy 3 23 2 6" xfId="28432"/>
    <cellStyle name="Procentowy 3 23 2 7" xfId="28433"/>
    <cellStyle name="Procentowy 3 23 20" xfId="28434"/>
    <cellStyle name="Procentowy 3 23 20 2" xfId="28435"/>
    <cellStyle name="Procentowy 3 23 21" xfId="28436"/>
    <cellStyle name="Procentowy 3 23 21 2" xfId="28437"/>
    <cellStyle name="Procentowy 3 23 22" xfId="28438"/>
    <cellStyle name="Procentowy 3 23 22 2" xfId="28439"/>
    <cellStyle name="Procentowy 3 23 23" xfId="28440"/>
    <cellStyle name="Procentowy 3 23 23 2" xfId="28441"/>
    <cellStyle name="Procentowy 3 23 24" xfId="28442"/>
    <cellStyle name="Procentowy 3 23 24 2" xfId="28443"/>
    <cellStyle name="Procentowy 3 23 25" xfId="28444"/>
    <cellStyle name="Procentowy 3 23 25 2" xfId="28445"/>
    <cellStyle name="Procentowy 3 23 26" xfId="28446"/>
    <cellStyle name="Procentowy 3 23 26 2" xfId="28447"/>
    <cellStyle name="Procentowy 3 23 27" xfId="28448"/>
    <cellStyle name="Procentowy 3 23 27 2" xfId="28449"/>
    <cellStyle name="Procentowy 3 23 28" xfId="28450"/>
    <cellStyle name="Procentowy 3 23 28 2" xfId="28451"/>
    <cellStyle name="Procentowy 3 23 29" xfId="28452"/>
    <cellStyle name="Procentowy 3 23 29 2" xfId="28453"/>
    <cellStyle name="Procentowy 3 23 3" xfId="28454"/>
    <cellStyle name="Procentowy 3 23 3 2" xfId="28455"/>
    <cellStyle name="Procentowy 3 23 3 3" xfId="28456"/>
    <cellStyle name="Procentowy 3 23 3 4" xfId="28457"/>
    <cellStyle name="Procentowy 3 23 3 5" xfId="28458"/>
    <cellStyle name="Procentowy 3 23 3 6" xfId="28459"/>
    <cellStyle name="Procentowy 3 23 3 7" xfId="28460"/>
    <cellStyle name="Procentowy 3 23 30" xfId="28461"/>
    <cellStyle name="Procentowy 3 23 30 2" xfId="28462"/>
    <cellStyle name="Procentowy 3 23 31" xfId="28463"/>
    <cellStyle name="Procentowy 3 23 31 2" xfId="28464"/>
    <cellStyle name="Procentowy 3 23 32" xfId="28465"/>
    <cellStyle name="Procentowy 3 23 33" xfId="28466"/>
    <cellStyle name="Procentowy 3 23 34" xfId="28467"/>
    <cellStyle name="Procentowy 3 23 35" xfId="28468"/>
    <cellStyle name="Procentowy 3 23 36" xfId="28469"/>
    <cellStyle name="Procentowy 3 23 37" xfId="28470"/>
    <cellStyle name="Procentowy 3 23 38" xfId="28471"/>
    <cellStyle name="Procentowy 3 23 39" xfId="28472"/>
    <cellStyle name="Procentowy 3 23 4" xfId="28473"/>
    <cellStyle name="Procentowy 3 23 4 2" xfId="28474"/>
    <cellStyle name="Procentowy 3 23 4 3" xfId="28475"/>
    <cellStyle name="Procentowy 3 23 4 4" xfId="28476"/>
    <cellStyle name="Procentowy 3 23 4 5" xfId="28477"/>
    <cellStyle name="Procentowy 3 23 4 6" xfId="28478"/>
    <cellStyle name="Procentowy 3 23 4 7" xfId="28479"/>
    <cellStyle name="Procentowy 3 23 40" xfId="28480"/>
    <cellStyle name="Procentowy 3 23 41" xfId="28481"/>
    <cellStyle name="Procentowy 3 23 42" xfId="28482"/>
    <cellStyle name="Procentowy 3 23 43" xfId="28483"/>
    <cellStyle name="Procentowy 3 23 44" xfId="28484"/>
    <cellStyle name="Procentowy 3 23 45" xfId="28485"/>
    <cellStyle name="Procentowy 3 23 46" xfId="28486"/>
    <cellStyle name="Procentowy 3 23 47" xfId="28487"/>
    <cellStyle name="Procentowy 3 23 48" xfId="28488"/>
    <cellStyle name="Procentowy 3 23 49" xfId="28489"/>
    <cellStyle name="Procentowy 3 23 5" xfId="28490"/>
    <cellStyle name="Procentowy 3 23 5 2" xfId="28491"/>
    <cellStyle name="Procentowy 3 23 5 3" xfId="28492"/>
    <cellStyle name="Procentowy 3 23 5 4" xfId="28493"/>
    <cellStyle name="Procentowy 3 23 5 5" xfId="28494"/>
    <cellStyle name="Procentowy 3 23 5 6" xfId="28495"/>
    <cellStyle name="Procentowy 3 23 5 7" xfId="28496"/>
    <cellStyle name="Procentowy 3 23 50" xfId="28497"/>
    <cellStyle name="Procentowy 3 23 51" xfId="28498"/>
    <cellStyle name="Procentowy 3 23 52" xfId="28499"/>
    <cellStyle name="Procentowy 3 23 53" xfId="28500"/>
    <cellStyle name="Procentowy 3 23 54" xfId="28501"/>
    <cellStyle name="Procentowy 3 23 55" xfId="28502"/>
    <cellStyle name="Procentowy 3 23 56" xfId="28503"/>
    <cellStyle name="Procentowy 3 23 57" xfId="28504"/>
    <cellStyle name="Procentowy 3 23 58" xfId="28505"/>
    <cellStyle name="Procentowy 3 23 59" xfId="28506"/>
    <cellStyle name="Procentowy 3 23 6" xfId="28507"/>
    <cellStyle name="Procentowy 3 23 6 2" xfId="28508"/>
    <cellStyle name="Procentowy 3 23 60" xfId="28509"/>
    <cellStyle name="Procentowy 3 23 61" xfId="28510"/>
    <cellStyle name="Procentowy 3 23 62" xfId="28511"/>
    <cellStyle name="Procentowy 3 23 63" xfId="28512"/>
    <cellStyle name="Procentowy 3 23 64" xfId="28513"/>
    <cellStyle name="Procentowy 3 23 65" xfId="28514"/>
    <cellStyle name="Procentowy 3 23 66" xfId="28515"/>
    <cellStyle name="Procentowy 3 23 67" xfId="28516"/>
    <cellStyle name="Procentowy 3 23 68" xfId="28517"/>
    <cellStyle name="Procentowy 3 23 69" xfId="28518"/>
    <cellStyle name="Procentowy 3 23 7" xfId="28519"/>
    <cellStyle name="Procentowy 3 23 7 2" xfId="28520"/>
    <cellStyle name="Procentowy 3 23 70" xfId="28521"/>
    <cellStyle name="Procentowy 3 23 71" xfId="28522"/>
    <cellStyle name="Procentowy 3 23 72" xfId="28523"/>
    <cellStyle name="Procentowy 3 23 73" xfId="28524"/>
    <cellStyle name="Procentowy 3 23 74" xfId="28525"/>
    <cellStyle name="Procentowy 3 23 8" xfId="28526"/>
    <cellStyle name="Procentowy 3 23 8 2" xfId="28527"/>
    <cellStyle name="Procentowy 3 23 9" xfId="28528"/>
    <cellStyle name="Procentowy 3 23 9 2" xfId="28529"/>
    <cellStyle name="Procentowy 3 24" xfId="28530"/>
    <cellStyle name="Procentowy 3 24 10" xfId="28531"/>
    <cellStyle name="Procentowy 3 24 10 2" xfId="28532"/>
    <cellStyle name="Procentowy 3 24 11" xfId="28533"/>
    <cellStyle name="Procentowy 3 24 11 2" xfId="28534"/>
    <cellStyle name="Procentowy 3 24 12" xfId="28535"/>
    <cellStyle name="Procentowy 3 24 12 2" xfId="28536"/>
    <cellStyle name="Procentowy 3 24 13" xfId="28537"/>
    <cellStyle name="Procentowy 3 24 13 2" xfId="28538"/>
    <cellStyle name="Procentowy 3 24 14" xfId="28539"/>
    <cellStyle name="Procentowy 3 24 14 2" xfId="28540"/>
    <cellStyle name="Procentowy 3 24 15" xfId="28541"/>
    <cellStyle name="Procentowy 3 24 15 2" xfId="28542"/>
    <cellStyle name="Procentowy 3 24 16" xfId="28543"/>
    <cellStyle name="Procentowy 3 24 16 2" xfId="28544"/>
    <cellStyle name="Procentowy 3 24 17" xfId="28545"/>
    <cellStyle name="Procentowy 3 24 17 2" xfId="28546"/>
    <cellStyle name="Procentowy 3 24 18" xfId="28547"/>
    <cellStyle name="Procentowy 3 24 18 2" xfId="28548"/>
    <cellStyle name="Procentowy 3 24 19" xfId="28549"/>
    <cellStyle name="Procentowy 3 24 19 2" xfId="28550"/>
    <cellStyle name="Procentowy 3 24 2" xfId="28551"/>
    <cellStyle name="Procentowy 3 24 2 2" xfId="28552"/>
    <cellStyle name="Procentowy 3 24 2 3" xfId="28553"/>
    <cellStyle name="Procentowy 3 24 2 4" xfId="28554"/>
    <cellStyle name="Procentowy 3 24 2 5" xfId="28555"/>
    <cellStyle name="Procentowy 3 24 2 6" xfId="28556"/>
    <cellStyle name="Procentowy 3 24 2 7" xfId="28557"/>
    <cellStyle name="Procentowy 3 24 20" xfId="28558"/>
    <cellStyle name="Procentowy 3 24 20 2" xfId="28559"/>
    <cellStyle name="Procentowy 3 24 21" xfId="28560"/>
    <cellStyle name="Procentowy 3 24 21 2" xfId="28561"/>
    <cellStyle name="Procentowy 3 24 22" xfId="28562"/>
    <cellStyle name="Procentowy 3 24 22 2" xfId="28563"/>
    <cellStyle name="Procentowy 3 24 23" xfId="28564"/>
    <cellStyle name="Procentowy 3 24 23 2" xfId="28565"/>
    <cellStyle name="Procentowy 3 24 24" xfId="28566"/>
    <cellStyle name="Procentowy 3 24 24 2" xfId="28567"/>
    <cellStyle name="Procentowy 3 24 25" xfId="28568"/>
    <cellStyle name="Procentowy 3 24 25 2" xfId="28569"/>
    <cellStyle name="Procentowy 3 24 26" xfId="28570"/>
    <cellStyle name="Procentowy 3 24 26 2" xfId="28571"/>
    <cellStyle name="Procentowy 3 24 27" xfId="28572"/>
    <cellStyle name="Procentowy 3 24 27 2" xfId="28573"/>
    <cellStyle name="Procentowy 3 24 28" xfId="28574"/>
    <cellStyle name="Procentowy 3 24 28 2" xfId="28575"/>
    <cellStyle name="Procentowy 3 24 29" xfId="28576"/>
    <cellStyle name="Procentowy 3 24 29 2" xfId="28577"/>
    <cellStyle name="Procentowy 3 24 3" xfId="28578"/>
    <cellStyle name="Procentowy 3 24 3 2" xfId="28579"/>
    <cellStyle name="Procentowy 3 24 3 3" xfId="28580"/>
    <cellStyle name="Procentowy 3 24 3 4" xfId="28581"/>
    <cellStyle name="Procentowy 3 24 3 5" xfId="28582"/>
    <cellStyle name="Procentowy 3 24 3 6" xfId="28583"/>
    <cellStyle name="Procentowy 3 24 3 7" xfId="28584"/>
    <cellStyle name="Procentowy 3 24 30" xfId="28585"/>
    <cellStyle name="Procentowy 3 24 30 2" xfId="28586"/>
    <cellStyle name="Procentowy 3 24 31" xfId="28587"/>
    <cellStyle name="Procentowy 3 24 31 2" xfId="28588"/>
    <cellStyle name="Procentowy 3 24 32" xfId="28589"/>
    <cellStyle name="Procentowy 3 24 33" xfId="28590"/>
    <cellStyle name="Procentowy 3 24 34" xfId="28591"/>
    <cellStyle name="Procentowy 3 24 35" xfId="28592"/>
    <cellStyle name="Procentowy 3 24 36" xfId="28593"/>
    <cellStyle name="Procentowy 3 24 37" xfId="28594"/>
    <cellStyle name="Procentowy 3 24 38" xfId="28595"/>
    <cellStyle name="Procentowy 3 24 39" xfId="28596"/>
    <cellStyle name="Procentowy 3 24 4" xfId="28597"/>
    <cellStyle name="Procentowy 3 24 4 2" xfId="28598"/>
    <cellStyle name="Procentowy 3 24 4 3" xfId="28599"/>
    <cellStyle name="Procentowy 3 24 4 4" xfId="28600"/>
    <cellStyle name="Procentowy 3 24 4 5" xfId="28601"/>
    <cellStyle name="Procentowy 3 24 4 6" xfId="28602"/>
    <cellStyle name="Procentowy 3 24 4 7" xfId="28603"/>
    <cellStyle name="Procentowy 3 24 40" xfId="28604"/>
    <cellStyle name="Procentowy 3 24 41" xfId="28605"/>
    <cellStyle name="Procentowy 3 24 42" xfId="28606"/>
    <cellStyle name="Procentowy 3 24 43" xfId="28607"/>
    <cellStyle name="Procentowy 3 24 44" xfId="28608"/>
    <cellStyle name="Procentowy 3 24 45" xfId="28609"/>
    <cellStyle name="Procentowy 3 24 46" xfId="28610"/>
    <cellStyle name="Procentowy 3 24 47" xfId="28611"/>
    <cellStyle name="Procentowy 3 24 48" xfId="28612"/>
    <cellStyle name="Procentowy 3 24 49" xfId="28613"/>
    <cellStyle name="Procentowy 3 24 5" xfId="28614"/>
    <cellStyle name="Procentowy 3 24 5 2" xfId="28615"/>
    <cellStyle name="Procentowy 3 24 5 3" xfId="28616"/>
    <cellStyle name="Procentowy 3 24 5 4" xfId="28617"/>
    <cellStyle name="Procentowy 3 24 5 5" xfId="28618"/>
    <cellStyle name="Procentowy 3 24 5 6" xfId="28619"/>
    <cellStyle name="Procentowy 3 24 5 7" xfId="28620"/>
    <cellStyle name="Procentowy 3 24 50" xfId="28621"/>
    <cellStyle name="Procentowy 3 24 51" xfId="28622"/>
    <cellStyle name="Procentowy 3 24 52" xfId="28623"/>
    <cellStyle name="Procentowy 3 24 53" xfId="28624"/>
    <cellStyle name="Procentowy 3 24 54" xfId="28625"/>
    <cellStyle name="Procentowy 3 24 55" xfId="28626"/>
    <cellStyle name="Procentowy 3 24 56" xfId="28627"/>
    <cellStyle name="Procentowy 3 24 57" xfId="28628"/>
    <cellStyle name="Procentowy 3 24 58" xfId="28629"/>
    <cellStyle name="Procentowy 3 24 59" xfId="28630"/>
    <cellStyle name="Procentowy 3 24 6" xfId="28631"/>
    <cellStyle name="Procentowy 3 24 6 2" xfId="28632"/>
    <cellStyle name="Procentowy 3 24 60" xfId="28633"/>
    <cellStyle name="Procentowy 3 24 61" xfId="28634"/>
    <cellStyle name="Procentowy 3 24 62" xfId="28635"/>
    <cellStyle name="Procentowy 3 24 63" xfId="28636"/>
    <cellStyle name="Procentowy 3 24 64" xfId="28637"/>
    <cellStyle name="Procentowy 3 24 65" xfId="28638"/>
    <cellStyle name="Procentowy 3 24 66" xfId="28639"/>
    <cellStyle name="Procentowy 3 24 67" xfId="28640"/>
    <cellStyle name="Procentowy 3 24 68" xfId="28641"/>
    <cellStyle name="Procentowy 3 24 69" xfId="28642"/>
    <cellStyle name="Procentowy 3 24 7" xfId="28643"/>
    <cellStyle name="Procentowy 3 24 7 2" xfId="28644"/>
    <cellStyle name="Procentowy 3 24 70" xfId="28645"/>
    <cellStyle name="Procentowy 3 24 71" xfId="28646"/>
    <cellStyle name="Procentowy 3 24 72" xfId="28647"/>
    <cellStyle name="Procentowy 3 24 73" xfId="28648"/>
    <cellStyle name="Procentowy 3 24 74" xfId="28649"/>
    <cellStyle name="Procentowy 3 24 8" xfId="28650"/>
    <cellStyle name="Procentowy 3 24 8 2" xfId="28651"/>
    <cellStyle name="Procentowy 3 24 9" xfId="28652"/>
    <cellStyle name="Procentowy 3 24 9 2" xfId="28653"/>
    <cellStyle name="Procentowy 3 25" xfId="28654"/>
    <cellStyle name="Procentowy 3 25 2" xfId="28655"/>
    <cellStyle name="Procentowy 3 25 3" xfId="28656"/>
    <cellStyle name="Procentowy 3 25 4" xfId="28657"/>
    <cellStyle name="Procentowy 3 25 5" xfId="28658"/>
    <cellStyle name="Procentowy 3 25 6" xfId="28659"/>
    <cellStyle name="Procentowy 3 25 7" xfId="28660"/>
    <cellStyle name="Procentowy 3 26" xfId="28661"/>
    <cellStyle name="Procentowy 3 26 2" xfId="28662"/>
    <cellStyle name="Procentowy 3 26 3" xfId="28663"/>
    <cellStyle name="Procentowy 3 26 4" xfId="28664"/>
    <cellStyle name="Procentowy 3 26 5" xfId="28665"/>
    <cellStyle name="Procentowy 3 26 6" xfId="28666"/>
    <cellStyle name="Procentowy 3 26 7" xfId="28667"/>
    <cellStyle name="Procentowy 3 27" xfId="28668"/>
    <cellStyle name="Procentowy 3 27 2" xfId="28669"/>
    <cellStyle name="Procentowy 3 27 3" xfId="28670"/>
    <cellStyle name="Procentowy 3 27 4" xfId="28671"/>
    <cellStyle name="Procentowy 3 27 5" xfId="28672"/>
    <cellStyle name="Procentowy 3 27 6" xfId="28673"/>
    <cellStyle name="Procentowy 3 27 7" xfId="28674"/>
    <cellStyle name="Procentowy 3 28" xfId="28675"/>
    <cellStyle name="Procentowy 3 28 2" xfId="28676"/>
    <cellStyle name="Procentowy 3 28 3" xfId="28677"/>
    <cellStyle name="Procentowy 3 28 4" xfId="28678"/>
    <cellStyle name="Procentowy 3 28 5" xfId="28679"/>
    <cellStyle name="Procentowy 3 28 6" xfId="28680"/>
    <cellStyle name="Procentowy 3 28 7" xfId="28681"/>
    <cellStyle name="Procentowy 3 29" xfId="28682"/>
    <cellStyle name="Procentowy 3 29 2" xfId="28683"/>
    <cellStyle name="Procentowy 3 3" xfId="28684"/>
    <cellStyle name="Procentowy 3 3 10" xfId="28685"/>
    <cellStyle name="Procentowy 3 3 10 2" xfId="28686"/>
    <cellStyle name="Procentowy 3 3 11" xfId="28687"/>
    <cellStyle name="Procentowy 3 3 11 2" xfId="28688"/>
    <cellStyle name="Procentowy 3 3 12" xfId="28689"/>
    <cellStyle name="Procentowy 3 3 12 2" xfId="28690"/>
    <cellStyle name="Procentowy 3 3 13" xfId="28691"/>
    <cellStyle name="Procentowy 3 3 13 2" xfId="28692"/>
    <cellStyle name="Procentowy 3 3 14" xfId="28693"/>
    <cellStyle name="Procentowy 3 3 14 2" xfId="28694"/>
    <cellStyle name="Procentowy 3 3 15" xfId="28695"/>
    <cellStyle name="Procentowy 3 3 15 2" xfId="28696"/>
    <cellStyle name="Procentowy 3 3 16" xfId="28697"/>
    <cellStyle name="Procentowy 3 3 16 2" xfId="28698"/>
    <cellStyle name="Procentowy 3 3 17" xfId="28699"/>
    <cellStyle name="Procentowy 3 3 17 2" xfId="28700"/>
    <cellStyle name="Procentowy 3 3 18" xfId="28701"/>
    <cellStyle name="Procentowy 3 3 18 2" xfId="28702"/>
    <cellStyle name="Procentowy 3 3 19" xfId="28703"/>
    <cellStyle name="Procentowy 3 3 19 2" xfId="28704"/>
    <cellStyle name="Procentowy 3 3 2" xfId="28705"/>
    <cellStyle name="Procentowy 3 3 2 2" xfId="28706"/>
    <cellStyle name="Procentowy 3 3 2 3" xfId="28707"/>
    <cellStyle name="Procentowy 3 3 2 4" xfId="28708"/>
    <cellStyle name="Procentowy 3 3 2 5" xfId="28709"/>
    <cellStyle name="Procentowy 3 3 2 6" xfId="28710"/>
    <cellStyle name="Procentowy 3 3 2 7" xfId="28711"/>
    <cellStyle name="Procentowy 3 3 20" xfId="28712"/>
    <cellStyle name="Procentowy 3 3 20 2" xfId="28713"/>
    <cellStyle name="Procentowy 3 3 21" xfId="28714"/>
    <cellStyle name="Procentowy 3 3 21 2" xfId="28715"/>
    <cellStyle name="Procentowy 3 3 22" xfId="28716"/>
    <cellStyle name="Procentowy 3 3 22 2" xfId="28717"/>
    <cellStyle name="Procentowy 3 3 23" xfId="28718"/>
    <cellStyle name="Procentowy 3 3 23 2" xfId="28719"/>
    <cellStyle name="Procentowy 3 3 24" xfId="28720"/>
    <cellStyle name="Procentowy 3 3 24 2" xfId="28721"/>
    <cellStyle name="Procentowy 3 3 25" xfId="28722"/>
    <cellStyle name="Procentowy 3 3 25 2" xfId="28723"/>
    <cellStyle name="Procentowy 3 3 26" xfId="28724"/>
    <cellStyle name="Procentowy 3 3 26 2" xfId="28725"/>
    <cellStyle name="Procentowy 3 3 27" xfId="28726"/>
    <cellStyle name="Procentowy 3 3 27 2" xfId="28727"/>
    <cellStyle name="Procentowy 3 3 28" xfId="28728"/>
    <cellStyle name="Procentowy 3 3 28 2" xfId="28729"/>
    <cellStyle name="Procentowy 3 3 29" xfId="28730"/>
    <cellStyle name="Procentowy 3 3 29 2" xfId="28731"/>
    <cellStyle name="Procentowy 3 3 3" xfId="28732"/>
    <cellStyle name="Procentowy 3 3 3 2" xfId="28733"/>
    <cellStyle name="Procentowy 3 3 3 3" xfId="28734"/>
    <cellStyle name="Procentowy 3 3 3 4" xfId="28735"/>
    <cellStyle name="Procentowy 3 3 3 5" xfId="28736"/>
    <cellStyle name="Procentowy 3 3 3 6" xfId="28737"/>
    <cellStyle name="Procentowy 3 3 3 7" xfId="28738"/>
    <cellStyle name="Procentowy 3 3 30" xfId="28739"/>
    <cellStyle name="Procentowy 3 3 30 2" xfId="28740"/>
    <cellStyle name="Procentowy 3 3 31" xfId="28741"/>
    <cellStyle name="Procentowy 3 3 31 2" xfId="28742"/>
    <cellStyle name="Procentowy 3 3 32" xfId="28743"/>
    <cellStyle name="Procentowy 3 3 33" xfId="28744"/>
    <cellStyle name="Procentowy 3 3 34" xfId="28745"/>
    <cellStyle name="Procentowy 3 3 35" xfId="28746"/>
    <cellStyle name="Procentowy 3 3 36" xfId="28747"/>
    <cellStyle name="Procentowy 3 3 37" xfId="28748"/>
    <cellStyle name="Procentowy 3 3 38" xfId="28749"/>
    <cellStyle name="Procentowy 3 3 39" xfId="28750"/>
    <cellStyle name="Procentowy 3 3 4" xfId="28751"/>
    <cellStyle name="Procentowy 3 3 4 2" xfId="28752"/>
    <cellStyle name="Procentowy 3 3 4 3" xfId="28753"/>
    <cellStyle name="Procentowy 3 3 4 4" xfId="28754"/>
    <cellStyle name="Procentowy 3 3 4 5" xfId="28755"/>
    <cellStyle name="Procentowy 3 3 4 6" xfId="28756"/>
    <cellStyle name="Procentowy 3 3 4 7" xfId="28757"/>
    <cellStyle name="Procentowy 3 3 40" xfId="28758"/>
    <cellStyle name="Procentowy 3 3 41" xfId="28759"/>
    <cellStyle name="Procentowy 3 3 42" xfId="28760"/>
    <cellStyle name="Procentowy 3 3 43" xfId="28761"/>
    <cellStyle name="Procentowy 3 3 44" xfId="28762"/>
    <cellStyle name="Procentowy 3 3 45" xfId="28763"/>
    <cellStyle name="Procentowy 3 3 46" xfId="28764"/>
    <cellStyle name="Procentowy 3 3 47" xfId="28765"/>
    <cellStyle name="Procentowy 3 3 48" xfId="28766"/>
    <cellStyle name="Procentowy 3 3 49" xfId="28767"/>
    <cellStyle name="Procentowy 3 3 5" xfId="28768"/>
    <cellStyle name="Procentowy 3 3 5 2" xfId="28769"/>
    <cellStyle name="Procentowy 3 3 5 3" xfId="28770"/>
    <cellStyle name="Procentowy 3 3 5 4" xfId="28771"/>
    <cellStyle name="Procentowy 3 3 5 5" xfId="28772"/>
    <cellStyle name="Procentowy 3 3 5 6" xfId="28773"/>
    <cellStyle name="Procentowy 3 3 5 7" xfId="28774"/>
    <cellStyle name="Procentowy 3 3 50" xfId="28775"/>
    <cellStyle name="Procentowy 3 3 51" xfId="28776"/>
    <cellStyle name="Procentowy 3 3 52" xfId="28777"/>
    <cellStyle name="Procentowy 3 3 53" xfId="28778"/>
    <cellStyle name="Procentowy 3 3 54" xfId="28779"/>
    <cellStyle name="Procentowy 3 3 55" xfId="28780"/>
    <cellStyle name="Procentowy 3 3 56" xfId="28781"/>
    <cellStyle name="Procentowy 3 3 57" xfId="28782"/>
    <cellStyle name="Procentowy 3 3 58" xfId="28783"/>
    <cellStyle name="Procentowy 3 3 59" xfId="28784"/>
    <cellStyle name="Procentowy 3 3 6" xfId="28785"/>
    <cellStyle name="Procentowy 3 3 6 2" xfId="28786"/>
    <cellStyle name="Procentowy 3 3 60" xfId="28787"/>
    <cellStyle name="Procentowy 3 3 61" xfId="28788"/>
    <cellStyle name="Procentowy 3 3 62" xfId="28789"/>
    <cellStyle name="Procentowy 3 3 63" xfId="28790"/>
    <cellStyle name="Procentowy 3 3 64" xfId="28791"/>
    <cellStyle name="Procentowy 3 3 65" xfId="28792"/>
    <cellStyle name="Procentowy 3 3 66" xfId="28793"/>
    <cellStyle name="Procentowy 3 3 67" xfId="28794"/>
    <cellStyle name="Procentowy 3 3 68" xfId="28795"/>
    <cellStyle name="Procentowy 3 3 69" xfId="28796"/>
    <cellStyle name="Procentowy 3 3 7" xfId="28797"/>
    <cellStyle name="Procentowy 3 3 7 2" xfId="28798"/>
    <cellStyle name="Procentowy 3 3 70" xfId="28799"/>
    <cellStyle name="Procentowy 3 3 71" xfId="28800"/>
    <cellStyle name="Procentowy 3 3 72" xfId="28801"/>
    <cellStyle name="Procentowy 3 3 73" xfId="28802"/>
    <cellStyle name="Procentowy 3 3 74" xfId="28803"/>
    <cellStyle name="Procentowy 3 3 75" xfId="28804"/>
    <cellStyle name="Procentowy 3 3 8" xfId="28805"/>
    <cellStyle name="Procentowy 3 3 8 2" xfId="28806"/>
    <cellStyle name="Procentowy 3 3 9" xfId="28807"/>
    <cellStyle name="Procentowy 3 3 9 2" xfId="28808"/>
    <cellStyle name="Procentowy 3 30" xfId="28809"/>
    <cellStyle name="Procentowy 3 30 2" xfId="28810"/>
    <cellStyle name="Procentowy 3 31" xfId="28811"/>
    <cellStyle name="Procentowy 3 31 2" xfId="28812"/>
    <cellStyle name="Procentowy 3 32" xfId="28813"/>
    <cellStyle name="Procentowy 3 32 2" xfId="28814"/>
    <cellStyle name="Procentowy 3 33" xfId="28815"/>
    <cellStyle name="Procentowy 3 33 2" xfId="28816"/>
    <cellStyle name="Procentowy 3 34" xfId="28817"/>
    <cellStyle name="Procentowy 3 34 2" xfId="28818"/>
    <cellStyle name="Procentowy 3 35" xfId="28819"/>
    <cellStyle name="Procentowy 3 35 2" xfId="28820"/>
    <cellStyle name="Procentowy 3 36" xfId="28821"/>
    <cellStyle name="Procentowy 3 36 2" xfId="28822"/>
    <cellStyle name="Procentowy 3 37" xfId="28823"/>
    <cellStyle name="Procentowy 3 37 2" xfId="28824"/>
    <cellStyle name="Procentowy 3 38" xfId="28825"/>
    <cellStyle name="Procentowy 3 38 2" xfId="28826"/>
    <cellStyle name="Procentowy 3 39" xfId="28827"/>
    <cellStyle name="Procentowy 3 39 2" xfId="28828"/>
    <cellStyle name="Procentowy 3 4" xfId="28829"/>
    <cellStyle name="Procentowy 3 4 10" xfId="28830"/>
    <cellStyle name="Procentowy 3 4 10 2" xfId="28831"/>
    <cellStyle name="Procentowy 3 4 11" xfId="28832"/>
    <cellStyle name="Procentowy 3 4 11 2" xfId="28833"/>
    <cellStyle name="Procentowy 3 4 12" xfId="28834"/>
    <cellStyle name="Procentowy 3 4 12 2" xfId="28835"/>
    <cellStyle name="Procentowy 3 4 13" xfId="28836"/>
    <cellStyle name="Procentowy 3 4 13 2" xfId="28837"/>
    <cellStyle name="Procentowy 3 4 14" xfId="28838"/>
    <cellStyle name="Procentowy 3 4 14 2" xfId="28839"/>
    <cellStyle name="Procentowy 3 4 15" xfId="28840"/>
    <cellStyle name="Procentowy 3 4 15 2" xfId="28841"/>
    <cellStyle name="Procentowy 3 4 16" xfId="28842"/>
    <cellStyle name="Procentowy 3 4 16 2" xfId="28843"/>
    <cellStyle name="Procentowy 3 4 17" xfId="28844"/>
    <cellStyle name="Procentowy 3 4 17 2" xfId="28845"/>
    <cellStyle name="Procentowy 3 4 18" xfId="28846"/>
    <cellStyle name="Procentowy 3 4 18 2" xfId="28847"/>
    <cellStyle name="Procentowy 3 4 19" xfId="28848"/>
    <cellStyle name="Procentowy 3 4 19 2" xfId="28849"/>
    <cellStyle name="Procentowy 3 4 2" xfId="28850"/>
    <cellStyle name="Procentowy 3 4 2 2" xfId="28851"/>
    <cellStyle name="Procentowy 3 4 2 3" xfId="28852"/>
    <cellStyle name="Procentowy 3 4 2 4" xfId="28853"/>
    <cellStyle name="Procentowy 3 4 2 5" xfId="28854"/>
    <cellStyle name="Procentowy 3 4 2 6" xfId="28855"/>
    <cellStyle name="Procentowy 3 4 2 7" xfId="28856"/>
    <cellStyle name="Procentowy 3 4 20" xfId="28857"/>
    <cellStyle name="Procentowy 3 4 20 2" xfId="28858"/>
    <cellStyle name="Procentowy 3 4 21" xfId="28859"/>
    <cellStyle name="Procentowy 3 4 21 2" xfId="28860"/>
    <cellStyle name="Procentowy 3 4 22" xfId="28861"/>
    <cellStyle name="Procentowy 3 4 22 2" xfId="28862"/>
    <cellStyle name="Procentowy 3 4 23" xfId="28863"/>
    <cellStyle name="Procentowy 3 4 23 2" xfId="28864"/>
    <cellStyle name="Procentowy 3 4 24" xfId="28865"/>
    <cellStyle name="Procentowy 3 4 24 2" xfId="28866"/>
    <cellStyle name="Procentowy 3 4 25" xfId="28867"/>
    <cellStyle name="Procentowy 3 4 25 2" xfId="28868"/>
    <cellStyle name="Procentowy 3 4 26" xfId="28869"/>
    <cellStyle name="Procentowy 3 4 26 2" xfId="28870"/>
    <cellStyle name="Procentowy 3 4 27" xfId="28871"/>
    <cellStyle name="Procentowy 3 4 27 2" xfId="28872"/>
    <cellStyle name="Procentowy 3 4 28" xfId="28873"/>
    <cellStyle name="Procentowy 3 4 28 2" xfId="28874"/>
    <cellStyle name="Procentowy 3 4 29" xfId="28875"/>
    <cellStyle name="Procentowy 3 4 29 2" xfId="28876"/>
    <cellStyle name="Procentowy 3 4 3" xfId="28877"/>
    <cellStyle name="Procentowy 3 4 3 2" xfId="28878"/>
    <cellStyle name="Procentowy 3 4 3 3" xfId="28879"/>
    <cellStyle name="Procentowy 3 4 3 4" xfId="28880"/>
    <cellStyle name="Procentowy 3 4 3 5" xfId="28881"/>
    <cellStyle name="Procentowy 3 4 3 6" xfId="28882"/>
    <cellStyle name="Procentowy 3 4 3 7" xfId="28883"/>
    <cellStyle name="Procentowy 3 4 30" xfId="28884"/>
    <cellStyle name="Procentowy 3 4 30 2" xfId="28885"/>
    <cellStyle name="Procentowy 3 4 31" xfId="28886"/>
    <cellStyle name="Procentowy 3 4 31 2" xfId="28887"/>
    <cellStyle name="Procentowy 3 4 32" xfId="28888"/>
    <cellStyle name="Procentowy 3 4 33" xfId="28889"/>
    <cellStyle name="Procentowy 3 4 34" xfId="28890"/>
    <cellStyle name="Procentowy 3 4 35" xfId="28891"/>
    <cellStyle name="Procentowy 3 4 36" xfId="28892"/>
    <cellStyle name="Procentowy 3 4 37" xfId="28893"/>
    <cellStyle name="Procentowy 3 4 38" xfId="28894"/>
    <cellStyle name="Procentowy 3 4 39" xfId="28895"/>
    <cellStyle name="Procentowy 3 4 4" xfId="28896"/>
    <cellStyle name="Procentowy 3 4 4 2" xfId="28897"/>
    <cellStyle name="Procentowy 3 4 4 3" xfId="28898"/>
    <cellStyle name="Procentowy 3 4 4 4" xfId="28899"/>
    <cellStyle name="Procentowy 3 4 4 5" xfId="28900"/>
    <cellStyle name="Procentowy 3 4 4 6" xfId="28901"/>
    <cellStyle name="Procentowy 3 4 4 7" xfId="28902"/>
    <cellStyle name="Procentowy 3 4 40" xfId="28903"/>
    <cellStyle name="Procentowy 3 4 41" xfId="28904"/>
    <cellStyle name="Procentowy 3 4 42" xfId="28905"/>
    <cellStyle name="Procentowy 3 4 43" xfId="28906"/>
    <cellStyle name="Procentowy 3 4 44" xfId="28907"/>
    <cellStyle name="Procentowy 3 4 45" xfId="28908"/>
    <cellStyle name="Procentowy 3 4 46" xfId="28909"/>
    <cellStyle name="Procentowy 3 4 47" xfId="28910"/>
    <cellStyle name="Procentowy 3 4 48" xfId="28911"/>
    <cellStyle name="Procentowy 3 4 49" xfId="28912"/>
    <cellStyle name="Procentowy 3 4 5" xfId="28913"/>
    <cellStyle name="Procentowy 3 4 5 2" xfId="28914"/>
    <cellStyle name="Procentowy 3 4 5 3" xfId="28915"/>
    <cellStyle name="Procentowy 3 4 5 4" xfId="28916"/>
    <cellStyle name="Procentowy 3 4 5 5" xfId="28917"/>
    <cellStyle name="Procentowy 3 4 5 6" xfId="28918"/>
    <cellStyle name="Procentowy 3 4 5 7" xfId="28919"/>
    <cellStyle name="Procentowy 3 4 50" xfId="28920"/>
    <cellStyle name="Procentowy 3 4 51" xfId="28921"/>
    <cellStyle name="Procentowy 3 4 52" xfId="28922"/>
    <cellStyle name="Procentowy 3 4 53" xfId="28923"/>
    <cellStyle name="Procentowy 3 4 54" xfId="28924"/>
    <cellStyle name="Procentowy 3 4 55" xfId="28925"/>
    <cellStyle name="Procentowy 3 4 56" xfId="28926"/>
    <cellStyle name="Procentowy 3 4 57" xfId="28927"/>
    <cellStyle name="Procentowy 3 4 58" xfId="28928"/>
    <cellStyle name="Procentowy 3 4 59" xfId="28929"/>
    <cellStyle name="Procentowy 3 4 6" xfId="28930"/>
    <cellStyle name="Procentowy 3 4 6 2" xfId="28931"/>
    <cellStyle name="Procentowy 3 4 60" xfId="28932"/>
    <cellStyle name="Procentowy 3 4 61" xfId="28933"/>
    <cellStyle name="Procentowy 3 4 62" xfId="28934"/>
    <cellStyle name="Procentowy 3 4 63" xfId="28935"/>
    <cellStyle name="Procentowy 3 4 64" xfId="28936"/>
    <cellStyle name="Procentowy 3 4 65" xfId="28937"/>
    <cellStyle name="Procentowy 3 4 66" xfId="28938"/>
    <cellStyle name="Procentowy 3 4 67" xfId="28939"/>
    <cellStyle name="Procentowy 3 4 68" xfId="28940"/>
    <cellStyle name="Procentowy 3 4 69" xfId="28941"/>
    <cellStyle name="Procentowy 3 4 7" xfId="28942"/>
    <cellStyle name="Procentowy 3 4 7 2" xfId="28943"/>
    <cellStyle name="Procentowy 3 4 70" xfId="28944"/>
    <cellStyle name="Procentowy 3 4 71" xfId="28945"/>
    <cellStyle name="Procentowy 3 4 72" xfId="28946"/>
    <cellStyle name="Procentowy 3 4 73" xfId="28947"/>
    <cellStyle name="Procentowy 3 4 74" xfId="28948"/>
    <cellStyle name="Procentowy 3 4 75" xfId="28949"/>
    <cellStyle name="Procentowy 3 4 76" xfId="28950"/>
    <cellStyle name="Procentowy 3 4 8" xfId="28951"/>
    <cellStyle name="Procentowy 3 4 8 2" xfId="28952"/>
    <cellStyle name="Procentowy 3 4 9" xfId="28953"/>
    <cellStyle name="Procentowy 3 4 9 2" xfId="28954"/>
    <cellStyle name="Procentowy 3 40" xfId="28955"/>
    <cellStyle name="Procentowy 3 40 2" xfId="28956"/>
    <cellStyle name="Procentowy 3 41" xfId="28957"/>
    <cellStyle name="Procentowy 3 41 2" xfId="28958"/>
    <cellStyle name="Procentowy 3 42" xfId="28959"/>
    <cellStyle name="Procentowy 3 42 2" xfId="28960"/>
    <cellStyle name="Procentowy 3 43" xfId="28961"/>
    <cellStyle name="Procentowy 3 43 2" xfId="28962"/>
    <cellStyle name="Procentowy 3 44" xfId="28963"/>
    <cellStyle name="Procentowy 3 44 2" xfId="28964"/>
    <cellStyle name="Procentowy 3 45" xfId="28965"/>
    <cellStyle name="Procentowy 3 45 2" xfId="28966"/>
    <cellStyle name="Procentowy 3 46" xfId="28967"/>
    <cellStyle name="Procentowy 3 46 2" xfId="28968"/>
    <cellStyle name="Procentowy 3 47" xfId="28969"/>
    <cellStyle name="Procentowy 3 47 2" xfId="28970"/>
    <cellStyle name="Procentowy 3 48" xfId="28971"/>
    <cellStyle name="Procentowy 3 48 2" xfId="28972"/>
    <cellStyle name="Procentowy 3 49" xfId="28973"/>
    <cellStyle name="Procentowy 3 49 2" xfId="28974"/>
    <cellStyle name="Procentowy 3 5" xfId="28975"/>
    <cellStyle name="Procentowy 3 5 10" xfId="28976"/>
    <cellStyle name="Procentowy 3 5 10 2" xfId="28977"/>
    <cellStyle name="Procentowy 3 5 11" xfId="28978"/>
    <cellStyle name="Procentowy 3 5 11 2" xfId="28979"/>
    <cellStyle name="Procentowy 3 5 12" xfId="28980"/>
    <cellStyle name="Procentowy 3 5 12 2" xfId="28981"/>
    <cellStyle name="Procentowy 3 5 13" xfId="28982"/>
    <cellStyle name="Procentowy 3 5 13 2" xfId="28983"/>
    <cellStyle name="Procentowy 3 5 14" xfId="28984"/>
    <cellStyle name="Procentowy 3 5 14 2" xfId="28985"/>
    <cellStyle name="Procentowy 3 5 15" xfId="28986"/>
    <cellStyle name="Procentowy 3 5 15 2" xfId="28987"/>
    <cellStyle name="Procentowy 3 5 16" xfId="28988"/>
    <cellStyle name="Procentowy 3 5 16 2" xfId="28989"/>
    <cellStyle name="Procentowy 3 5 17" xfId="28990"/>
    <cellStyle name="Procentowy 3 5 17 2" xfId="28991"/>
    <cellStyle name="Procentowy 3 5 18" xfId="28992"/>
    <cellStyle name="Procentowy 3 5 18 2" xfId="28993"/>
    <cellStyle name="Procentowy 3 5 19" xfId="28994"/>
    <cellStyle name="Procentowy 3 5 19 2" xfId="28995"/>
    <cellStyle name="Procentowy 3 5 2" xfId="28996"/>
    <cellStyle name="Procentowy 3 5 2 2" xfId="28997"/>
    <cellStyle name="Procentowy 3 5 2 3" xfId="28998"/>
    <cellStyle name="Procentowy 3 5 2 4" xfId="28999"/>
    <cellStyle name="Procentowy 3 5 2 5" xfId="29000"/>
    <cellStyle name="Procentowy 3 5 2 6" xfId="29001"/>
    <cellStyle name="Procentowy 3 5 2 7" xfId="29002"/>
    <cellStyle name="Procentowy 3 5 20" xfId="29003"/>
    <cellStyle name="Procentowy 3 5 20 2" xfId="29004"/>
    <cellStyle name="Procentowy 3 5 21" xfId="29005"/>
    <cellStyle name="Procentowy 3 5 21 2" xfId="29006"/>
    <cellStyle name="Procentowy 3 5 22" xfId="29007"/>
    <cellStyle name="Procentowy 3 5 22 2" xfId="29008"/>
    <cellStyle name="Procentowy 3 5 23" xfId="29009"/>
    <cellStyle name="Procentowy 3 5 23 2" xfId="29010"/>
    <cellStyle name="Procentowy 3 5 24" xfId="29011"/>
    <cellStyle name="Procentowy 3 5 24 2" xfId="29012"/>
    <cellStyle name="Procentowy 3 5 25" xfId="29013"/>
    <cellStyle name="Procentowy 3 5 25 2" xfId="29014"/>
    <cellStyle name="Procentowy 3 5 26" xfId="29015"/>
    <cellStyle name="Procentowy 3 5 26 2" xfId="29016"/>
    <cellStyle name="Procentowy 3 5 27" xfId="29017"/>
    <cellStyle name="Procentowy 3 5 27 2" xfId="29018"/>
    <cellStyle name="Procentowy 3 5 28" xfId="29019"/>
    <cellStyle name="Procentowy 3 5 28 2" xfId="29020"/>
    <cellStyle name="Procentowy 3 5 29" xfId="29021"/>
    <cellStyle name="Procentowy 3 5 29 2" xfId="29022"/>
    <cellStyle name="Procentowy 3 5 3" xfId="29023"/>
    <cellStyle name="Procentowy 3 5 3 2" xfId="29024"/>
    <cellStyle name="Procentowy 3 5 3 3" xfId="29025"/>
    <cellStyle name="Procentowy 3 5 3 4" xfId="29026"/>
    <cellStyle name="Procentowy 3 5 3 5" xfId="29027"/>
    <cellStyle name="Procentowy 3 5 3 6" xfId="29028"/>
    <cellStyle name="Procentowy 3 5 3 7" xfId="29029"/>
    <cellStyle name="Procentowy 3 5 30" xfId="29030"/>
    <cellStyle name="Procentowy 3 5 30 2" xfId="29031"/>
    <cellStyle name="Procentowy 3 5 31" xfId="29032"/>
    <cellStyle name="Procentowy 3 5 31 2" xfId="29033"/>
    <cellStyle name="Procentowy 3 5 32" xfId="29034"/>
    <cellStyle name="Procentowy 3 5 33" xfId="29035"/>
    <cellStyle name="Procentowy 3 5 34" xfId="29036"/>
    <cellStyle name="Procentowy 3 5 35" xfId="29037"/>
    <cellStyle name="Procentowy 3 5 36" xfId="29038"/>
    <cellStyle name="Procentowy 3 5 37" xfId="29039"/>
    <cellStyle name="Procentowy 3 5 38" xfId="29040"/>
    <cellStyle name="Procentowy 3 5 39" xfId="29041"/>
    <cellStyle name="Procentowy 3 5 4" xfId="29042"/>
    <cellStyle name="Procentowy 3 5 4 2" xfId="29043"/>
    <cellStyle name="Procentowy 3 5 4 3" xfId="29044"/>
    <cellStyle name="Procentowy 3 5 4 4" xfId="29045"/>
    <cellStyle name="Procentowy 3 5 4 5" xfId="29046"/>
    <cellStyle name="Procentowy 3 5 4 6" xfId="29047"/>
    <cellStyle name="Procentowy 3 5 4 7" xfId="29048"/>
    <cellStyle name="Procentowy 3 5 40" xfId="29049"/>
    <cellStyle name="Procentowy 3 5 41" xfId="29050"/>
    <cellStyle name="Procentowy 3 5 42" xfId="29051"/>
    <cellStyle name="Procentowy 3 5 43" xfId="29052"/>
    <cellStyle name="Procentowy 3 5 44" xfId="29053"/>
    <cellStyle name="Procentowy 3 5 45" xfId="29054"/>
    <cellStyle name="Procentowy 3 5 46" xfId="29055"/>
    <cellStyle name="Procentowy 3 5 47" xfId="29056"/>
    <cellStyle name="Procentowy 3 5 48" xfId="29057"/>
    <cellStyle name="Procentowy 3 5 49" xfId="29058"/>
    <cellStyle name="Procentowy 3 5 5" xfId="29059"/>
    <cellStyle name="Procentowy 3 5 5 2" xfId="29060"/>
    <cellStyle name="Procentowy 3 5 5 3" xfId="29061"/>
    <cellStyle name="Procentowy 3 5 5 4" xfId="29062"/>
    <cellStyle name="Procentowy 3 5 5 5" xfId="29063"/>
    <cellStyle name="Procentowy 3 5 5 6" xfId="29064"/>
    <cellStyle name="Procentowy 3 5 5 7" xfId="29065"/>
    <cellStyle name="Procentowy 3 5 50" xfId="29066"/>
    <cellStyle name="Procentowy 3 5 51" xfId="29067"/>
    <cellStyle name="Procentowy 3 5 52" xfId="29068"/>
    <cellStyle name="Procentowy 3 5 53" xfId="29069"/>
    <cellStyle name="Procentowy 3 5 54" xfId="29070"/>
    <cellStyle name="Procentowy 3 5 55" xfId="29071"/>
    <cellStyle name="Procentowy 3 5 56" xfId="29072"/>
    <cellStyle name="Procentowy 3 5 57" xfId="29073"/>
    <cellStyle name="Procentowy 3 5 58" xfId="29074"/>
    <cellStyle name="Procentowy 3 5 59" xfId="29075"/>
    <cellStyle name="Procentowy 3 5 6" xfId="29076"/>
    <cellStyle name="Procentowy 3 5 6 2" xfId="29077"/>
    <cellStyle name="Procentowy 3 5 60" xfId="29078"/>
    <cellStyle name="Procentowy 3 5 61" xfId="29079"/>
    <cellStyle name="Procentowy 3 5 62" xfId="29080"/>
    <cellStyle name="Procentowy 3 5 63" xfId="29081"/>
    <cellStyle name="Procentowy 3 5 64" xfId="29082"/>
    <cellStyle name="Procentowy 3 5 65" xfId="29083"/>
    <cellStyle name="Procentowy 3 5 66" xfId="29084"/>
    <cellStyle name="Procentowy 3 5 67" xfId="29085"/>
    <cellStyle name="Procentowy 3 5 68" xfId="29086"/>
    <cellStyle name="Procentowy 3 5 69" xfId="29087"/>
    <cellStyle name="Procentowy 3 5 7" xfId="29088"/>
    <cellStyle name="Procentowy 3 5 7 2" xfId="29089"/>
    <cellStyle name="Procentowy 3 5 70" xfId="29090"/>
    <cellStyle name="Procentowy 3 5 71" xfId="29091"/>
    <cellStyle name="Procentowy 3 5 72" xfId="29092"/>
    <cellStyle name="Procentowy 3 5 73" xfId="29093"/>
    <cellStyle name="Procentowy 3 5 74" xfId="29094"/>
    <cellStyle name="Procentowy 3 5 8" xfId="29095"/>
    <cellStyle name="Procentowy 3 5 8 2" xfId="29096"/>
    <cellStyle name="Procentowy 3 5 9" xfId="29097"/>
    <cellStyle name="Procentowy 3 5 9 2" xfId="29098"/>
    <cellStyle name="Procentowy 3 50" xfId="29099"/>
    <cellStyle name="Procentowy 3 50 2" xfId="29100"/>
    <cellStyle name="Procentowy 3 51" xfId="29101"/>
    <cellStyle name="Procentowy 3 51 2" xfId="29102"/>
    <cellStyle name="Procentowy 3 52" xfId="29103"/>
    <cellStyle name="Procentowy 3 52 2" xfId="29104"/>
    <cellStyle name="Procentowy 3 53" xfId="29105"/>
    <cellStyle name="Procentowy 3 53 2" xfId="29106"/>
    <cellStyle name="Procentowy 3 54" xfId="29107"/>
    <cellStyle name="Procentowy 3 54 2" xfId="29108"/>
    <cellStyle name="Procentowy 3 55" xfId="29109"/>
    <cellStyle name="Procentowy 3 55 2" xfId="29110"/>
    <cellStyle name="Procentowy 3 56" xfId="29111"/>
    <cellStyle name="Procentowy 3 56 2" xfId="29112"/>
    <cellStyle name="Procentowy 3 57" xfId="29113"/>
    <cellStyle name="Procentowy 3 57 2" xfId="29114"/>
    <cellStyle name="Procentowy 3 58" xfId="29115"/>
    <cellStyle name="Procentowy 3 58 2" xfId="29116"/>
    <cellStyle name="Procentowy 3 59" xfId="29117"/>
    <cellStyle name="Procentowy 3 59 2" xfId="29118"/>
    <cellStyle name="Procentowy 3 6" xfId="29119"/>
    <cellStyle name="Procentowy 3 6 10" xfId="29120"/>
    <cellStyle name="Procentowy 3 6 10 2" xfId="29121"/>
    <cellStyle name="Procentowy 3 6 11" xfId="29122"/>
    <cellStyle name="Procentowy 3 6 11 2" xfId="29123"/>
    <cellStyle name="Procentowy 3 6 12" xfId="29124"/>
    <cellStyle name="Procentowy 3 6 12 2" xfId="29125"/>
    <cellStyle name="Procentowy 3 6 13" xfId="29126"/>
    <cellStyle name="Procentowy 3 6 13 2" xfId="29127"/>
    <cellStyle name="Procentowy 3 6 14" xfId="29128"/>
    <cellStyle name="Procentowy 3 6 14 2" xfId="29129"/>
    <cellStyle name="Procentowy 3 6 15" xfId="29130"/>
    <cellStyle name="Procentowy 3 6 15 2" xfId="29131"/>
    <cellStyle name="Procentowy 3 6 16" xfId="29132"/>
    <cellStyle name="Procentowy 3 6 16 2" xfId="29133"/>
    <cellStyle name="Procentowy 3 6 17" xfId="29134"/>
    <cellStyle name="Procentowy 3 6 17 2" xfId="29135"/>
    <cellStyle name="Procentowy 3 6 18" xfId="29136"/>
    <cellStyle name="Procentowy 3 6 18 2" xfId="29137"/>
    <cellStyle name="Procentowy 3 6 19" xfId="29138"/>
    <cellStyle name="Procentowy 3 6 19 2" xfId="29139"/>
    <cellStyle name="Procentowy 3 6 2" xfId="29140"/>
    <cellStyle name="Procentowy 3 6 2 2" xfId="29141"/>
    <cellStyle name="Procentowy 3 6 2 3" xfId="29142"/>
    <cellStyle name="Procentowy 3 6 2 4" xfId="29143"/>
    <cellStyle name="Procentowy 3 6 2 5" xfId="29144"/>
    <cellStyle name="Procentowy 3 6 2 6" xfId="29145"/>
    <cellStyle name="Procentowy 3 6 2 7" xfId="29146"/>
    <cellStyle name="Procentowy 3 6 20" xfId="29147"/>
    <cellStyle name="Procentowy 3 6 20 2" xfId="29148"/>
    <cellStyle name="Procentowy 3 6 21" xfId="29149"/>
    <cellStyle name="Procentowy 3 6 21 2" xfId="29150"/>
    <cellStyle name="Procentowy 3 6 22" xfId="29151"/>
    <cellStyle name="Procentowy 3 6 22 2" xfId="29152"/>
    <cellStyle name="Procentowy 3 6 23" xfId="29153"/>
    <cellStyle name="Procentowy 3 6 23 2" xfId="29154"/>
    <cellStyle name="Procentowy 3 6 24" xfId="29155"/>
    <cellStyle name="Procentowy 3 6 24 2" xfId="29156"/>
    <cellStyle name="Procentowy 3 6 25" xfId="29157"/>
    <cellStyle name="Procentowy 3 6 25 2" xfId="29158"/>
    <cellStyle name="Procentowy 3 6 26" xfId="29159"/>
    <cellStyle name="Procentowy 3 6 26 2" xfId="29160"/>
    <cellStyle name="Procentowy 3 6 27" xfId="29161"/>
    <cellStyle name="Procentowy 3 6 27 2" xfId="29162"/>
    <cellStyle name="Procentowy 3 6 28" xfId="29163"/>
    <cellStyle name="Procentowy 3 6 28 2" xfId="29164"/>
    <cellStyle name="Procentowy 3 6 29" xfId="29165"/>
    <cellStyle name="Procentowy 3 6 29 2" xfId="29166"/>
    <cellStyle name="Procentowy 3 6 3" xfId="29167"/>
    <cellStyle name="Procentowy 3 6 3 2" xfId="29168"/>
    <cellStyle name="Procentowy 3 6 3 3" xfId="29169"/>
    <cellStyle name="Procentowy 3 6 3 4" xfId="29170"/>
    <cellStyle name="Procentowy 3 6 3 5" xfId="29171"/>
    <cellStyle name="Procentowy 3 6 3 6" xfId="29172"/>
    <cellStyle name="Procentowy 3 6 3 7" xfId="29173"/>
    <cellStyle name="Procentowy 3 6 30" xfId="29174"/>
    <cellStyle name="Procentowy 3 6 30 2" xfId="29175"/>
    <cellStyle name="Procentowy 3 6 31" xfId="29176"/>
    <cellStyle name="Procentowy 3 6 31 2" xfId="29177"/>
    <cellStyle name="Procentowy 3 6 32" xfId="29178"/>
    <cellStyle name="Procentowy 3 6 33" xfId="29179"/>
    <cellStyle name="Procentowy 3 6 34" xfId="29180"/>
    <cellStyle name="Procentowy 3 6 35" xfId="29181"/>
    <cellStyle name="Procentowy 3 6 36" xfId="29182"/>
    <cellStyle name="Procentowy 3 6 37" xfId="29183"/>
    <cellStyle name="Procentowy 3 6 38" xfId="29184"/>
    <cellStyle name="Procentowy 3 6 39" xfId="29185"/>
    <cellStyle name="Procentowy 3 6 4" xfId="29186"/>
    <cellStyle name="Procentowy 3 6 4 2" xfId="29187"/>
    <cellStyle name="Procentowy 3 6 4 3" xfId="29188"/>
    <cellStyle name="Procentowy 3 6 4 4" xfId="29189"/>
    <cellStyle name="Procentowy 3 6 4 5" xfId="29190"/>
    <cellStyle name="Procentowy 3 6 4 6" xfId="29191"/>
    <cellStyle name="Procentowy 3 6 4 7" xfId="29192"/>
    <cellStyle name="Procentowy 3 6 40" xfId="29193"/>
    <cellStyle name="Procentowy 3 6 41" xfId="29194"/>
    <cellStyle name="Procentowy 3 6 42" xfId="29195"/>
    <cellStyle name="Procentowy 3 6 43" xfId="29196"/>
    <cellStyle name="Procentowy 3 6 44" xfId="29197"/>
    <cellStyle name="Procentowy 3 6 45" xfId="29198"/>
    <cellStyle name="Procentowy 3 6 46" xfId="29199"/>
    <cellStyle name="Procentowy 3 6 47" xfId="29200"/>
    <cellStyle name="Procentowy 3 6 48" xfId="29201"/>
    <cellStyle name="Procentowy 3 6 49" xfId="29202"/>
    <cellStyle name="Procentowy 3 6 5" xfId="29203"/>
    <cellStyle name="Procentowy 3 6 5 2" xfId="29204"/>
    <cellStyle name="Procentowy 3 6 5 3" xfId="29205"/>
    <cellStyle name="Procentowy 3 6 5 4" xfId="29206"/>
    <cellStyle name="Procentowy 3 6 5 5" xfId="29207"/>
    <cellStyle name="Procentowy 3 6 5 6" xfId="29208"/>
    <cellStyle name="Procentowy 3 6 5 7" xfId="29209"/>
    <cellStyle name="Procentowy 3 6 50" xfId="29210"/>
    <cellStyle name="Procentowy 3 6 51" xfId="29211"/>
    <cellStyle name="Procentowy 3 6 52" xfId="29212"/>
    <cellStyle name="Procentowy 3 6 53" xfId="29213"/>
    <cellStyle name="Procentowy 3 6 54" xfId="29214"/>
    <cellStyle name="Procentowy 3 6 55" xfId="29215"/>
    <cellStyle name="Procentowy 3 6 56" xfId="29216"/>
    <cellStyle name="Procentowy 3 6 57" xfId="29217"/>
    <cellStyle name="Procentowy 3 6 58" xfId="29218"/>
    <cellStyle name="Procentowy 3 6 59" xfId="29219"/>
    <cellStyle name="Procentowy 3 6 6" xfId="29220"/>
    <cellStyle name="Procentowy 3 6 6 2" xfId="29221"/>
    <cellStyle name="Procentowy 3 6 60" xfId="29222"/>
    <cellStyle name="Procentowy 3 6 61" xfId="29223"/>
    <cellStyle name="Procentowy 3 6 62" xfId="29224"/>
    <cellStyle name="Procentowy 3 6 63" xfId="29225"/>
    <cellStyle name="Procentowy 3 6 64" xfId="29226"/>
    <cellStyle name="Procentowy 3 6 65" xfId="29227"/>
    <cellStyle name="Procentowy 3 6 66" xfId="29228"/>
    <cellStyle name="Procentowy 3 6 67" xfId="29229"/>
    <cellStyle name="Procentowy 3 6 68" xfId="29230"/>
    <cellStyle name="Procentowy 3 6 69" xfId="29231"/>
    <cellStyle name="Procentowy 3 6 7" xfId="29232"/>
    <cellStyle name="Procentowy 3 6 7 2" xfId="29233"/>
    <cellStyle name="Procentowy 3 6 70" xfId="29234"/>
    <cellStyle name="Procentowy 3 6 71" xfId="29235"/>
    <cellStyle name="Procentowy 3 6 72" xfId="29236"/>
    <cellStyle name="Procentowy 3 6 73" xfId="29237"/>
    <cellStyle name="Procentowy 3 6 74" xfId="29238"/>
    <cellStyle name="Procentowy 3 6 8" xfId="29239"/>
    <cellStyle name="Procentowy 3 6 8 2" xfId="29240"/>
    <cellStyle name="Procentowy 3 6 9" xfId="29241"/>
    <cellStyle name="Procentowy 3 6 9 2" xfId="29242"/>
    <cellStyle name="Procentowy 3 60" xfId="29243"/>
    <cellStyle name="Procentowy 3 60 2" xfId="29244"/>
    <cellStyle name="Procentowy 3 61" xfId="29245"/>
    <cellStyle name="Procentowy 3 61 2" xfId="29246"/>
    <cellStyle name="Procentowy 3 62" xfId="29247"/>
    <cellStyle name="Procentowy 3 62 2" xfId="29248"/>
    <cellStyle name="Procentowy 3 63" xfId="29249"/>
    <cellStyle name="Procentowy 3 63 2" xfId="29250"/>
    <cellStyle name="Procentowy 3 64" xfId="29251"/>
    <cellStyle name="Procentowy 3 64 2" xfId="29252"/>
    <cellStyle name="Procentowy 3 65" xfId="29253"/>
    <cellStyle name="Procentowy 3 65 2" xfId="29254"/>
    <cellStyle name="Procentowy 3 66" xfId="29255"/>
    <cellStyle name="Procentowy 3 66 2" xfId="29256"/>
    <cellStyle name="Procentowy 3 67" xfId="29257"/>
    <cellStyle name="Procentowy 3 67 2" xfId="29258"/>
    <cellStyle name="Procentowy 3 68" xfId="29259"/>
    <cellStyle name="Procentowy 3 68 2" xfId="29260"/>
    <cellStyle name="Procentowy 3 69" xfId="29261"/>
    <cellStyle name="Procentowy 3 69 2" xfId="29262"/>
    <cellStyle name="Procentowy 3 7" xfId="29263"/>
    <cellStyle name="Procentowy 3 7 10" xfId="29264"/>
    <cellStyle name="Procentowy 3 7 10 2" xfId="29265"/>
    <cellStyle name="Procentowy 3 7 11" xfId="29266"/>
    <cellStyle name="Procentowy 3 7 11 2" xfId="29267"/>
    <cellStyle name="Procentowy 3 7 12" xfId="29268"/>
    <cellStyle name="Procentowy 3 7 12 2" xfId="29269"/>
    <cellStyle name="Procentowy 3 7 13" xfId="29270"/>
    <cellStyle name="Procentowy 3 7 13 2" xfId="29271"/>
    <cellStyle name="Procentowy 3 7 14" xfId="29272"/>
    <cellStyle name="Procentowy 3 7 14 2" xfId="29273"/>
    <cellStyle name="Procentowy 3 7 15" xfId="29274"/>
    <cellStyle name="Procentowy 3 7 15 2" xfId="29275"/>
    <cellStyle name="Procentowy 3 7 16" xfId="29276"/>
    <cellStyle name="Procentowy 3 7 16 2" xfId="29277"/>
    <cellStyle name="Procentowy 3 7 17" xfId="29278"/>
    <cellStyle name="Procentowy 3 7 17 2" xfId="29279"/>
    <cellStyle name="Procentowy 3 7 18" xfId="29280"/>
    <cellStyle name="Procentowy 3 7 18 2" xfId="29281"/>
    <cellStyle name="Procentowy 3 7 19" xfId="29282"/>
    <cellStyle name="Procentowy 3 7 19 2" xfId="29283"/>
    <cellStyle name="Procentowy 3 7 2" xfId="29284"/>
    <cellStyle name="Procentowy 3 7 2 2" xfId="29285"/>
    <cellStyle name="Procentowy 3 7 2 3" xfId="29286"/>
    <cellStyle name="Procentowy 3 7 2 4" xfId="29287"/>
    <cellStyle name="Procentowy 3 7 2 5" xfId="29288"/>
    <cellStyle name="Procentowy 3 7 2 6" xfId="29289"/>
    <cellStyle name="Procentowy 3 7 2 7" xfId="29290"/>
    <cellStyle name="Procentowy 3 7 20" xfId="29291"/>
    <cellStyle name="Procentowy 3 7 20 2" xfId="29292"/>
    <cellStyle name="Procentowy 3 7 21" xfId="29293"/>
    <cellStyle name="Procentowy 3 7 21 2" xfId="29294"/>
    <cellStyle name="Procentowy 3 7 22" xfId="29295"/>
    <cellStyle name="Procentowy 3 7 22 2" xfId="29296"/>
    <cellStyle name="Procentowy 3 7 23" xfId="29297"/>
    <cellStyle name="Procentowy 3 7 23 2" xfId="29298"/>
    <cellStyle name="Procentowy 3 7 24" xfId="29299"/>
    <cellStyle name="Procentowy 3 7 24 2" xfId="29300"/>
    <cellStyle name="Procentowy 3 7 25" xfId="29301"/>
    <cellStyle name="Procentowy 3 7 25 2" xfId="29302"/>
    <cellStyle name="Procentowy 3 7 26" xfId="29303"/>
    <cellStyle name="Procentowy 3 7 26 2" xfId="29304"/>
    <cellStyle name="Procentowy 3 7 27" xfId="29305"/>
    <cellStyle name="Procentowy 3 7 27 2" xfId="29306"/>
    <cellStyle name="Procentowy 3 7 28" xfId="29307"/>
    <cellStyle name="Procentowy 3 7 28 2" xfId="29308"/>
    <cellStyle name="Procentowy 3 7 29" xfId="29309"/>
    <cellStyle name="Procentowy 3 7 29 2" xfId="29310"/>
    <cellStyle name="Procentowy 3 7 3" xfId="29311"/>
    <cellStyle name="Procentowy 3 7 3 2" xfId="29312"/>
    <cellStyle name="Procentowy 3 7 3 3" xfId="29313"/>
    <cellStyle name="Procentowy 3 7 3 4" xfId="29314"/>
    <cellStyle name="Procentowy 3 7 3 5" xfId="29315"/>
    <cellStyle name="Procentowy 3 7 3 6" xfId="29316"/>
    <cellStyle name="Procentowy 3 7 3 7" xfId="29317"/>
    <cellStyle name="Procentowy 3 7 30" xfId="29318"/>
    <cellStyle name="Procentowy 3 7 30 2" xfId="29319"/>
    <cellStyle name="Procentowy 3 7 31" xfId="29320"/>
    <cellStyle name="Procentowy 3 7 31 2" xfId="29321"/>
    <cellStyle name="Procentowy 3 7 32" xfId="29322"/>
    <cellStyle name="Procentowy 3 7 33" xfId="29323"/>
    <cellStyle name="Procentowy 3 7 34" xfId="29324"/>
    <cellStyle name="Procentowy 3 7 35" xfId="29325"/>
    <cellStyle name="Procentowy 3 7 36" xfId="29326"/>
    <cellStyle name="Procentowy 3 7 37" xfId="29327"/>
    <cellStyle name="Procentowy 3 7 38" xfId="29328"/>
    <cellStyle name="Procentowy 3 7 39" xfId="29329"/>
    <cellStyle name="Procentowy 3 7 4" xfId="29330"/>
    <cellStyle name="Procentowy 3 7 4 2" xfId="29331"/>
    <cellStyle name="Procentowy 3 7 4 3" xfId="29332"/>
    <cellStyle name="Procentowy 3 7 4 4" xfId="29333"/>
    <cellStyle name="Procentowy 3 7 4 5" xfId="29334"/>
    <cellStyle name="Procentowy 3 7 4 6" xfId="29335"/>
    <cellStyle name="Procentowy 3 7 4 7" xfId="29336"/>
    <cellStyle name="Procentowy 3 7 40" xfId="29337"/>
    <cellStyle name="Procentowy 3 7 41" xfId="29338"/>
    <cellStyle name="Procentowy 3 7 42" xfId="29339"/>
    <cellStyle name="Procentowy 3 7 43" xfId="29340"/>
    <cellStyle name="Procentowy 3 7 44" xfId="29341"/>
    <cellStyle name="Procentowy 3 7 45" xfId="29342"/>
    <cellStyle name="Procentowy 3 7 46" xfId="29343"/>
    <cellStyle name="Procentowy 3 7 47" xfId="29344"/>
    <cellStyle name="Procentowy 3 7 48" xfId="29345"/>
    <cellStyle name="Procentowy 3 7 49" xfId="29346"/>
    <cellStyle name="Procentowy 3 7 5" xfId="29347"/>
    <cellStyle name="Procentowy 3 7 5 2" xfId="29348"/>
    <cellStyle name="Procentowy 3 7 5 3" xfId="29349"/>
    <cellStyle name="Procentowy 3 7 5 4" xfId="29350"/>
    <cellStyle name="Procentowy 3 7 5 5" xfId="29351"/>
    <cellStyle name="Procentowy 3 7 5 6" xfId="29352"/>
    <cellStyle name="Procentowy 3 7 5 7" xfId="29353"/>
    <cellStyle name="Procentowy 3 7 50" xfId="29354"/>
    <cellStyle name="Procentowy 3 7 51" xfId="29355"/>
    <cellStyle name="Procentowy 3 7 52" xfId="29356"/>
    <cellStyle name="Procentowy 3 7 53" xfId="29357"/>
    <cellStyle name="Procentowy 3 7 54" xfId="29358"/>
    <cellStyle name="Procentowy 3 7 55" xfId="29359"/>
    <cellStyle name="Procentowy 3 7 56" xfId="29360"/>
    <cellStyle name="Procentowy 3 7 57" xfId="29361"/>
    <cellStyle name="Procentowy 3 7 58" xfId="29362"/>
    <cellStyle name="Procentowy 3 7 59" xfId="29363"/>
    <cellStyle name="Procentowy 3 7 6" xfId="29364"/>
    <cellStyle name="Procentowy 3 7 6 2" xfId="29365"/>
    <cellStyle name="Procentowy 3 7 60" xfId="29366"/>
    <cellStyle name="Procentowy 3 7 61" xfId="29367"/>
    <cellStyle name="Procentowy 3 7 62" xfId="29368"/>
    <cellStyle name="Procentowy 3 7 63" xfId="29369"/>
    <cellStyle name="Procentowy 3 7 64" xfId="29370"/>
    <cellStyle name="Procentowy 3 7 65" xfId="29371"/>
    <cellStyle name="Procentowy 3 7 66" xfId="29372"/>
    <cellStyle name="Procentowy 3 7 67" xfId="29373"/>
    <cellStyle name="Procentowy 3 7 68" xfId="29374"/>
    <cellStyle name="Procentowy 3 7 69" xfId="29375"/>
    <cellStyle name="Procentowy 3 7 7" xfId="29376"/>
    <cellStyle name="Procentowy 3 7 7 2" xfId="29377"/>
    <cellStyle name="Procentowy 3 7 70" xfId="29378"/>
    <cellStyle name="Procentowy 3 7 71" xfId="29379"/>
    <cellStyle name="Procentowy 3 7 72" xfId="29380"/>
    <cellStyle name="Procentowy 3 7 73" xfId="29381"/>
    <cellStyle name="Procentowy 3 7 74" xfId="29382"/>
    <cellStyle name="Procentowy 3 7 8" xfId="29383"/>
    <cellStyle name="Procentowy 3 7 8 2" xfId="29384"/>
    <cellStyle name="Procentowy 3 7 9" xfId="29385"/>
    <cellStyle name="Procentowy 3 7 9 2" xfId="29386"/>
    <cellStyle name="Procentowy 3 70" xfId="29387"/>
    <cellStyle name="Procentowy 3 71" xfId="29388"/>
    <cellStyle name="Procentowy 3 72" xfId="29389"/>
    <cellStyle name="Procentowy 3 73" xfId="29390"/>
    <cellStyle name="Procentowy 3 74" xfId="29391"/>
    <cellStyle name="Procentowy 3 75" xfId="29392"/>
    <cellStyle name="Procentowy 3 76" xfId="29393"/>
    <cellStyle name="Procentowy 3 77" xfId="29394"/>
    <cellStyle name="Procentowy 3 78" xfId="29395"/>
    <cellStyle name="Procentowy 3 79" xfId="29396"/>
    <cellStyle name="Procentowy 3 8" xfId="29397"/>
    <cellStyle name="Procentowy 3 8 10" xfId="29398"/>
    <cellStyle name="Procentowy 3 8 10 2" xfId="29399"/>
    <cellStyle name="Procentowy 3 8 11" xfId="29400"/>
    <cellStyle name="Procentowy 3 8 11 2" xfId="29401"/>
    <cellStyle name="Procentowy 3 8 12" xfId="29402"/>
    <cellStyle name="Procentowy 3 8 12 2" xfId="29403"/>
    <cellStyle name="Procentowy 3 8 13" xfId="29404"/>
    <cellStyle name="Procentowy 3 8 13 2" xfId="29405"/>
    <cellStyle name="Procentowy 3 8 14" xfId="29406"/>
    <cellStyle name="Procentowy 3 8 14 2" xfId="29407"/>
    <cellStyle name="Procentowy 3 8 15" xfId="29408"/>
    <cellStyle name="Procentowy 3 8 15 2" xfId="29409"/>
    <cellStyle name="Procentowy 3 8 16" xfId="29410"/>
    <cellStyle name="Procentowy 3 8 16 2" xfId="29411"/>
    <cellStyle name="Procentowy 3 8 17" xfId="29412"/>
    <cellStyle name="Procentowy 3 8 17 2" xfId="29413"/>
    <cellStyle name="Procentowy 3 8 18" xfId="29414"/>
    <cellStyle name="Procentowy 3 8 18 2" xfId="29415"/>
    <cellStyle name="Procentowy 3 8 19" xfId="29416"/>
    <cellStyle name="Procentowy 3 8 19 2" xfId="29417"/>
    <cellStyle name="Procentowy 3 8 2" xfId="29418"/>
    <cellStyle name="Procentowy 3 8 2 2" xfId="29419"/>
    <cellStyle name="Procentowy 3 8 2 3" xfId="29420"/>
    <cellStyle name="Procentowy 3 8 2 4" xfId="29421"/>
    <cellStyle name="Procentowy 3 8 2 5" xfId="29422"/>
    <cellStyle name="Procentowy 3 8 2 6" xfId="29423"/>
    <cellStyle name="Procentowy 3 8 2 7" xfId="29424"/>
    <cellStyle name="Procentowy 3 8 20" xfId="29425"/>
    <cellStyle name="Procentowy 3 8 20 2" xfId="29426"/>
    <cellStyle name="Procentowy 3 8 21" xfId="29427"/>
    <cellStyle name="Procentowy 3 8 21 2" xfId="29428"/>
    <cellStyle name="Procentowy 3 8 22" xfId="29429"/>
    <cellStyle name="Procentowy 3 8 22 2" xfId="29430"/>
    <cellStyle name="Procentowy 3 8 23" xfId="29431"/>
    <cellStyle name="Procentowy 3 8 23 2" xfId="29432"/>
    <cellStyle name="Procentowy 3 8 24" xfId="29433"/>
    <cellStyle name="Procentowy 3 8 24 2" xfId="29434"/>
    <cellStyle name="Procentowy 3 8 25" xfId="29435"/>
    <cellStyle name="Procentowy 3 8 25 2" xfId="29436"/>
    <cellStyle name="Procentowy 3 8 26" xfId="29437"/>
    <cellStyle name="Procentowy 3 8 26 2" xfId="29438"/>
    <cellStyle name="Procentowy 3 8 27" xfId="29439"/>
    <cellStyle name="Procentowy 3 8 27 2" xfId="29440"/>
    <cellStyle name="Procentowy 3 8 28" xfId="29441"/>
    <cellStyle name="Procentowy 3 8 28 2" xfId="29442"/>
    <cellStyle name="Procentowy 3 8 29" xfId="29443"/>
    <cellStyle name="Procentowy 3 8 29 2" xfId="29444"/>
    <cellStyle name="Procentowy 3 8 3" xfId="29445"/>
    <cellStyle name="Procentowy 3 8 3 2" xfId="29446"/>
    <cellStyle name="Procentowy 3 8 3 3" xfId="29447"/>
    <cellStyle name="Procentowy 3 8 3 4" xfId="29448"/>
    <cellStyle name="Procentowy 3 8 3 5" xfId="29449"/>
    <cellStyle name="Procentowy 3 8 3 6" xfId="29450"/>
    <cellStyle name="Procentowy 3 8 3 7" xfId="29451"/>
    <cellStyle name="Procentowy 3 8 30" xfId="29452"/>
    <cellStyle name="Procentowy 3 8 30 2" xfId="29453"/>
    <cellStyle name="Procentowy 3 8 31" xfId="29454"/>
    <cellStyle name="Procentowy 3 8 31 2" xfId="29455"/>
    <cellStyle name="Procentowy 3 8 32" xfId="29456"/>
    <cellStyle name="Procentowy 3 8 33" xfId="29457"/>
    <cellStyle name="Procentowy 3 8 34" xfId="29458"/>
    <cellStyle name="Procentowy 3 8 35" xfId="29459"/>
    <cellStyle name="Procentowy 3 8 36" xfId="29460"/>
    <cellStyle name="Procentowy 3 8 37" xfId="29461"/>
    <cellStyle name="Procentowy 3 8 38" xfId="29462"/>
    <cellStyle name="Procentowy 3 8 39" xfId="29463"/>
    <cellStyle name="Procentowy 3 8 4" xfId="29464"/>
    <cellStyle name="Procentowy 3 8 4 2" xfId="29465"/>
    <cellStyle name="Procentowy 3 8 4 3" xfId="29466"/>
    <cellStyle name="Procentowy 3 8 4 4" xfId="29467"/>
    <cellStyle name="Procentowy 3 8 4 5" xfId="29468"/>
    <cellStyle name="Procentowy 3 8 4 6" xfId="29469"/>
    <cellStyle name="Procentowy 3 8 4 7" xfId="29470"/>
    <cellStyle name="Procentowy 3 8 40" xfId="29471"/>
    <cellStyle name="Procentowy 3 8 41" xfId="29472"/>
    <cellStyle name="Procentowy 3 8 42" xfId="29473"/>
    <cellStyle name="Procentowy 3 8 43" xfId="29474"/>
    <cellStyle name="Procentowy 3 8 44" xfId="29475"/>
    <cellStyle name="Procentowy 3 8 45" xfId="29476"/>
    <cellStyle name="Procentowy 3 8 46" xfId="29477"/>
    <cellStyle name="Procentowy 3 8 47" xfId="29478"/>
    <cellStyle name="Procentowy 3 8 48" xfId="29479"/>
    <cellStyle name="Procentowy 3 8 49" xfId="29480"/>
    <cellStyle name="Procentowy 3 8 5" xfId="29481"/>
    <cellStyle name="Procentowy 3 8 5 2" xfId="29482"/>
    <cellStyle name="Procentowy 3 8 5 3" xfId="29483"/>
    <cellStyle name="Procentowy 3 8 5 4" xfId="29484"/>
    <cellStyle name="Procentowy 3 8 5 5" xfId="29485"/>
    <cellStyle name="Procentowy 3 8 5 6" xfId="29486"/>
    <cellStyle name="Procentowy 3 8 5 7" xfId="29487"/>
    <cellStyle name="Procentowy 3 8 50" xfId="29488"/>
    <cellStyle name="Procentowy 3 8 51" xfId="29489"/>
    <cellStyle name="Procentowy 3 8 52" xfId="29490"/>
    <cellStyle name="Procentowy 3 8 53" xfId="29491"/>
    <cellStyle name="Procentowy 3 8 54" xfId="29492"/>
    <cellStyle name="Procentowy 3 8 55" xfId="29493"/>
    <cellStyle name="Procentowy 3 8 56" xfId="29494"/>
    <cellStyle name="Procentowy 3 8 57" xfId="29495"/>
    <cellStyle name="Procentowy 3 8 58" xfId="29496"/>
    <cellStyle name="Procentowy 3 8 59" xfId="29497"/>
    <cellStyle name="Procentowy 3 8 6" xfId="29498"/>
    <cellStyle name="Procentowy 3 8 6 2" xfId="29499"/>
    <cellStyle name="Procentowy 3 8 60" xfId="29500"/>
    <cellStyle name="Procentowy 3 8 61" xfId="29501"/>
    <cellStyle name="Procentowy 3 8 62" xfId="29502"/>
    <cellStyle name="Procentowy 3 8 63" xfId="29503"/>
    <cellStyle name="Procentowy 3 8 64" xfId="29504"/>
    <cellStyle name="Procentowy 3 8 65" xfId="29505"/>
    <cellStyle name="Procentowy 3 8 66" xfId="29506"/>
    <cellStyle name="Procentowy 3 8 67" xfId="29507"/>
    <cellStyle name="Procentowy 3 8 68" xfId="29508"/>
    <cellStyle name="Procentowy 3 8 69" xfId="29509"/>
    <cellStyle name="Procentowy 3 8 7" xfId="29510"/>
    <cellStyle name="Procentowy 3 8 7 2" xfId="29511"/>
    <cellStyle name="Procentowy 3 8 70" xfId="29512"/>
    <cellStyle name="Procentowy 3 8 71" xfId="29513"/>
    <cellStyle name="Procentowy 3 8 72" xfId="29514"/>
    <cellStyle name="Procentowy 3 8 73" xfId="29515"/>
    <cellStyle name="Procentowy 3 8 74" xfId="29516"/>
    <cellStyle name="Procentowy 3 8 8" xfId="29517"/>
    <cellStyle name="Procentowy 3 8 8 2" xfId="29518"/>
    <cellStyle name="Procentowy 3 8 9" xfId="29519"/>
    <cellStyle name="Procentowy 3 8 9 2" xfId="29520"/>
    <cellStyle name="Procentowy 3 80" xfId="29521"/>
    <cellStyle name="Procentowy 3 81" xfId="29522"/>
    <cellStyle name="Procentowy 3 82" xfId="29523"/>
    <cellStyle name="Procentowy 3 83" xfId="29524"/>
    <cellStyle name="Procentowy 3 84" xfId="29525"/>
    <cellStyle name="Procentowy 3 85" xfId="29526"/>
    <cellStyle name="Procentowy 3 86" xfId="29527"/>
    <cellStyle name="Procentowy 3 87" xfId="29528"/>
    <cellStyle name="Procentowy 3 88" xfId="29529"/>
    <cellStyle name="Procentowy 3 89" xfId="29530"/>
    <cellStyle name="Procentowy 3 9" xfId="29531"/>
    <cellStyle name="Procentowy 3 9 10" xfId="29532"/>
    <cellStyle name="Procentowy 3 9 10 2" xfId="29533"/>
    <cellStyle name="Procentowy 3 9 11" xfId="29534"/>
    <cellStyle name="Procentowy 3 9 11 2" xfId="29535"/>
    <cellStyle name="Procentowy 3 9 12" xfId="29536"/>
    <cellStyle name="Procentowy 3 9 12 2" xfId="29537"/>
    <cellStyle name="Procentowy 3 9 13" xfId="29538"/>
    <cellStyle name="Procentowy 3 9 13 2" xfId="29539"/>
    <cellStyle name="Procentowy 3 9 14" xfId="29540"/>
    <cellStyle name="Procentowy 3 9 14 2" xfId="29541"/>
    <cellStyle name="Procentowy 3 9 15" xfId="29542"/>
    <cellStyle name="Procentowy 3 9 15 2" xfId="29543"/>
    <cellStyle name="Procentowy 3 9 16" xfId="29544"/>
    <cellStyle name="Procentowy 3 9 16 2" xfId="29545"/>
    <cellStyle name="Procentowy 3 9 17" xfId="29546"/>
    <cellStyle name="Procentowy 3 9 17 2" xfId="29547"/>
    <cellStyle name="Procentowy 3 9 18" xfId="29548"/>
    <cellStyle name="Procentowy 3 9 18 2" xfId="29549"/>
    <cellStyle name="Procentowy 3 9 19" xfId="29550"/>
    <cellStyle name="Procentowy 3 9 19 2" xfId="29551"/>
    <cellStyle name="Procentowy 3 9 2" xfId="29552"/>
    <cellStyle name="Procentowy 3 9 2 2" xfId="29553"/>
    <cellStyle name="Procentowy 3 9 2 3" xfId="29554"/>
    <cellStyle name="Procentowy 3 9 2 4" xfId="29555"/>
    <cellStyle name="Procentowy 3 9 2 5" xfId="29556"/>
    <cellStyle name="Procentowy 3 9 2 6" xfId="29557"/>
    <cellStyle name="Procentowy 3 9 2 7" xfId="29558"/>
    <cellStyle name="Procentowy 3 9 20" xfId="29559"/>
    <cellStyle name="Procentowy 3 9 20 2" xfId="29560"/>
    <cellStyle name="Procentowy 3 9 21" xfId="29561"/>
    <cellStyle name="Procentowy 3 9 21 2" xfId="29562"/>
    <cellStyle name="Procentowy 3 9 22" xfId="29563"/>
    <cellStyle name="Procentowy 3 9 22 2" xfId="29564"/>
    <cellStyle name="Procentowy 3 9 23" xfId="29565"/>
    <cellStyle name="Procentowy 3 9 23 2" xfId="29566"/>
    <cellStyle name="Procentowy 3 9 24" xfId="29567"/>
    <cellStyle name="Procentowy 3 9 24 2" xfId="29568"/>
    <cellStyle name="Procentowy 3 9 25" xfId="29569"/>
    <cellStyle name="Procentowy 3 9 25 2" xfId="29570"/>
    <cellStyle name="Procentowy 3 9 26" xfId="29571"/>
    <cellStyle name="Procentowy 3 9 26 2" xfId="29572"/>
    <cellStyle name="Procentowy 3 9 27" xfId="29573"/>
    <cellStyle name="Procentowy 3 9 27 2" xfId="29574"/>
    <cellStyle name="Procentowy 3 9 28" xfId="29575"/>
    <cellStyle name="Procentowy 3 9 28 2" xfId="29576"/>
    <cellStyle name="Procentowy 3 9 29" xfId="29577"/>
    <cellStyle name="Procentowy 3 9 29 2" xfId="29578"/>
    <cellStyle name="Procentowy 3 9 3" xfId="29579"/>
    <cellStyle name="Procentowy 3 9 3 2" xfId="29580"/>
    <cellStyle name="Procentowy 3 9 3 3" xfId="29581"/>
    <cellStyle name="Procentowy 3 9 3 4" xfId="29582"/>
    <cellStyle name="Procentowy 3 9 3 5" xfId="29583"/>
    <cellStyle name="Procentowy 3 9 3 6" xfId="29584"/>
    <cellStyle name="Procentowy 3 9 3 7" xfId="29585"/>
    <cellStyle name="Procentowy 3 9 30" xfId="29586"/>
    <cellStyle name="Procentowy 3 9 30 2" xfId="29587"/>
    <cellStyle name="Procentowy 3 9 31" xfId="29588"/>
    <cellStyle name="Procentowy 3 9 31 2" xfId="29589"/>
    <cellStyle name="Procentowy 3 9 32" xfId="29590"/>
    <cellStyle name="Procentowy 3 9 33" xfId="29591"/>
    <cellStyle name="Procentowy 3 9 34" xfId="29592"/>
    <cellStyle name="Procentowy 3 9 35" xfId="29593"/>
    <cellStyle name="Procentowy 3 9 36" xfId="29594"/>
    <cellStyle name="Procentowy 3 9 37" xfId="29595"/>
    <cellStyle name="Procentowy 3 9 38" xfId="29596"/>
    <cellStyle name="Procentowy 3 9 39" xfId="29597"/>
    <cellStyle name="Procentowy 3 9 4" xfId="29598"/>
    <cellStyle name="Procentowy 3 9 4 2" xfId="29599"/>
    <cellStyle name="Procentowy 3 9 4 3" xfId="29600"/>
    <cellStyle name="Procentowy 3 9 4 4" xfId="29601"/>
    <cellStyle name="Procentowy 3 9 4 5" xfId="29602"/>
    <cellStyle name="Procentowy 3 9 4 6" xfId="29603"/>
    <cellStyle name="Procentowy 3 9 4 7" xfId="29604"/>
    <cellStyle name="Procentowy 3 9 40" xfId="29605"/>
    <cellStyle name="Procentowy 3 9 41" xfId="29606"/>
    <cellStyle name="Procentowy 3 9 42" xfId="29607"/>
    <cellStyle name="Procentowy 3 9 43" xfId="29608"/>
    <cellStyle name="Procentowy 3 9 44" xfId="29609"/>
    <cellStyle name="Procentowy 3 9 45" xfId="29610"/>
    <cellStyle name="Procentowy 3 9 46" xfId="29611"/>
    <cellStyle name="Procentowy 3 9 47" xfId="29612"/>
    <cellStyle name="Procentowy 3 9 48" xfId="29613"/>
    <cellStyle name="Procentowy 3 9 49" xfId="29614"/>
    <cellStyle name="Procentowy 3 9 5" xfId="29615"/>
    <cellStyle name="Procentowy 3 9 5 2" xfId="29616"/>
    <cellStyle name="Procentowy 3 9 5 3" xfId="29617"/>
    <cellStyle name="Procentowy 3 9 5 4" xfId="29618"/>
    <cellStyle name="Procentowy 3 9 5 5" xfId="29619"/>
    <cellStyle name="Procentowy 3 9 5 6" xfId="29620"/>
    <cellStyle name="Procentowy 3 9 5 7" xfId="29621"/>
    <cellStyle name="Procentowy 3 9 50" xfId="29622"/>
    <cellStyle name="Procentowy 3 9 51" xfId="29623"/>
    <cellStyle name="Procentowy 3 9 52" xfId="29624"/>
    <cellStyle name="Procentowy 3 9 53" xfId="29625"/>
    <cellStyle name="Procentowy 3 9 54" xfId="29626"/>
    <cellStyle name="Procentowy 3 9 55" xfId="29627"/>
    <cellStyle name="Procentowy 3 9 56" xfId="29628"/>
    <cellStyle name="Procentowy 3 9 57" xfId="29629"/>
    <cellStyle name="Procentowy 3 9 58" xfId="29630"/>
    <cellStyle name="Procentowy 3 9 59" xfId="29631"/>
    <cellStyle name="Procentowy 3 9 6" xfId="29632"/>
    <cellStyle name="Procentowy 3 9 6 2" xfId="29633"/>
    <cellStyle name="Procentowy 3 9 60" xfId="29634"/>
    <cellStyle name="Procentowy 3 9 61" xfId="29635"/>
    <cellStyle name="Procentowy 3 9 62" xfId="29636"/>
    <cellStyle name="Procentowy 3 9 63" xfId="29637"/>
    <cellStyle name="Procentowy 3 9 64" xfId="29638"/>
    <cellStyle name="Procentowy 3 9 65" xfId="29639"/>
    <cellStyle name="Procentowy 3 9 66" xfId="29640"/>
    <cellStyle name="Procentowy 3 9 67" xfId="29641"/>
    <cellStyle name="Procentowy 3 9 68" xfId="29642"/>
    <cellStyle name="Procentowy 3 9 69" xfId="29643"/>
    <cellStyle name="Procentowy 3 9 7" xfId="29644"/>
    <cellStyle name="Procentowy 3 9 7 2" xfId="29645"/>
    <cellStyle name="Procentowy 3 9 70" xfId="29646"/>
    <cellStyle name="Procentowy 3 9 71" xfId="29647"/>
    <cellStyle name="Procentowy 3 9 72" xfId="29648"/>
    <cellStyle name="Procentowy 3 9 73" xfId="29649"/>
    <cellStyle name="Procentowy 3 9 74" xfId="29650"/>
    <cellStyle name="Procentowy 3 9 8" xfId="29651"/>
    <cellStyle name="Procentowy 3 9 8 2" xfId="29652"/>
    <cellStyle name="Procentowy 3 9 9" xfId="29653"/>
    <cellStyle name="Procentowy 3 9 9 2" xfId="29654"/>
    <cellStyle name="Procentowy 3 90" xfId="29655"/>
    <cellStyle name="Procentowy 3 91" xfId="29656"/>
    <cellStyle name="Procentowy 3 92" xfId="29657"/>
    <cellStyle name="Procentowy 3 93" xfId="29658"/>
    <cellStyle name="Procentowy 3 94" xfId="29659"/>
    <cellStyle name="Procentowy 3 95" xfId="29660"/>
    <cellStyle name="Procentowy 3 96" xfId="29661"/>
    <cellStyle name="Procentowy 3 97" xfId="29662"/>
    <cellStyle name="Procentowy 3 98" xfId="29663"/>
    <cellStyle name="Procentowy 3 99" xfId="29664"/>
    <cellStyle name="Procentowy 4" xfId="29665"/>
    <cellStyle name="Procentowy 4 10" xfId="29666"/>
    <cellStyle name="Procentowy 4 11" xfId="29667"/>
    <cellStyle name="Procentowy 4 12" xfId="29668"/>
    <cellStyle name="Procentowy 4 13" xfId="29669"/>
    <cellStyle name="Procentowy 4 14" xfId="29670"/>
    <cellStyle name="Procentowy 4 15" xfId="29671"/>
    <cellStyle name="Procentowy 4 16" xfId="29672"/>
    <cellStyle name="Procentowy 4 17" xfId="29673"/>
    <cellStyle name="Procentowy 4 18" xfId="29674"/>
    <cellStyle name="Procentowy 4 2" xfId="29675"/>
    <cellStyle name="Procentowy 4 2 2" xfId="29676"/>
    <cellStyle name="Procentowy 4 3" xfId="29677"/>
    <cellStyle name="Procentowy 4 3 2" xfId="29678"/>
    <cellStyle name="Procentowy 4 4" xfId="29679"/>
    <cellStyle name="Procentowy 4 4 2" xfId="29680"/>
    <cellStyle name="Procentowy 4 4 3" xfId="29681"/>
    <cellStyle name="Procentowy 4 5" xfId="29682"/>
    <cellStyle name="Procentowy 4 6" xfId="29683"/>
    <cellStyle name="Procentowy 4 7" xfId="29684"/>
    <cellStyle name="Procentowy 4 8" xfId="29685"/>
    <cellStyle name="Procentowy 4 9" xfId="29686"/>
    <cellStyle name="Procentowy 5" xfId="29687"/>
    <cellStyle name="Procentowy 5 2" xfId="29688"/>
    <cellStyle name="Procentowy 5 2 2" xfId="29689"/>
    <cellStyle name="Procentowy 5 2 3" xfId="29690"/>
    <cellStyle name="Procentowy 5 3" xfId="29691"/>
    <cellStyle name="Procentowy 5 4" xfId="29692"/>
    <cellStyle name="Procentowy 5 5" xfId="29693"/>
    <cellStyle name="Procentowy 5 6" xfId="29694"/>
    <cellStyle name="Procentowy 5 7" xfId="29695"/>
    <cellStyle name="Procentowy 5 8" xfId="29696"/>
    <cellStyle name="Procentowy 6" xfId="29697"/>
    <cellStyle name="Procentowy 6 2" xfId="29698"/>
    <cellStyle name="Procentowy 6 3" xfId="29699"/>
    <cellStyle name="Procentowy 7" xfId="29700"/>
    <cellStyle name="Procentowy 7 2" xfId="29701"/>
    <cellStyle name="Procentowy 7 2 2" xfId="29702"/>
    <cellStyle name="Procentowy 7 3" xfId="29703"/>
    <cellStyle name="Procentowy 8" xfId="29704"/>
    <cellStyle name="Procentowy 8 2" xfId="29705"/>
    <cellStyle name="Procentowy 9" xfId="29706"/>
    <cellStyle name="Procentowy 9 2" xfId="29707"/>
    <cellStyle name="SAPBEXaggData" xfId="29708"/>
    <cellStyle name="SAPBEXaggDataEmph" xfId="29709"/>
    <cellStyle name="SAPBEXaggItem" xfId="29710"/>
    <cellStyle name="SAPBEXaggItemX" xfId="29711"/>
    <cellStyle name="SAPBEXchaText" xfId="29712"/>
    <cellStyle name="SAPBEXexcBad7" xfId="29713"/>
    <cellStyle name="SAPBEXexcBad8" xfId="29714"/>
    <cellStyle name="SAPBEXexcBad9" xfId="29715"/>
    <cellStyle name="SAPBEXexcCritical4" xfId="29716"/>
    <cellStyle name="SAPBEXexcCritical5" xfId="29717"/>
    <cellStyle name="SAPBEXexcCritical6" xfId="29718"/>
    <cellStyle name="SAPBEXexcGood1" xfId="29719"/>
    <cellStyle name="SAPBEXexcGood2" xfId="29720"/>
    <cellStyle name="SAPBEXexcGood3" xfId="29721"/>
    <cellStyle name="SAPBEXfilterDrill" xfId="29722"/>
    <cellStyle name="SAPBEXfilterItem" xfId="29723"/>
    <cellStyle name="SAPBEXfilterText" xfId="29724"/>
    <cellStyle name="SAPBEXformats" xfId="29725"/>
    <cellStyle name="SAPBEXheaderItem" xfId="29726"/>
    <cellStyle name="SAPBEXheaderText" xfId="29727"/>
    <cellStyle name="SAPBEXHLevel0" xfId="29728"/>
    <cellStyle name="SAPBEXHLevel0 2" xfId="29729"/>
    <cellStyle name="SAPBEXHLevel0 3" xfId="29730"/>
    <cellStyle name="SAPBEXHLevel0X" xfId="29731"/>
    <cellStyle name="SAPBEXHLevel0X 2" xfId="29732"/>
    <cellStyle name="SAPBEXHLevel0X 3" xfId="29733"/>
    <cellStyle name="SAPBEXHLevel1" xfId="29734"/>
    <cellStyle name="SAPBEXHLevel1 2" xfId="29735"/>
    <cellStyle name="SAPBEXHLevel1 3" xfId="29736"/>
    <cellStyle name="SAPBEXHLevel1X" xfId="29737"/>
    <cellStyle name="SAPBEXHLevel1X 2" xfId="29738"/>
    <cellStyle name="SAPBEXHLevel1X 3" xfId="29739"/>
    <cellStyle name="SAPBEXHLevel2" xfId="29740"/>
    <cellStyle name="SAPBEXHLevel2 2" xfId="29741"/>
    <cellStyle name="SAPBEXHLevel2 3" xfId="29742"/>
    <cellStyle name="SAPBEXHLevel2X" xfId="29743"/>
    <cellStyle name="SAPBEXHLevel2X 2" xfId="29744"/>
    <cellStyle name="SAPBEXHLevel2X 3" xfId="29745"/>
    <cellStyle name="SAPBEXHLevel3" xfId="29746"/>
    <cellStyle name="SAPBEXHLevel3 2" xfId="29747"/>
    <cellStyle name="SAPBEXHLevel3 3" xfId="29748"/>
    <cellStyle name="SAPBEXHLevel3X" xfId="29749"/>
    <cellStyle name="SAPBEXHLevel3X 2" xfId="29750"/>
    <cellStyle name="SAPBEXHLevel3X 3" xfId="29751"/>
    <cellStyle name="SAPBEXresData" xfId="29752"/>
    <cellStyle name="SAPBEXresDataEmph" xfId="29753"/>
    <cellStyle name="SAPBEXresItem" xfId="29754"/>
    <cellStyle name="SAPBEXresItemX" xfId="29755"/>
    <cellStyle name="SAPBEXstdData" xfId="29756"/>
    <cellStyle name="SAPBEXstdData 2" xfId="29757"/>
    <cellStyle name="SAPBEXstdDataEmph" xfId="29758"/>
    <cellStyle name="SAPBEXstdItem" xfId="29759"/>
    <cellStyle name="SAPBEXstdItemX" xfId="29760"/>
    <cellStyle name="SAPBEXtitle" xfId="29761"/>
    <cellStyle name="SAPBEXundefined" xfId="29762"/>
    <cellStyle name="Standard_internet1997" xfId="29763"/>
    <cellStyle name="Styl 1" xfId="29764"/>
    <cellStyle name="Style 1" xfId="29765"/>
    <cellStyle name="Sum" xfId="29766"/>
    <cellStyle name="Suma 2" xfId="29767"/>
    <cellStyle name="Suma 2 10" xfId="29768"/>
    <cellStyle name="Suma 2 10 10" xfId="29769"/>
    <cellStyle name="Suma 2 10 10 2" xfId="29770"/>
    <cellStyle name="Suma 2 10 10 3" xfId="29771"/>
    <cellStyle name="Suma 2 10 10 4" xfId="29772"/>
    <cellStyle name="Suma 2 10 11" xfId="29773"/>
    <cellStyle name="Suma 2 10 11 2" xfId="29774"/>
    <cellStyle name="Suma 2 10 11 3" xfId="29775"/>
    <cellStyle name="Suma 2 10 11 4" xfId="29776"/>
    <cellStyle name="Suma 2 10 12" xfId="29777"/>
    <cellStyle name="Suma 2 10 12 2" xfId="29778"/>
    <cellStyle name="Suma 2 10 12 3" xfId="29779"/>
    <cellStyle name="Suma 2 10 12 4" xfId="29780"/>
    <cellStyle name="Suma 2 10 13" xfId="29781"/>
    <cellStyle name="Suma 2 10 13 2" xfId="29782"/>
    <cellStyle name="Suma 2 10 13 3" xfId="29783"/>
    <cellStyle name="Suma 2 10 13 4" xfId="29784"/>
    <cellStyle name="Suma 2 10 14" xfId="29785"/>
    <cellStyle name="Suma 2 10 14 2" xfId="29786"/>
    <cellStyle name="Suma 2 10 14 3" xfId="29787"/>
    <cellStyle name="Suma 2 10 14 4" xfId="29788"/>
    <cellStyle name="Suma 2 10 15" xfId="29789"/>
    <cellStyle name="Suma 2 10 15 2" xfId="29790"/>
    <cellStyle name="Suma 2 10 15 3" xfId="29791"/>
    <cellStyle name="Suma 2 10 15 4" xfId="29792"/>
    <cellStyle name="Suma 2 10 16" xfId="29793"/>
    <cellStyle name="Suma 2 10 16 2" xfId="29794"/>
    <cellStyle name="Suma 2 10 16 3" xfId="29795"/>
    <cellStyle name="Suma 2 10 16 4" xfId="29796"/>
    <cellStyle name="Suma 2 10 17" xfId="29797"/>
    <cellStyle name="Suma 2 10 17 2" xfId="29798"/>
    <cellStyle name="Suma 2 10 17 3" xfId="29799"/>
    <cellStyle name="Suma 2 10 17 4" xfId="29800"/>
    <cellStyle name="Suma 2 10 18" xfId="29801"/>
    <cellStyle name="Suma 2 10 18 2" xfId="29802"/>
    <cellStyle name="Suma 2 10 18 3" xfId="29803"/>
    <cellStyle name="Suma 2 10 18 4" xfId="29804"/>
    <cellStyle name="Suma 2 10 19" xfId="29805"/>
    <cellStyle name="Suma 2 10 19 2" xfId="29806"/>
    <cellStyle name="Suma 2 10 19 3" xfId="29807"/>
    <cellStyle name="Suma 2 10 19 4" xfId="29808"/>
    <cellStyle name="Suma 2 10 2" xfId="29809"/>
    <cellStyle name="Suma 2 10 2 2" xfId="29810"/>
    <cellStyle name="Suma 2 10 2 3" xfId="29811"/>
    <cellStyle name="Suma 2 10 2 4" xfId="29812"/>
    <cellStyle name="Suma 2 10 20" xfId="29813"/>
    <cellStyle name="Suma 2 10 20 2" xfId="29814"/>
    <cellStyle name="Suma 2 10 20 3" xfId="29815"/>
    <cellStyle name="Suma 2 10 20 4" xfId="29816"/>
    <cellStyle name="Suma 2 10 21" xfId="29817"/>
    <cellStyle name="Suma 2 10 21 2" xfId="29818"/>
    <cellStyle name="Suma 2 10 21 3" xfId="29819"/>
    <cellStyle name="Suma 2 10 22" xfId="29820"/>
    <cellStyle name="Suma 2 10 22 2" xfId="29821"/>
    <cellStyle name="Suma 2 10 22 3" xfId="29822"/>
    <cellStyle name="Suma 2 10 23" xfId="29823"/>
    <cellStyle name="Suma 2 10 23 2" xfId="29824"/>
    <cellStyle name="Suma 2 10 23 3" xfId="29825"/>
    <cellStyle name="Suma 2 10 24" xfId="29826"/>
    <cellStyle name="Suma 2 10 24 2" xfId="29827"/>
    <cellStyle name="Suma 2 10 24 3" xfId="29828"/>
    <cellStyle name="Suma 2 10 25" xfId="29829"/>
    <cellStyle name="Suma 2 10 25 2" xfId="29830"/>
    <cellStyle name="Suma 2 10 25 3" xfId="29831"/>
    <cellStyle name="Suma 2 10 26" xfId="29832"/>
    <cellStyle name="Suma 2 10 26 2" xfId="29833"/>
    <cellStyle name="Suma 2 10 26 3" xfId="29834"/>
    <cellStyle name="Suma 2 10 27" xfId="29835"/>
    <cellStyle name="Suma 2 10 27 2" xfId="29836"/>
    <cellStyle name="Suma 2 10 27 3" xfId="29837"/>
    <cellStyle name="Suma 2 10 28" xfId="29838"/>
    <cellStyle name="Suma 2 10 28 2" xfId="29839"/>
    <cellStyle name="Suma 2 10 28 3" xfId="29840"/>
    <cellStyle name="Suma 2 10 29" xfId="29841"/>
    <cellStyle name="Suma 2 10 29 2" xfId="29842"/>
    <cellStyle name="Suma 2 10 29 3" xfId="29843"/>
    <cellStyle name="Suma 2 10 3" xfId="29844"/>
    <cellStyle name="Suma 2 10 3 2" xfId="29845"/>
    <cellStyle name="Suma 2 10 3 3" xfId="29846"/>
    <cellStyle name="Suma 2 10 3 4" xfId="29847"/>
    <cellStyle name="Suma 2 10 30" xfId="29848"/>
    <cellStyle name="Suma 2 10 30 2" xfId="29849"/>
    <cellStyle name="Suma 2 10 30 3" xfId="29850"/>
    <cellStyle name="Suma 2 10 31" xfId="29851"/>
    <cellStyle name="Suma 2 10 31 2" xfId="29852"/>
    <cellStyle name="Suma 2 10 31 3" xfId="29853"/>
    <cellStyle name="Suma 2 10 32" xfId="29854"/>
    <cellStyle name="Suma 2 10 32 2" xfId="29855"/>
    <cellStyle name="Suma 2 10 32 3" xfId="29856"/>
    <cellStyle name="Suma 2 10 33" xfId="29857"/>
    <cellStyle name="Suma 2 10 33 2" xfId="29858"/>
    <cellStyle name="Suma 2 10 33 3" xfId="29859"/>
    <cellStyle name="Suma 2 10 34" xfId="29860"/>
    <cellStyle name="Suma 2 10 34 2" xfId="29861"/>
    <cellStyle name="Suma 2 10 34 3" xfId="29862"/>
    <cellStyle name="Suma 2 10 35" xfId="29863"/>
    <cellStyle name="Suma 2 10 35 2" xfId="29864"/>
    <cellStyle name="Suma 2 10 35 3" xfId="29865"/>
    <cellStyle name="Suma 2 10 36" xfId="29866"/>
    <cellStyle name="Suma 2 10 36 2" xfId="29867"/>
    <cellStyle name="Suma 2 10 36 3" xfId="29868"/>
    <cellStyle name="Suma 2 10 37" xfId="29869"/>
    <cellStyle name="Suma 2 10 37 2" xfId="29870"/>
    <cellStyle name="Suma 2 10 37 3" xfId="29871"/>
    <cellStyle name="Suma 2 10 38" xfId="29872"/>
    <cellStyle name="Suma 2 10 38 2" xfId="29873"/>
    <cellStyle name="Suma 2 10 38 3" xfId="29874"/>
    <cellStyle name="Suma 2 10 39" xfId="29875"/>
    <cellStyle name="Suma 2 10 39 2" xfId="29876"/>
    <cellStyle name="Suma 2 10 39 3" xfId="29877"/>
    <cellStyle name="Suma 2 10 4" xfId="29878"/>
    <cellStyle name="Suma 2 10 4 2" xfId="29879"/>
    <cellStyle name="Suma 2 10 4 3" xfId="29880"/>
    <cellStyle name="Suma 2 10 4 4" xfId="29881"/>
    <cellStyle name="Suma 2 10 40" xfId="29882"/>
    <cellStyle name="Suma 2 10 40 2" xfId="29883"/>
    <cellStyle name="Suma 2 10 40 3" xfId="29884"/>
    <cellStyle name="Suma 2 10 41" xfId="29885"/>
    <cellStyle name="Suma 2 10 41 2" xfId="29886"/>
    <cellStyle name="Suma 2 10 41 3" xfId="29887"/>
    <cellStyle name="Suma 2 10 42" xfId="29888"/>
    <cellStyle name="Suma 2 10 42 2" xfId="29889"/>
    <cellStyle name="Suma 2 10 42 3" xfId="29890"/>
    <cellStyle name="Suma 2 10 43" xfId="29891"/>
    <cellStyle name="Suma 2 10 43 2" xfId="29892"/>
    <cellStyle name="Suma 2 10 43 3" xfId="29893"/>
    <cellStyle name="Suma 2 10 44" xfId="29894"/>
    <cellStyle name="Suma 2 10 44 2" xfId="29895"/>
    <cellStyle name="Suma 2 10 44 3" xfId="29896"/>
    <cellStyle name="Suma 2 10 45" xfId="29897"/>
    <cellStyle name="Suma 2 10 45 2" xfId="29898"/>
    <cellStyle name="Suma 2 10 45 3" xfId="29899"/>
    <cellStyle name="Suma 2 10 46" xfId="29900"/>
    <cellStyle name="Suma 2 10 46 2" xfId="29901"/>
    <cellStyle name="Suma 2 10 46 3" xfId="29902"/>
    <cellStyle name="Suma 2 10 47" xfId="29903"/>
    <cellStyle name="Suma 2 10 47 2" xfId="29904"/>
    <cellStyle name="Suma 2 10 47 3" xfId="29905"/>
    <cellStyle name="Suma 2 10 48" xfId="29906"/>
    <cellStyle name="Suma 2 10 48 2" xfId="29907"/>
    <cellStyle name="Suma 2 10 48 3" xfId="29908"/>
    <cellStyle name="Suma 2 10 49" xfId="29909"/>
    <cellStyle name="Suma 2 10 49 2" xfId="29910"/>
    <cellStyle name="Suma 2 10 49 3" xfId="29911"/>
    <cellStyle name="Suma 2 10 5" xfId="29912"/>
    <cellStyle name="Suma 2 10 5 2" xfId="29913"/>
    <cellStyle name="Suma 2 10 5 3" xfId="29914"/>
    <cellStyle name="Suma 2 10 5 4" xfId="29915"/>
    <cellStyle name="Suma 2 10 50" xfId="29916"/>
    <cellStyle name="Suma 2 10 50 2" xfId="29917"/>
    <cellStyle name="Suma 2 10 50 3" xfId="29918"/>
    <cellStyle name="Suma 2 10 51" xfId="29919"/>
    <cellStyle name="Suma 2 10 51 2" xfId="29920"/>
    <cellStyle name="Suma 2 10 51 3" xfId="29921"/>
    <cellStyle name="Suma 2 10 52" xfId="29922"/>
    <cellStyle name="Suma 2 10 52 2" xfId="29923"/>
    <cellStyle name="Suma 2 10 52 3" xfId="29924"/>
    <cellStyle name="Suma 2 10 53" xfId="29925"/>
    <cellStyle name="Suma 2 10 53 2" xfId="29926"/>
    <cellStyle name="Suma 2 10 53 3" xfId="29927"/>
    <cellStyle name="Suma 2 10 54" xfId="29928"/>
    <cellStyle name="Suma 2 10 54 2" xfId="29929"/>
    <cellStyle name="Suma 2 10 54 3" xfId="29930"/>
    <cellStyle name="Suma 2 10 55" xfId="29931"/>
    <cellStyle name="Suma 2 10 55 2" xfId="29932"/>
    <cellStyle name="Suma 2 10 55 3" xfId="29933"/>
    <cellStyle name="Suma 2 10 56" xfId="29934"/>
    <cellStyle name="Suma 2 10 56 2" xfId="29935"/>
    <cellStyle name="Suma 2 10 56 3" xfId="29936"/>
    <cellStyle name="Suma 2 10 57" xfId="29937"/>
    <cellStyle name="Suma 2 10 58" xfId="29938"/>
    <cellStyle name="Suma 2 10 6" xfId="29939"/>
    <cellStyle name="Suma 2 10 6 2" xfId="29940"/>
    <cellStyle name="Suma 2 10 6 3" xfId="29941"/>
    <cellStyle name="Suma 2 10 6 4" xfId="29942"/>
    <cellStyle name="Suma 2 10 7" xfId="29943"/>
    <cellStyle name="Suma 2 10 7 2" xfId="29944"/>
    <cellStyle name="Suma 2 10 7 3" xfId="29945"/>
    <cellStyle name="Suma 2 10 7 4" xfId="29946"/>
    <cellStyle name="Suma 2 10 8" xfId="29947"/>
    <cellStyle name="Suma 2 10 8 2" xfId="29948"/>
    <cellStyle name="Suma 2 10 8 3" xfId="29949"/>
    <cellStyle name="Suma 2 10 8 4" xfId="29950"/>
    <cellStyle name="Suma 2 10 9" xfId="29951"/>
    <cellStyle name="Suma 2 10 9 2" xfId="29952"/>
    <cellStyle name="Suma 2 10 9 3" xfId="29953"/>
    <cellStyle name="Suma 2 10 9 4" xfId="29954"/>
    <cellStyle name="Suma 2 11" xfId="29955"/>
    <cellStyle name="Suma 2 11 10" xfId="29956"/>
    <cellStyle name="Suma 2 11 10 2" xfId="29957"/>
    <cellStyle name="Suma 2 11 10 3" xfId="29958"/>
    <cellStyle name="Suma 2 11 10 4" xfId="29959"/>
    <cellStyle name="Suma 2 11 11" xfId="29960"/>
    <cellStyle name="Suma 2 11 11 2" xfId="29961"/>
    <cellStyle name="Suma 2 11 11 3" xfId="29962"/>
    <cellStyle name="Suma 2 11 11 4" xfId="29963"/>
    <cellStyle name="Suma 2 11 12" xfId="29964"/>
    <cellStyle name="Suma 2 11 12 2" xfId="29965"/>
    <cellStyle name="Suma 2 11 12 3" xfId="29966"/>
    <cellStyle name="Suma 2 11 12 4" xfId="29967"/>
    <cellStyle name="Suma 2 11 13" xfId="29968"/>
    <cellStyle name="Suma 2 11 13 2" xfId="29969"/>
    <cellStyle name="Suma 2 11 13 3" xfId="29970"/>
    <cellStyle name="Suma 2 11 13 4" xfId="29971"/>
    <cellStyle name="Suma 2 11 14" xfId="29972"/>
    <cellStyle name="Suma 2 11 14 2" xfId="29973"/>
    <cellStyle name="Suma 2 11 14 3" xfId="29974"/>
    <cellStyle name="Suma 2 11 14 4" xfId="29975"/>
    <cellStyle name="Suma 2 11 15" xfId="29976"/>
    <cellStyle name="Suma 2 11 15 2" xfId="29977"/>
    <cellStyle name="Suma 2 11 15 3" xfId="29978"/>
    <cellStyle name="Suma 2 11 15 4" xfId="29979"/>
    <cellStyle name="Suma 2 11 16" xfId="29980"/>
    <cellStyle name="Suma 2 11 16 2" xfId="29981"/>
    <cellStyle name="Suma 2 11 16 3" xfId="29982"/>
    <cellStyle name="Suma 2 11 16 4" xfId="29983"/>
    <cellStyle name="Suma 2 11 17" xfId="29984"/>
    <cellStyle name="Suma 2 11 17 2" xfId="29985"/>
    <cellStyle name="Suma 2 11 17 3" xfId="29986"/>
    <cellStyle name="Suma 2 11 17 4" xfId="29987"/>
    <cellStyle name="Suma 2 11 18" xfId="29988"/>
    <cellStyle name="Suma 2 11 18 2" xfId="29989"/>
    <cellStyle name="Suma 2 11 18 3" xfId="29990"/>
    <cellStyle name="Suma 2 11 18 4" xfId="29991"/>
    <cellStyle name="Suma 2 11 19" xfId="29992"/>
    <cellStyle name="Suma 2 11 19 2" xfId="29993"/>
    <cellStyle name="Suma 2 11 19 3" xfId="29994"/>
    <cellStyle name="Suma 2 11 19 4" xfId="29995"/>
    <cellStyle name="Suma 2 11 2" xfId="29996"/>
    <cellStyle name="Suma 2 11 2 2" xfId="29997"/>
    <cellStyle name="Suma 2 11 2 3" xfId="29998"/>
    <cellStyle name="Suma 2 11 2 4" xfId="29999"/>
    <cellStyle name="Suma 2 11 20" xfId="30000"/>
    <cellStyle name="Suma 2 11 20 2" xfId="30001"/>
    <cellStyle name="Suma 2 11 20 3" xfId="30002"/>
    <cellStyle name="Suma 2 11 20 4" xfId="30003"/>
    <cellStyle name="Suma 2 11 21" xfId="30004"/>
    <cellStyle name="Suma 2 11 21 2" xfId="30005"/>
    <cellStyle name="Suma 2 11 21 3" xfId="30006"/>
    <cellStyle name="Suma 2 11 22" xfId="30007"/>
    <cellStyle name="Suma 2 11 22 2" xfId="30008"/>
    <cellStyle name="Suma 2 11 22 3" xfId="30009"/>
    <cellStyle name="Suma 2 11 23" xfId="30010"/>
    <cellStyle name="Suma 2 11 23 2" xfId="30011"/>
    <cellStyle name="Suma 2 11 23 3" xfId="30012"/>
    <cellStyle name="Suma 2 11 24" xfId="30013"/>
    <cellStyle name="Suma 2 11 24 2" xfId="30014"/>
    <cellStyle name="Suma 2 11 24 3" xfId="30015"/>
    <cellStyle name="Suma 2 11 25" xfId="30016"/>
    <cellStyle name="Suma 2 11 25 2" xfId="30017"/>
    <cellStyle name="Suma 2 11 25 3" xfId="30018"/>
    <cellStyle name="Suma 2 11 26" xfId="30019"/>
    <cellStyle name="Suma 2 11 26 2" xfId="30020"/>
    <cellStyle name="Suma 2 11 26 3" xfId="30021"/>
    <cellStyle name="Suma 2 11 27" xfId="30022"/>
    <cellStyle name="Suma 2 11 27 2" xfId="30023"/>
    <cellStyle name="Suma 2 11 27 3" xfId="30024"/>
    <cellStyle name="Suma 2 11 28" xfId="30025"/>
    <cellStyle name="Suma 2 11 28 2" xfId="30026"/>
    <cellStyle name="Suma 2 11 28 3" xfId="30027"/>
    <cellStyle name="Suma 2 11 29" xfId="30028"/>
    <cellStyle name="Suma 2 11 29 2" xfId="30029"/>
    <cellStyle name="Suma 2 11 29 3" xfId="30030"/>
    <cellStyle name="Suma 2 11 3" xfId="30031"/>
    <cellStyle name="Suma 2 11 3 2" xfId="30032"/>
    <cellStyle name="Suma 2 11 3 3" xfId="30033"/>
    <cellStyle name="Suma 2 11 3 4" xfId="30034"/>
    <cellStyle name="Suma 2 11 30" xfId="30035"/>
    <cellStyle name="Suma 2 11 30 2" xfId="30036"/>
    <cellStyle name="Suma 2 11 30 3" xfId="30037"/>
    <cellStyle name="Suma 2 11 31" xfId="30038"/>
    <cellStyle name="Suma 2 11 31 2" xfId="30039"/>
    <cellStyle name="Suma 2 11 31 3" xfId="30040"/>
    <cellStyle name="Suma 2 11 32" xfId="30041"/>
    <cellStyle name="Suma 2 11 32 2" xfId="30042"/>
    <cellStyle name="Suma 2 11 32 3" xfId="30043"/>
    <cellStyle name="Suma 2 11 33" xfId="30044"/>
    <cellStyle name="Suma 2 11 33 2" xfId="30045"/>
    <cellStyle name="Suma 2 11 33 3" xfId="30046"/>
    <cellStyle name="Suma 2 11 34" xfId="30047"/>
    <cellStyle name="Suma 2 11 34 2" xfId="30048"/>
    <cellStyle name="Suma 2 11 34 3" xfId="30049"/>
    <cellStyle name="Suma 2 11 35" xfId="30050"/>
    <cellStyle name="Suma 2 11 35 2" xfId="30051"/>
    <cellStyle name="Suma 2 11 35 3" xfId="30052"/>
    <cellStyle name="Suma 2 11 36" xfId="30053"/>
    <cellStyle name="Suma 2 11 36 2" xfId="30054"/>
    <cellStyle name="Suma 2 11 36 3" xfId="30055"/>
    <cellStyle name="Suma 2 11 37" xfId="30056"/>
    <cellStyle name="Suma 2 11 37 2" xfId="30057"/>
    <cellStyle name="Suma 2 11 37 3" xfId="30058"/>
    <cellStyle name="Suma 2 11 38" xfId="30059"/>
    <cellStyle name="Suma 2 11 38 2" xfId="30060"/>
    <cellStyle name="Suma 2 11 38 3" xfId="30061"/>
    <cellStyle name="Suma 2 11 39" xfId="30062"/>
    <cellStyle name="Suma 2 11 39 2" xfId="30063"/>
    <cellStyle name="Suma 2 11 39 3" xfId="30064"/>
    <cellStyle name="Suma 2 11 4" xfId="30065"/>
    <cellStyle name="Suma 2 11 4 2" xfId="30066"/>
    <cellStyle name="Suma 2 11 4 3" xfId="30067"/>
    <cellStyle name="Suma 2 11 4 4" xfId="30068"/>
    <cellStyle name="Suma 2 11 40" xfId="30069"/>
    <cellStyle name="Suma 2 11 40 2" xfId="30070"/>
    <cellStyle name="Suma 2 11 40 3" xfId="30071"/>
    <cellStyle name="Suma 2 11 41" xfId="30072"/>
    <cellStyle name="Suma 2 11 41 2" xfId="30073"/>
    <cellStyle name="Suma 2 11 41 3" xfId="30074"/>
    <cellStyle name="Suma 2 11 42" xfId="30075"/>
    <cellStyle name="Suma 2 11 42 2" xfId="30076"/>
    <cellStyle name="Suma 2 11 42 3" xfId="30077"/>
    <cellStyle name="Suma 2 11 43" xfId="30078"/>
    <cellStyle name="Suma 2 11 43 2" xfId="30079"/>
    <cellStyle name="Suma 2 11 43 3" xfId="30080"/>
    <cellStyle name="Suma 2 11 44" xfId="30081"/>
    <cellStyle name="Suma 2 11 44 2" xfId="30082"/>
    <cellStyle name="Suma 2 11 44 3" xfId="30083"/>
    <cellStyle name="Suma 2 11 45" xfId="30084"/>
    <cellStyle name="Suma 2 11 45 2" xfId="30085"/>
    <cellStyle name="Suma 2 11 45 3" xfId="30086"/>
    <cellStyle name="Suma 2 11 46" xfId="30087"/>
    <cellStyle name="Suma 2 11 46 2" xfId="30088"/>
    <cellStyle name="Suma 2 11 46 3" xfId="30089"/>
    <cellStyle name="Suma 2 11 47" xfId="30090"/>
    <cellStyle name="Suma 2 11 47 2" xfId="30091"/>
    <cellStyle name="Suma 2 11 47 3" xfId="30092"/>
    <cellStyle name="Suma 2 11 48" xfId="30093"/>
    <cellStyle name="Suma 2 11 48 2" xfId="30094"/>
    <cellStyle name="Suma 2 11 48 3" xfId="30095"/>
    <cellStyle name="Suma 2 11 49" xfId="30096"/>
    <cellStyle name="Suma 2 11 49 2" xfId="30097"/>
    <cellStyle name="Suma 2 11 49 3" xfId="30098"/>
    <cellStyle name="Suma 2 11 5" xfId="30099"/>
    <cellStyle name="Suma 2 11 5 2" xfId="30100"/>
    <cellStyle name="Suma 2 11 5 3" xfId="30101"/>
    <cellStyle name="Suma 2 11 5 4" xfId="30102"/>
    <cellStyle name="Suma 2 11 50" xfId="30103"/>
    <cellStyle name="Suma 2 11 50 2" xfId="30104"/>
    <cellStyle name="Suma 2 11 50 3" xfId="30105"/>
    <cellStyle name="Suma 2 11 51" xfId="30106"/>
    <cellStyle name="Suma 2 11 51 2" xfId="30107"/>
    <cellStyle name="Suma 2 11 51 3" xfId="30108"/>
    <cellStyle name="Suma 2 11 52" xfId="30109"/>
    <cellStyle name="Suma 2 11 52 2" xfId="30110"/>
    <cellStyle name="Suma 2 11 52 3" xfId="30111"/>
    <cellStyle name="Suma 2 11 53" xfId="30112"/>
    <cellStyle name="Suma 2 11 53 2" xfId="30113"/>
    <cellStyle name="Suma 2 11 53 3" xfId="30114"/>
    <cellStyle name="Suma 2 11 54" xfId="30115"/>
    <cellStyle name="Suma 2 11 54 2" xfId="30116"/>
    <cellStyle name="Suma 2 11 54 3" xfId="30117"/>
    <cellStyle name="Suma 2 11 55" xfId="30118"/>
    <cellStyle name="Suma 2 11 55 2" xfId="30119"/>
    <cellStyle name="Suma 2 11 55 3" xfId="30120"/>
    <cellStyle name="Suma 2 11 56" xfId="30121"/>
    <cellStyle name="Suma 2 11 56 2" xfId="30122"/>
    <cellStyle name="Suma 2 11 56 3" xfId="30123"/>
    <cellStyle name="Suma 2 11 57" xfId="30124"/>
    <cellStyle name="Suma 2 11 58" xfId="30125"/>
    <cellStyle name="Suma 2 11 6" xfId="30126"/>
    <cellStyle name="Suma 2 11 6 2" xfId="30127"/>
    <cellStyle name="Suma 2 11 6 3" xfId="30128"/>
    <cellStyle name="Suma 2 11 6 4" xfId="30129"/>
    <cellStyle name="Suma 2 11 7" xfId="30130"/>
    <cellStyle name="Suma 2 11 7 2" xfId="30131"/>
    <cellStyle name="Suma 2 11 7 3" xfId="30132"/>
    <cellStyle name="Suma 2 11 7 4" xfId="30133"/>
    <cellStyle name="Suma 2 11 8" xfId="30134"/>
    <cellStyle name="Suma 2 11 8 2" xfId="30135"/>
    <cellStyle name="Suma 2 11 8 3" xfId="30136"/>
    <cellStyle name="Suma 2 11 8 4" xfId="30137"/>
    <cellStyle name="Suma 2 11 9" xfId="30138"/>
    <cellStyle name="Suma 2 11 9 2" xfId="30139"/>
    <cellStyle name="Suma 2 11 9 3" xfId="30140"/>
    <cellStyle name="Suma 2 11 9 4" xfId="30141"/>
    <cellStyle name="Suma 2 12" xfId="30142"/>
    <cellStyle name="Suma 2 12 10" xfId="30143"/>
    <cellStyle name="Suma 2 12 10 2" xfId="30144"/>
    <cellStyle name="Suma 2 12 10 3" xfId="30145"/>
    <cellStyle name="Suma 2 12 10 4" xfId="30146"/>
    <cellStyle name="Suma 2 12 11" xfId="30147"/>
    <cellStyle name="Suma 2 12 11 2" xfId="30148"/>
    <cellStyle name="Suma 2 12 11 3" xfId="30149"/>
    <cellStyle name="Suma 2 12 11 4" xfId="30150"/>
    <cellStyle name="Suma 2 12 12" xfId="30151"/>
    <cellStyle name="Suma 2 12 12 2" xfId="30152"/>
    <cellStyle name="Suma 2 12 12 3" xfId="30153"/>
    <cellStyle name="Suma 2 12 12 4" xfId="30154"/>
    <cellStyle name="Suma 2 12 13" xfId="30155"/>
    <cellStyle name="Suma 2 12 13 2" xfId="30156"/>
    <cellStyle name="Suma 2 12 13 3" xfId="30157"/>
    <cellStyle name="Suma 2 12 13 4" xfId="30158"/>
    <cellStyle name="Suma 2 12 14" xfId="30159"/>
    <cellStyle name="Suma 2 12 14 2" xfId="30160"/>
    <cellStyle name="Suma 2 12 14 3" xfId="30161"/>
    <cellStyle name="Suma 2 12 14 4" xfId="30162"/>
    <cellStyle name="Suma 2 12 15" xfId="30163"/>
    <cellStyle name="Suma 2 12 15 2" xfId="30164"/>
    <cellStyle name="Suma 2 12 15 3" xfId="30165"/>
    <cellStyle name="Suma 2 12 15 4" xfId="30166"/>
    <cellStyle name="Suma 2 12 16" xfId="30167"/>
    <cellStyle name="Suma 2 12 16 2" xfId="30168"/>
    <cellStyle name="Suma 2 12 16 3" xfId="30169"/>
    <cellStyle name="Suma 2 12 16 4" xfId="30170"/>
    <cellStyle name="Suma 2 12 17" xfId="30171"/>
    <cellStyle name="Suma 2 12 17 2" xfId="30172"/>
    <cellStyle name="Suma 2 12 17 3" xfId="30173"/>
    <cellStyle name="Suma 2 12 17 4" xfId="30174"/>
    <cellStyle name="Suma 2 12 18" xfId="30175"/>
    <cellStyle name="Suma 2 12 18 2" xfId="30176"/>
    <cellStyle name="Suma 2 12 18 3" xfId="30177"/>
    <cellStyle name="Suma 2 12 18 4" xfId="30178"/>
    <cellStyle name="Suma 2 12 19" xfId="30179"/>
    <cellStyle name="Suma 2 12 19 2" xfId="30180"/>
    <cellStyle name="Suma 2 12 19 3" xfId="30181"/>
    <cellStyle name="Suma 2 12 19 4" xfId="30182"/>
    <cellStyle name="Suma 2 12 2" xfId="30183"/>
    <cellStyle name="Suma 2 12 2 2" xfId="30184"/>
    <cellStyle name="Suma 2 12 2 3" xfId="30185"/>
    <cellStyle name="Suma 2 12 2 4" xfId="30186"/>
    <cellStyle name="Suma 2 12 20" xfId="30187"/>
    <cellStyle name="Suma 2 12 20 2" xfId="30188"/>
    <cellStyle name="Suma 2 12 20 3" xfId="30189"/>
    <cellStyle name="Suma 2 12 20 4" xfId="30190"/>
    <cellStyle name="Suma 2 12 21" xfId="30191"/>
    <cellStyle name="Suma 2 12 21 2" xfId="30192"/>
    <cellStyle name="Suma 2 12 21 3" xfId="30193"/>
    <cellStyle name="Suma 2 12 22" xfId="30194"/>
    <cellStyle name="Suma 2 12 22 2" xfId="30195"/>
    <cellStyle name="Suma 2 12 22 3" xfId="30196"/>
    <cellStyle name="Suma 2 12 23" xfId="30197"/>
    <cellStyle name="Suma 2 12 23 2" xfId="30198"/>
    <cellStyle name="Suma 2 12 23 3" xfId="30199"/>
    <cellStyle name="Suma 2 12 24" xfId="30200"/>
    <cellStyle name="Suma 2 12 24 2" xfId="30201"/>
    <cellStyle name="Suma 2 12 24 3" xfId="30202"/>
    <cellStyle name="Suma 2 12 25" xfId="30203"/>
    <cellStyle name="Suma 2 12 25 2" xfId="30204"/>
    <cellStyle name="Suma 2 12 25 3" xfId="30205"/>
    <cellStyle name="Suma 2 12 26" xfId="30206"/>
    <cellStyle name="Suma 2 12 26 2" xfId="30207"/>
    <cellStyle name="Suma 2 12 26 3" xfId="30208"/>
    <cellStyle name="Suma 2 12 27" xfId="30209"/>
    <cellStyle name="Suma 2 12 27 2" xfId="30210"/>
    <cellStyle name="Suma 2 12 27 3" xfId="30211"/>
    <cellStyle name="Suma 2 12 28" xfId="30212"/>
    <cellStyle name="Suma 2 12 28 2" xfId="30213"/>
    <cellStyle name="Suma 2 12 28 3" xfId="30214"/>
    <cellStyle name="Suma 2 12 29" xfId="30215"/>
    <cellStyle name="Suma 2 12 29 2" xfId="30216"/>
    <cellStyle name="Suma 2 12 29 3" xfId="30217"/>
    <cellStyle name="Suma 2 12 3" xfId="30218"/>
    <cellStyle name="Suma 2 12 3 2" xfId="30219"/>
    <cellStyle name="Suma 2 12 3 3" xfId="30220"/>
    <cellStyle name="Suma 2 12 3 4" xfId="30221"/>
    <cellStyle name="Suma 2 12 30" xfId="30222"/>
    <cellStyle name="Suma 2 12 30 2" xfId="30223"/>
    <cellStyle name="Suma 2 12 30 3" xfId="30224"/>
    <cellStyle name="Suma 2 12 31" xfId="30225"/>
    <cellStyle name="Suma 2 12 31 2" xfId="30226"/>
    <cellStyle name="Suma 2 12 31 3" xfId="30227"/>
    <cellStyle name="Suma 2 12 32" xfId="30228"/>
    <cellStyle name="Suma 2 12 32 2" xfId="30229"/>
    <cellStyle name="Suma 2 12 32 3" xfId="30230"/>
    <cellStyle name="Suma 2 12 33" xfId="30231"/>
    <cellStyle name="Suma 2 12 33 2" xfId="30232"/>
    <cellStyle name="Suma 2 12 33 3" xfId="30233"/>
    <cellStyle name="Suma 2 12 34" xfId="30234"/>
    <cellStyle name="Suma 2 12 34 2" xfId="30235"/>
    <cellStyle name="Suma 2 12 34 3" xfId="30236"/>
    <cellStyle name="Suma 2 12 35" xfId="30237"/>
    <cellStyle name="Suma 2 12 35 2" xfId="30238"/>
    <cellStyle name="Suma 2 12 35 3" xfId="30239"/>
    <cellStyle name="Suma 2 12 36" xfId="30240"/>
    <cellStyle name="Suma 2 12 36 2" xfId="30241"/>
    <cellStyle name="Suma 2 12 36 3" xfId="30242"/>
    <cellStyle name="Suma 2 12 37" xfId="30243"/>
    <cellStyle name="Suma 2 12 37 2" xfId="30244"/>
    <cellStyle name="Suma 2 12 37 3" xfId="30245"/>
    <cellStyle name="Suma 2 12 38" xfId="30246"/>
    <cellStyle name="Suma 2 12 38 2" xfId="30247"/>
    <cellStyle name="Suma 2 12 38 3" xfId="30248"/>
    <cellStyle name="Suma 2 12 39" xfId="30249"/>
    <cellStyle name="Suma 2 12 39 2" xfId="30250"/>
    <cellStyle name="Suma 2 12 39 3" xfId="30251"/>
    <cellStyle name="Suma 2 12 4" xfId="30252"/>
    <cellStyle name="Suma 2 12 4 2" xfId="30253"/>
    <cellStyle name="Suma 2 12 4 3" xfId="30254"/>
    <cellStyle name="Suma 2 12 4 4" xfId="30255"/>
    <cellStyle name="Suma 2 12 40" xfId="30256"/>
    <cellStyle name="Suma 2 12 40 2" xfId="30257"/>
    <cellStyle name="Suma 2 12 40 3" xfId="30258"/>
    <cellStyle name="Suma 2 12 41" xfId="30259"/>
    <cellStyle name="Suma 2 12 41 2" xfId="30260"/>
    <cellStyle name="Suma 2 12 41 3" xfId="30261"/>
    <cellStyle name="Suma 2 12 42" xfId="30262"/>
    <cellStyle name="Suma 2 12 42 2" xfId="30263"/>
    <cellStyle name="Suma 2 12 42 3" xfId="30264"/>
    <cellStyle name="Suma 2 12 43" xfId="30265"/>
    <cellStyle name="Suma 2 12 43 2" xfId="30266"/>
    <cellStyle name="Suma 2 12 43 3" xfId="30267"/>
    <cellStyle name="Suma 2 12 44" xfId="30268"/>
    <cellStyle name="Suma 2 12 44 2" xfId="30269"/>
    <cellStyle name="Suma 2 12 44 3" xfId="30270"/>
    <cellStyle name="Suma 2 12 45" xfId="30271"/>
    <cellStyle name="Suma 2 12 45 2" xfId="30272"/>
    <cellStyle name="Suma 2 12 45 3" xfId="30273"/>
    <cellStyle name="Suma 2 12 46" xfId="30274"/>
    <cellStyle name="Suma 2 12 46 2" xfId="30275"/>
    <cellStyle name="Suma 2 12 46 3" xfId="30276"/>
    <cellStyle name="Suma 2 12 47" xfId="30277"/>
    <cellStyle name="Suma 2 12 47 2" xfId="30278"/>
    <cellStyle name="Suma 2 12 47 3" xfId="30279"/>
    <cellStyle name="Suma 2 12 48" xfId="30280"/>
    <cellStyle name="Suma 2 12 48 2" xfId="30281"/>
    <cellStyle name="Suma 2 12 48 3" xfId="30282"/>
    <cellStyle name="Suma 2 12 49" xfId="30283"/>
    <cellStyle name="Suma 2 12 49 2" xfId="30284"/>
    <cellStyle name="Suma 2 12 49 3" xfId="30285"/>
    <cellStyle name="Suma 2 12 5" xfId="30286"/>
    <cellStyle name="Suma 2 12 5 2" xfId="30287"/>
    <cellStyle name="Suma 2 12 5 3" xfId="30288"/>
    <cellStyle name="Suma 2 12 5 4" xfId="30289"/>
    <cellStyle name="Suma 2 12 50" xfId="30290"/>
    <cellStyle name="Suma 2 12 50 2" xfId="30291"/>
    <cellStyle name="Suma 2 12 50 3" xfId="30292"/>
    <cellStyle name="Suma 2 12 51" xfId="30293"/>
    <cellStyle name="Suma 2 12 51 2" xfId="30294"/>
    <cellStyle name="Suma 2 12 51 3" xfId="30295"/>
    <cellStyle name="Suma 2 12 52" xfId="30296"/>
    <cellStyle name="Suma 2 12 52 2" xfId="30297"/>
    <cellStyle name="Suma 2 12 52 3" xfId="30298"/>
    <cellStyle name="Suma 2 12 53" xfId="30299"/>
    <cellStyle name="Suma 2 12 53 2" xfId="30300"/>
    <cellStyle name="Suma 2 12 53 3" xfId="30301"/>
    <cellStyle name="Suma 2 12 54" xfId="30302"/>
    <cellStyle name="Suma 2 12 54 2" xfId="30303"/>
    <cellStyle name="Suma 2 12 54 3" xfId="30304"/>
    <cellStyle name="Suma 2 12 55" xfId="30305"/>
    <cellStyle name="Suma 2 12 55 2" xfId="30306"/>
    <cellStyle name="Suma 2 12 55 3" xfId="30307"/>
    <cellStyle name="Suma 2 12 56" xfId="30308"/>
    <cellStyle name="Suma 2 12 56 2" xfId="30309"/>
    <cellStyle name="Suma 2 12 56 3" xfId="30310"/>
    <cellStyle name="Suma 2 12 57" xfId="30311"/>
    <cellStyle name="Suma 2 12 58" xfId="30312"/>
    <cellStyle name="Suma 2 12 6" xfId="30313"/>
    <cellStyle name="Suma 2 12 6 2" xfId="30314"/>
    <cellStyle name="Suma 2 12 6 3" xfId="30315"/>
    <cellStyle name="Suma 2 12 6 4" xfId="30316"/>
    <cellStyle name="Suma 2 12 7" xfId="30317"/>
    <cellStyle name="Suma 2 12 7 2" xfId="30318"/>
    <cellStyle name="Suma 2 12 7 3" xfId="30319"/>
    <cellStyle name="Suma 2 12 7 4" xfId="30320"/>
    <cellStyle name="Suma 2 12 8" xfId="30321"/>
    <cellStyle name="Suma 2 12 8 2" xfId="30322"/>
    <cellStyle name="Suma 2 12 8 3" xfId="30323"/>
    <cellStyle name="Suma 2 12 8 4" xfId="30324"/>
    <cellStyle name="Suma 2 12 9" xfId="30325"/>
    <cellStyle name="Suma 2 12 9 2" xfId="30326"/>
    <cellStyle name="Suma 2 12 9 3" xfId="30327"/>
    <cellStyle name="Suma 2 12 9 4" xfId="30328"/>
    <cellStyle name="Suma 2 13" xfId="30329"/>
    <cellStyle name="Suma 2 13 10" xfId="30330"/>
    <cellStyle name="Suma 2 13 10 2" xfId="30331"/>
    <cellStyle name="Suma 2 13 10 3" xfId="30332"/>
    <cellStyle name="Suma 2 13 10 4" xfId="30333"/>
    <cellStyle name="Suma 2 13 11" xfId="30334"/>
    <cellStyle name="Suma 2 13 11 2" xfId="30335"/>
    <cellStyle name="Suma 2 13 11 3" xfId="30336"/>
    <cellStyle name="Suma 2 13 11 4" xfId="30337"/>
    <cellStyle name="Suma 2 13 12" xfId="30338"/>
    <cellStyle name="Suma 2 13 12 2" xfId="30339"/>
    <cellStyle name="Suma 2 13 12 3" xfId="30340"/>
    <cellStyle name="Suma 2 13 12 4" xfId="30341"/>
    <cellStyle name="Suma 2 13 13" xfId="30342"/>
    <cellStyle name="Suma 2 13 13 2" xfId="30343"/>
    <cellStyle name="Suma 2 13 13 3" xfId="30344"/>
    <cellStyle name="Suma 2 13 13 4" xfId="30345"/>
    <cellStyle name="Suma 2 13 14" xfId="30346"/>
    <cellStyle name="Suma 2 13 14 2" xfId="30347"/>
    <cellStyle name="Suma 2 13 14 3" xfId="30348"/>
    <cellStyle name="Suma 2 13 14 4" xfId="30349"/>
    <cellStyle name="Suma 2 13 15" xfId="30350"/>
    <cellStyle name="Suma 2 13 15 2" xfId="30351"/>
    <cellStyle name="Suma 2 13 15 3" xfId="30352"/>
    <cellStyle name="Suma 2 13 15 4" xfId="30353"/>
    <cellStyle name="Suma 2 13 16" xfId="30354"/>
    <cellStyle name="Suma 2 13 16 2" xfId="30355"/>
    <cellStyle name="Suma 2 13 16 3" xfId="30356"/>
    <cellStyle name="Suma 2 13 16 4" xfId="30357"/>
    <cellStyle name="Suma 2 13 17" xfId="30358"/>
    <cellStyle name="Suma 2 13 17 2" xfId="30359"/>
    <cellStyle name="Suma 2 13 17 3" xfId="30360"/>
    <cellStyle name="Suma 2 13 17 4" xfId="30361"/>
    <cellStyle name="Suma 2 13 18" xfId="30362"/>
    <cellStyle name="Suma 2 13 18 2" xfId="30363"/>
    <cellStyle name="Suma 2 13 18 3" xfId="30364"/>
    <cellStyle name="Suma 2 13 18 4" xfId="30365"/>
    <cellStyle name="Suma 2 13 19" xfId="30366"/>
    <cellStyle name="Suma 2 13 19 2" xfId="30367"/>
    <cellStyle name="Suma 2 13 19 3" xfId="30368"/>
    <cellStyle name="Suma 2 13 19 4" xfId="30369"/>
    <cellStyle name="Suma 2 13 2" xfId="30370"/>
    <cellStyle name="Suma 2 13 2 2" xfId="30371"/>
    <cellStyle name="Suma 2 13 2 3" xfId="30372"/>
    <cellStyle name="Suma 2 13 2 4" xfId="30373"/>
    <cellStyle name="Suma 2 13 20" xfId="30374"/>
    <cellStyle name="Suma 2 13 20 2" xfId="30375"/>
    <cellStyle name="Suma 2 13 20 3" xfId="30376"/>
    <cellStyle name="Suma 2 13 20 4" xfId="30377"/>
    <cellStyle name="Suma 2 13 21" xfId="30378"/>
    <cellStyle name="Suma 2 13 21 2" xfId="30379"/>
    <cellStyle name="Suma 2 13 21 3" xfId="30380"/>
    <cellStyle name="Suma 2 13 22" xfId="30381"/>
    <cellStyle name="Suma 2 13 22 2" xfId="30382"/>
    <cellStyle name="Suma 2 13 22 3" xfId="30383"/>
    <cellStyle name="Suma 2 13 23" xfId="30384"/>
    <cellStyle name="Suma 2 13 23 2" xfId="30385"/>
    <cellStyle name="Suma 2 13 23 3" xfId="30386"/>
    <cellStyle name="Suma 2 13 24" xfId="30387"/>
    <cellStyle name="Suma 2 13 24 2" xfId="30388"/>
    <cellStyle name="Suma 2 13 24 3" xfId="30389"/>
    <cellStyle name="Suma 2 13 25" xfId="30390"/>
    <cellStyle name="Suma 2 13 25 2" xfId="30391"/>
    <cellStyle name="Suma 2 13 25 3" xfId="30392"/>
    <cellStyle name="Suma 2 13 26" xfId="30393"/>
    <cellStyle name="Suma 2 13 26 2" xfId="30394"/>
    <cellStyle name="Suma 2 13 26 3" xfId="30395"/>
    <cellStyle name="Suma 2 13 27" xfId="30396"/>
    <cellStyle name="Suma 2 13 27 2" xfId="30397"/>
    <cellStyle name="Suma 2 13 27 3" xfId="30398"/>
    <cellStyle name="Suma 2 13 28" xfId="30399"/>
    <cellStyle name="Suma 2 13 28 2" xfId="30400"/>
    <cellStyle name="Suma 2 13 28 3" xfId="30401"/>
    <cellStyle name="Suma 2 13 29" xfId="30402"/>
    <cellStyle name="Suma 2 13 29 2" xfId="30403"/>
    <cellStyle name="Suma 2 13 29 3" xfId="30404"/>
    <cellStyle name="Suma 2 13 3" xfId="30405"/>
    <cellStyle name="Suma 2 13 3 2" xfId="30406"/>
    <cellStyle name="Suma 2 13 3 3" xfId="30407"/>
    <cellStyle name="Suma 2 13 3 4" xfId="30408"/>
    <cellStyle name="Suma 2 13 30" xfId="30409"/>
    <cellStyle name="Suma 2 13 30 2" xfId="30410"/>
    <cellStyle name="Suma 2 13 30 3" xfId="30411"/>
    <cellStyle name="Suma 2 13 31" xfId="30412"/>
    <cellStyle name="Suma 2 13 31 2" xfId="30413"/>
    <cellStyle name="Suma 2 13 31 3" xfId="30414"/>
    <cellStyle name="Suma 2 13 32" xfId="30415"/>
    <cellStyle name="Suma 2 13 32 2" xfId="30416"/>
    <cellStyle name="Suma 2 13 32 3" xfId="30417"/>
    <cellStyle name="Suma 2 13 33" xfId="30418"/>
    <cellStyle name="Suma 2 13 33 2" xfId="30419"/>
    <cellStyle name="Suma 2 13 33 3" xfId="30420"/>
    <cellStyle name="Suma 2 13 34" xfId="30421"/>
    <cellStyle name="Suma 2 13 34 2" xfId="30422"/>
    <cellStyle name="Suma 2 13 34 3" xfId="30423"/>
    <cellStyle name="Suma 2 13 35" xfId="30424"/>
    <cellStyle name="Suma 2 13 35 2" xfId="30425"/>
    <cellStyle name="Suma 2 13 35 3" xfId="30426"/>
    <cellStyle name="Suma 2 13 36" xfId="30427"/>
    <cellStyle name="Suma 2 13 36 2" xfId="30428"/>
    <cellStyle name="Suma 2 13 36 3" xfId="30429"/>
    <cellStyle name="Suma 2 13 37" xfId="30430"/>
    <cellStyle name="Suma 2 13 37 2" xfId="30431"/>
    <cellStyle name="Suma 2 13 37 3" xfId="30432"/>
    <cellStyle name="Suma 2 13 38" xfId="30433"/>
    <cellStyle name="Suma 2 13 38 2" xfId="30434"/>
    <cellStyle name="Suma 2 13 38 3" xfId="30435"/>
    <cellStyle name="Suma 2 13 39" xfId="30436"/>
    <cellStyle name="Suma 2 13 39 2" xfId="30437"/>
    <cellStyle name="Suma 2 13 39 3" xfId="30438"/>
    <cellStyle name="Suma 2 13 4" xfId="30439"/>
    <cellStyle name="Suma 2 13 4 2" xfId="30440"/>
    <cellStyle name="Suma 2 13 4 3" xfId="30441"/>
    <cellStyle name="Suma 2 13 4 4" xfId="30442"/>
    <cellStyle name="Suma 2 13 40" xfId="30443"/>
    <cellStyle name="Suma 2 13 40 2" xfId="30444"/>
    <cellStyle name="Suma 2 13 40 3" xfId="30445"/>
    <cellStyle name="Suma 2 13 41" xfId="30446"/>
    <cellStyle name="Suma 2 13 41 2" xfId="30447"/>
    <cellStyle name="Suma 2 13 41 3" xfId="30448"/>
    <cellStyle name="Suma 2 13 42" xfId="30449"/>
    <cellStyle name="Suma 2 13 42 2" xfId="30450"/>
    <cellStyle name="Suma 2 13 42 3" xfId="30451"/>
    <cellStyle name="Suma 2 13 43" xfId="30452"/>
    <cellStyle name="Suma 2 13 43 2" xfId="30453"/>
    <cellStyle name="Suma 2 13 43 3" xfId="30454"/>
    <cellStyle name="Suma 2 13 44" xfId="30455"/>
    <cellStyle name="Suma 2 13 44 2" xfId="30456"/>
    <cellStyle name="Suma 2 13 44 3" xfId="30457"/>
    <cellStyle name="Suma 2 13 45" xfId="30458"/>
    <cellStyle name="Suma 2 13 45 2" xfId="30459"/>
    <cellStyle name="Suma 2 13 45 3" xfId="30460"/>
    <cellStyle name="Suma 2 13 46" xfId="30461"/>
    <cellStyle name="Suma 2 13 46 2" xfId="30462"/>
    <cellStyle name="Suma 2 13 46 3" xfId="30463"/>
    <cellStyle name="Suma 2 13 47" xfId="30464"/>
    <cellStyle name="Suma 2 13 47 2" xfId="30465"/>
    <cellStyle name="Suma 2 13 47 3" xfId="30466"/>
    <cellStyle name="Suma 2 13 48" xfId="30467"/>
    <cellStyle name="Suma 2 13 48 2" xfId="30468"/>
    <cellStyle name="Suma 2 13 48 3" xfId="30469"/>
    <cellStyle name="Suma 2 13 49" xfId="30470"/>
    <cellStyle name="Suma 2 13 49 2" xfId="30471"/>
    <cellStyle name="Suma 2 13 49 3" xfId="30472"/>
    <cellStyle name="Suma 2 13 5" xfId="30473"/>
    <cellStyle name="Suma 2 13 5 2" xfId="30474"/>
    <cellStyle name="Suma 2 13 5 3" xfId="30475"/>
    <cellStyle name="Suma 2 13 5 4" xfId="30476"/>
    <cellStyle name="Suma 2 13 50" xfId="30477"/>
    <cellStyle name="Suma 2 13 50 2" xfId="30478"/>
    <cellStyle name="Suma 2 13 50 3" xfId="30479"/>
    <cellStyle name="Suma 2 13 51" xfId="30480"/>
    <cellStyle name="Suma 2 13 51 2" xfId="30481"/>
    <cellStyle name="Suma 2 13 51 3" xfId="30482"/>
    <cellStyle name="Suma 2 13 52" xfId="30483"/>
    <cellStyle name="Suma 2 13 52 2" xfId="30484"/>
    <cellStyle name="Suma 2 13 52 3" xfId="30485"/>
    <cellStyle name="Suma 2 13 53" xfId="30486"/>
    <cellStyle name="Suma 2 13 53 2" xfId="30487"/>
    <cellStyle name="Suma 2 13 53 3" xfId="30488"/>
    <cellStyle name="Suma 2 13 54" xfId="30489"/>
    <cellStyle name="Suma 2 13 54 2" xfId="30490"/>
    <cellStyle name="Suma 2 13 54 3" xfId="30491"/>
    <cellStyle name="Suma 2 13 55" xfId="30492"/>
    <cellStyle name="Suma 2 13 55 2" xfId="30493"/>
    <cellStyle name="Suma 2 13 55 3" xfId="30494"/>
    <cellStyle name="Suma 2 13 56" xfId="30495"/>
    <cellStyle name="Suma 2 13 56 2" xfId="30496"/>
    <cellStyle name="Suma 2 13 56 3" xfId="30497"/>
    <cellStyle name="Suma 2 13 57" xfId="30498"/>
    <cellStyle name="Suma 2 13 58" xfId="30499"/>
    <cellStyle name="Suma 2 13 6" xfId="30500"/>
    <cellStyle name="Suma 2 13 6 2" xfId="30501"/>
    <cellStyle name="Suma 2 13 6 3" xfId="30502"/>
    <cellStyle name="Suma 2 13 6 4" xfId="30503"/>
    <cellStyle name="Suma 2 13 7" xfId="30504"/>
    <cellStyle name="Suma 2 13 7 2" xfId="30505"/>
    <cellStyle name="Suma 2 13 7 3" xfId="30506"/>
    <cellStyle name="Suma 2 13 7 4" xfId="30507"/>
    <cellStyle name="Suma 2 13 8" xfId="30508"/>
    <cellStyle name="Suma 2 13 8 2" xfId="30509"/>
    <cellStyle name="Suma 2 13 8 3" xfId="30510"/>
    <cellStyle name="Suma 2 13 8 4" xfId="30511"/>
    <cellStyle name="Suma 2 13 9" xfId="30512"/>
    <cellStyle name="Suma 2 13 9 2" xfId="30513"/>
    <cellStyle name="Suma 2 13 9 3" xfId="30514"/>
    <cellStyle name="Suma 2 13 9 4" xfId="30515"/>
    <cellStyle name="Suma 2 14" xfId="30516"/>
    <cellStyle name="Suma 2 14 10" xfId="30517"/>
    <cellStyle name="Suma 2 14 10 2" xfId="30518"/>
    <cellStyle name="Suma 2 14 10 3" xfId="30519"/>
    <cellStyle name="Suma 2 14 10 4" xfId="30520"/>
    <cellStyle name="Suma 2 14 11" xfId="30521"/>
    <cellStyle name="Suma 2 14 11 2" xfId="30522"/>
    <cellStyle name="Suma 2 14 11 3" xfId="30523"/>
    <cellStyle name="Suma 2 14 11 4" xfId="30524"/>
    <cellStyle name="Suma 2 14 12" xfId="30525"/>
    <cellStyle name="Suma 2 14 12 2" xfId="30526"/>
    <cellStyle name="Suma 2 14 12 3" xfId="30527"/>
    <cellStyle name="Suma 2 14 12 4" xfId="30528"/>
    <cellStyle name="Suma 2 14 13" xfId="30529"/>
    <cellStyle name="Suma 2 14 13 2" xfId="30530"/>
    <cellStyle name="Suma 2 14 13 3" xfId="30531"/>
    <cellStyle name="Suma 2 14 13 4" xfId="30532"/>
    <cellStyle name="Suma 2 14 14" xfId="30533"/>
    <cellStyle name="Suma 2 14 14 2" xfId="30534"/>
    <cellStyle name="Suma 2 14 14 3" xfId="30535"/>
    <cellStyle name="Suma 2 14 14 4" xfId="30536"/>
    <cellStyle name="Suma 2 14 15" xfId="30537"/>
    <cellStyle name="Suma 2 14 15 2" xfId="30538"/>
    <cellStyle name="Suma 2 14 15 3" xfId="30539"/>
    <cellStyle name="Suma 2 14 15 4" xfId="30540"/>
    <cellStyle name="Suma 2 14 16" xfId="30541"/>
    <cellStyle name="Suma 2 14 16 2" xfId="30542"/>
    <cellStyle name="Suma 2 14 16 3" xfId="30543"/>
    <cellStyle name="Suma 2 14 16 4" xfId="30544"/>
    <cellStyle name="Suma 2 14 17" xfId="30545"/>
    <cellStyle name="Suma 2 14 17 2" xfId="30546"/>
    <cellStyle name="Suma 2 14 17 3" xfId="30547"/>
    <cellStyle name="Suma 2 14 17 4" xfId="30548"/>
    <cellStyle name="Suma 2 14 18" xfId="30549"/>
    <cellStyle name="Suma 2 14 18 2" xfId="30550"/>
    <cellStyle name="Suma 2 14 18 3" xfId="30551"/>
    <cellStyle name="Suma 2 14 18 4" xfId="30552"/>
    <cellStyle name="Suma 2 14 19" xfId="30553"/>
    <cellStyle name="Suma 2 14 19 2" xfId="30554"/>
    <cellStyle name="Suma 2 14 19 3" xfId="30555"/>
    <cellStyle name="Suma 2 14 19 4" xfId="30556"/>
    <cellStyle name="Suma 2 14 2" xfId="30557"/>
    <cellStyle name="Suma 2 14 2 2" xfId="30558"/>
    <cellStyle name="Suma 2 14 2 3" xfId="30559"/>
    <cellStyle name="Suma 2 14 2 4" xfId="30560"/>
    <cellStyle name="Suma 2 14 20" xfId="30561"/>
    <cellStyle name="Suma 2 14 20 2" xfId="30562"/>
    <cellStyle name="Suma 2 14 20 3" xfId="30563"/>
    <cellStyle name="Suma 2 14 20 4" xfId="30564"/>
    <cellStyle name="Suma 2 14 21" xfId="30565"/>
    <cellStyle name="Suma 2 14 21 2" xfId="30566"/>
    <cellStyle name="Suma 2 14 21 3" xfId="30567"/>
    <cellStyle name="Suma 2 14 22" xfId="30568"/>
    <cellStyle name="Suma 2 14 22 2" xfId="30569"/>
    <cellStyle name="Suma 2 14 22 3" xfId="30570"/>
    <cellStyle name="Suma 2 14 23" xfId="30571"/>
    <cellStyle name="Suma 2 14 23 2" xfId="30572"/>
    <cellStyle name="Suma 2 14 23 3" xfId="30573"/>
    <cellStyle name="Suma 2 14 24" xfId="30574"/>
    <cellStyle name="Suma 2 14 24 2" xfId="30575"/>
    <cellStyle name="Suma 2 14 24 3" xfId="30576"/>
    <cellStyle name="Suma 2 14 25" xfId="30577"/>
    <cellStyle name="Suma 2 14 25 2" xfId="30578"/>
    <cellStyle name="Suma 2 14 25 3" xfId="30579"/>
    <cellStyle name="Suma 2 14 26" xfId="30580"/>
    <cellStyle name="Suma 2 14 26 2" xfId="30581"/>
    <cellStyle name="Suma 2 14 26 3" xfId="30582"/>
    <cellStyle name="Suma 2 14 27" xfId="30583"/>
    <cellStyle name="Suma 2 14 27 2" xfId="30584"/>
    <cellStyle name="Suma 2 14 27 3" xfId="30585"/>
    <cellStyle name="Suma 2 14 28" xfId="30586"/>
    <cellStyle name="Suma 2 14 28 2" xfId="30587"/>
    <cellStyle name="Suma 2 14 28 3" xfId="30588"/>
    <cellStyle name="Suma 2 14 29" xfId="30589"/>
    <cellStyle name="Suma 2 14 29 2" xfId="30590"/>
    <cellStyle name="Suma 2 14 29 3" xfId="30591"/>
    <cellStyle name="Suma 2 14 3" xfId="30592"/>
    <cellStyle name="Suma 2 14 3 2" xfId="30593"/>
    <cellStyle name="Suma 2 14 3 3" xfId="30594"/>
    <cellStyle name="Suma 2 14 3 4" xfId="30595"/>
    <cellStyle name="Suma 2 14 30" xfId="30596"/>
    <cellStyle name="Suma 2 14 30 2" xfId="30597"/>
    <cellStyle name="Suma 2 14 30 3" xfId="30598"/>
    <cellStyle name="Suma 2 14 31" xfId="30599"/>
    <cellStyle name="Suma 2 14 31 2" xfId="30600"/>
    <cellStyle name="Suma 2 14 31 3" xfId="30601"/>
    <cellStyle name="Suma 2 14 32" xfId="30602"/>
    <cellStyle name="Suma 2 14 32 2" xfId="30603"/>
    <cellStyle name="Suma 2 14 32 3" xfId="30604"/>
    <cellStyle name="Suma 2 14 33" xfId="30605"/>
    <cellStyle name="Suma 2 14 33 2" xfId="30606"/>
    <cellStyle name="Suma 2 14 33 3" xfId="30607"/>
    <cellStyle name="Suma 2 14 34" xfId="30608"/>
    <cellStyle name="Suma 2 14 34 2" xfId="30609"/>
    <cellStyle name="Suma 2 14 34 3" xfId="30610"/>
    <cellStyle name="Suma 2 14 35" xfId="30611"/>
    <cellStyle name="Suma 2 14 35 2" xfId="30612"/>
    <cellStyle name="Suma 2 14 35 3" xfId="30613"/>
    <cellStyle name="Suma 2 14 36" xfId="30614"/>
    <cellStyle name="Suma 2 14 36 2" xfId="30615"/>
    <cellStyle name="Suma 2 14 36 3" xfId="30616"/>
    <cellStyle name="Suma 2 14 37" xfId="30617"/>
    <cellStyle name="Suma 2 14 37 2" xfId="30618"/>
    <cellStyle name="Suma 2 14 37 3" xfId="30619"/>
    <cellStyle name="Suma 2 14 38" xfId="30620"/>
    <cellStyle name="Suma 2 14 38 2" xfId="30621"/>
    <cellStyle name="Suma 2 14 38 3" xfId="30622"/>
    <cellStyle name="Suma 2 14 39" xfId="30623"/>
    <cellStyle name="Suma 2 14 39 2" xfId="30624"/>
    <cellStyle name="Suma 2 14 39 3" xfId="30625"/>
    <cellStyle name="Suma 2 14 4" xfId="30626"/>
    <cellStyle name="Suma 2 14 4 2" xfId="30627"/>
    <cellStyle name="Suma 2 14 4 3" xfId="30628"/>
    <cellStyle name="Suma 2 14 4 4" xfId="30629"/>
    <cellStyle name="Suma 2 14 40" xfId="30630"/>
    <cellStyle name="Suma 2 14 40 2" xfId="30631"/>
    <cellStyle name="Suma 2 14 40 3" xfId="30632"/>
    <cellStyle name="Suma 2 14 41" xfId="30633"/>
    <cellStyle name="Suma 2 14 41 2" xfId="30634"/>
    <cellStyle name="Suma 2 14 41 3" xfId="30635"/>
    <cellStyle name="Suma 2 14 42" xfId="30636"/>
    <cellStyle name="Suma 2 14 42 2" xfId="30637"/>
    <cellStyle name="Suma 2 14 42 3" xfId="30638"/>
    <cellStyle name="Suma 2 14 43" xfId="30639"/>
    <cellStyle name="Suma 2 14 43 2" xfId="30640"/>
    <cellStyle name="Suma 2 14 43 3" xfId="30641"/>
    <cellStyle name="Suma 2 14 44" xfId="30642"/>
    <cellStyle name="Suma 2 14 44 2" xfId="30643"/>
    <cellStyle name="Suma 2 14 44 3" xfId="30644"/>
    <cellStyle name="Suma 2 14 45" xfId="30645"/>
    <cellStyle name="Suma 2 14 45 2" xfId="30646"/>
    <cellStyle name="Suma 2 14 45 3" xfId="30647"/>
    <cellStyle name="Suma 2 14 46" xfId="30648"/>
    <cellStyle name="Suma 2 14 46 2" xfId="30649"/>
    <cellStyle name="Suma 2 14 46 3" xfId="30650"/>
    <cellStyle name="Suma 2 14 47" xfId="30651"/>
    <cellStyle name="Suma 2 14 47 2" xfId="30652"/>
    <cellStyle name="Suma 2 14 47 3" xfId="30653"/>
    <cellStyle name="Suma 2 14 48" xfId="30654"/>
    <cellStyle name="Suma 2 14 48 2" xfId="30655"/>
    <cellStyle name="Suma 2 14 48 3" xfId="30656"/>
    <cellStyle name="Suma 2 14 49" xfId="30657"/>
    <cellStyle name="Suma 2 14 49 2" xfId="30658"/>
    <cellStyle name="Suma 2 14 49 3" xfId="30659"/>
    <cellStyle name="Suma 2 14 5" xfId="30660"/>
    <cellStyle name="Suma 2 14 5 2" xfId="30661"/>
    <cellStyle name="Suma 2 14 5 3" xfId="30662"/>
    <cellStyle name="Suma 2 14 5 4" xfId="30663"/>
    <cellStyle name="Suma 2 14 50" xfId="30664"/>
    <cellStyle name="Suma 2 14 50 2" xfId="30665"/>
    <cellStyle name="Suma 2 14 50 3" xfId="30666"/>
    <cellStyle name="Suma 2 14 51" xfId="30667"/>
    <cellStyle name="Suma 2 14 51 2" xfId="30668"/>
    <cellStyle name="Suma 2 14 51 3" xfId="30669"/>
    <cellStyle name="Suma 2 14 52" xfId="30670"/>
    <cellStyle name="Suma 2 14 52 2" xfId="30671"/>
    <cellStyle name="Suma 2 14 52 3" xfId="30672"/>
    <cellStyle name="Suma 2 14 53" xfId="30673"/>
    <cellStyle name="Suma 2 14 53 2" xfId="30674"/>
    <cellStyle name="Suma 2 14 53 3" xfId="30675"/>
    <cellStyle name="Suma 2 14 54" xfId="30676"/>
    <cellStyle name="Suma 2 14 54 2" xfId="30677"/>
    <cellStyle name="Suma 2 14 54 3" xfId="30678"/>
    <cellStyle name="Suma 2 14 55" xfId="30679"/>
    <cellStyle name="Suma 2 14 55 2" xfId="30680"/>
    <cellStyle name="Suma 2 14 55 3" xfId="30681"/>
    <cellStyle name="Suma 2 14 56" xfId="30682"/>
    <cellStyle name="Suma 2 14 56 2" xfId="30683"/>
    <cellStyle name="Suma 2 14 56 3" xfId="30684"/>
    <cellStyle name="Suma 2 14 57" xfId="30685"/>
    <cellStyle name="Suma 2 14 58" xfId="30686"/>
    <cellStyle name="Suma 2 14 6" xfId="30687"/>
    <cellStyle name="Suma 2 14 6 2" xfId="30688"/>
    <cellStyle name="Suma 2 14 6 3" xfId="30689"/>
    <cellStyle name="Suma 2 14 6 4" xfId="30690"/>
    <cellStyle name="Suma 2 14 7" xfId="30691"/>
    <cellStyle name="Suma 2 14 7 2" xfId="30692"/>
    <cellStyle name="Suma 2 14 7 3" xfId="30693"/>
    <cellStyle name="Suma 2 14 7 4" xfId="30694"/>
    <cellStyle name="Suma 2 14 8" xfId="30695"/>
    <cellStyle name="Suma 2 14 8 2" xfId="30696"/>
    <cellStyle name="Suma 2 14 8 3" xfId="30697"/>
    <cellStyle name="Suma 2 14 8 4" xfId="30698"/>
    <cellStyle name="Suma 2 14 9" xfId="30699"/>
    <cellStyle name="Suma 2 14 9 2" xfId="30700"/>
    <cellStyle name="Suma 2 14 9 3" xfId="30701"/>
    <cellStyle name="Suma 2 14 9 4" xfId="30702"/>
    <cellStyle name="Suma 2 15" xfId="30703"/>
    <cellStyle name="Suma 2 15 10" xfId="30704"/>
    <cellStyle name="Suma 2 15 10 2" xfId="30705"/>
    <cellStyle name="Suma 2 15 10 3" xfId="30706"/>
    <cellStyle name="Suma 2 15 10 4" xfId="30707"/>
    <cellStyle name="Suma 2 15 11" xfId="30708"/>
    <cellStyle name="Suma 2 15 11 2" xfId="30709"/>
    <cellStyle name="Suma 2 15 11 3" xfId="30710"/>
    <cellStyle name="Suma 2 15 11 4" xfId="30711"/>
    <cellStyle name="Suma 2 15 12" xfId="30712"/>
    <cellStyle name="Suma 2 15 12 2" xfId="30713"/>
    <cellStyle name="Suma 2 15 12 3" xfId="30714"/>
    <cellStyle name="Suma 2 15 12 4" xfId="30715"/>
    <cellStyle name="Suma 2 15 13" xfId="30716"/>
    <cellStyle name="Suma 2 15 13 2" xfId="30717"/>
    <cellStyle name="Suma 2 15 13 3" xfId="30718"/>
    <cellStyle name="Suma 2 15 13 4" xfId="30719"/>
    <cellStyle name="Suma 2 15 14" xfId="30720"/>
    <cellStyle name="Suma 2 15 14 2" xfId="30721"/>
    <cellStyle name="Suma 2 15 14 3" xfId="30722"/>
    <cellStyle name="Suma 2 15 14 4" xfId="30723"/>
    <cellStyle name="Suma 2 15 15" xfId="30724"/>
    <cellStyle name="Suma 2 15 15 2" xfId="30725"/>
    <cellStyle name="Suma 2 15 15 3" xfId="30726"/>
    <cellStyle name="Suma 2 15 15 4" xfId="30727"/>
    <cellStyle name="Suma 2 15 16" xfId="30728"/>
    <cellStyle name="Suma 2 15 16 2" xfId="30729"/>
    <cellStyle name="Suma 2 15 16 3" xfId="30730"/>
    <cellStyle name="Suma 2 15 16 4" xfId="30731"/>
    <cellStyle name="Suma 2 15 17" xfId="30732"/>
    <cellStyle name="Suma 2 15 17 2" xfId="30733"/>
    <cellStyle name="Suma 2 15 17 3" xfId="30734"/>
    <cellStyle name="Suma 2 15 17 4" xfId="30735"/>
    <cellStyle name="Suma 2 15 18" xfId="30736"/>
    <cellStyle name="Suma 2 15 18 2" xfId="30737"/>
    <cellStyle name="Suma 2 15 18 3" xfId="30738"/>
    <cellStyle name="Suma 2 15 18 4" xfId="30739"/>
    <cellStyle name="Suma 2 15 19" xfId="30740"/>
    <cellStyle name="Suma 2 15 19 2" xfId="30741"/>
    <cellStyle name="Suma 2 15 19 3" xfId="30742"/>
    <cellStyle name="Suma 2 15 19 4" xfId="30743"/>
    <cellStyle name="Suma 2 15 2" xfId="30744"/>
    <cellStyle name="Suma 2 15 2 2" xfId="30745"/>
    <cellStyle name="Suma 2 15 2 3" xfId="30746"/>
    <cellStyle name="Suma 2 15 2 4" xfId="30747"/>
    <cellStyle name="Suma 2 15 20" xfId="30748"/>
    <cellStyle name="Suma 2 15 20 2" xfId="30749"/>
    <cellStyle name="Suma 2 15 20 3" xfId="30750"/>
    <cellStyle name="Suma 2 15 20 4" xfId="30751"/>
    <cellStyle name="Suma 2 15 21" xfId="30752"/>
    <cellStyle name="Suma 2 15 21 2" xfId="30753"/>
    <cellStyle name="Suma 2 15 21 3" xfId="30754"/>
    <cellStyle name="Suma 2 15 22" xfId="30755"/>
    <cellStyle name="Suma 2 15 22 2" xfId="30756"/>
    <cellStyle name="Suma 2 15 22 3" xfId="30757"/>
    <cellStyle name="Suma 2 15 23" xfId="30758"/>
    <cellStyle name="Suma 2 15 23 2" xfId="30759"/>
    <cellStyle name="Suma 2 15 23 3" xfId="30760"/>
    <cellStyle name="Suma 2 15 24" xfId="30761"/>
    <cellStyle name="Suma 2 15 24 2" xfId="30762"/>
    <cellStyle name="Suma 2 15 24 3" xfId="30763"/>
    <cellStyle name="Suma 2 15 25" xfId="30764"/>
    <cellStyle name="Suma 2 15 25 2" xfId="30765"/>
    <cellStyle name="Suma 2 15 25 3" xfId="30766"/>
    <cellStyle name="Suma 2 15 26" xfId="30767"/>
    <cellStyle name="Suma 2 15 26 2" xfId="30768"/>
    <cellStyle name="Suma 2 15 26 3" xfId="30769"/>
    <cellStyle name="Suma 2 15 27" xfId="30770"/>
    <cellStyle name="Suma 2 15 27 2" xfId="30771"/>
    <cellStyle name="Suma 2 15 27 3" xfId="30772"/>
    <cellStyle name="Suma 2 15 28" xfId="30773"/>
    <cellStyle name="Suma 2 15 28 2" xfId="30774"/>
    <cellStyle name="Suma 2 15 28 3" xfId="30775"/>
    <cellStyle name="Suma 2 15 29" xfId="30776"/>
    <cellStyle name="Suma 2 15 29 2" xfId="30777"/>
    <cellStyle name="Suma 2 15 29 3" xfId="30778"/>
    <cellStyle name="Suma 2 15 3" xfId="30779"/>
    <cellStyle name="Suma 2 15 3 2" xfId="30780"/>
    <cellStyle name="Suma 2 15 3 3" xfId="30781"/>
    <cellStyle name="Suma 2 15 3 4" xfId="30782"/>
    <cellStyle name="Suma 2 15 30" xfId="30783"/>
    <cellStyle name="Suma 2 15 30 2" xfId="30784"/>
    <cellStyle name="Suma 2 15 30 3" xfId="30785"/>
    <cellStyle name="Suma 2 15 31" xfId="30786"/>
    <cellStyle name="Suma 2 15 31 2" xfId="30787"/>
    <cellStyle name="Suma 2 15 31 3" xfId="30788"/>
    <cellStyle name="Suma 2 15 32" xfId="30789"/>
    <cellStyle name="Suma 2 15 32 2" xfId="30790"/>
    <cellStyle name="Suma 2 15 32 3" xfId="30791"/>
    <cellStyle name="Suma 2 15 33" xfId="30792"/>
    <cellStyle name="Suma 2 15 33 2" xfId="30793"/>
    <cellStyle name="Suma 2 15 33 3" xfId="30794"/>
    <cellStyle name="Suma 2 15 34" xfId="30795"/>
    <cellStyle name="Suma 2 15 34 2" xfId="30796"/>
    <cellStyle name="Suma 2 15 34 3" xfId="30797"/>
    <cellStyle name="Suma 2 15 35" xfId="30798"/>
    <cellStyle name="Suma 2 15 35 2" xfId="30799"/>
    <cellStyle name="Suma 2 15 35 3" xfId="30800"/>
    <cellStyle name="Suma 2 15 36" xfId="30801"/>
    <cellStyle name="Suma 2 15 36 2" xfId="30802"/>
    <cellStyle name="Suma 2 15 36 3" xfId="30803"/>
    <cellStyle name="Suma 2 15 37" xfId="30804"/>
    <cellStyle name="Suma 2 15 37 2" xfId="30805"/>
    <cellStyle name="Suma 2 15 37 3" xfId="30806"/>
    <cellStyle name="Suma 2 15 38" xfId="30807"/>
    <cellStyle name="Suma 2 15 38 2" xfId="30808"/>
    <cellStyle name="Suma 2 15 38 3" xfId="30809"/>
    <cellStyle name="Suma 2 15 39" xfId="30810"/>
    <cellStyle name="Suma 2 15 39 2" xfId="30811"/>
    <cellStyle name="Suma 2 15 39 3" xfId="30812"/>
    <cellStyle name="Suma 2 15 4" xfId="30813"/>
    <cellStyle name="Suma 2 15 4 2" xfId="30814"/>
    <cellStyle name="Suma 2 15 4 3" xfId="30815"/>
    <cellStyle name="Suma 2 15 4 4" xfId="30816"/>
    <cellStyle name="Suma 2 15 40" xfId="30817"/>
    <cellStyle name="Suma 2 15 40 2" xfId="30818"/>
    <cellStyle name="Suma 2 15 40 3" xfId="30819"/>
    <cellStyle name="Suma 2 15 41" xfId="30820"/>
    <cellStyle name="Suma 2 15 41 2" xfId="30821"/>
    <cellStyle name="Suma 2 15 41 3" xfId="30822"/>
    <cellStyle name="Suma 2 15 42" xfId="30823"/>
    <cellStyle name="Suma 2 15 42 2" xfId="30824"/>
    <cellStyle name="Suma 2 15 42 3" xfId="30825"/>
    <cellStyle name="Suma 2 15 43" xfId="30826"/>
    <cellStyle name="Suma 2 15 43 2" xfId="30827"/>
    <cellStyle name="Suma 2 15 43 3" xfId="30828"/>
    <cellStyle name="Suma 2 15 44" xfId="30829"/>
    <cellStyle name="Suma 2 15 44 2" xfId="30830"/>
    <cellStyle name="Suma 2 15 44 3" xfId="30831"/>
    <cellStyle name="Suma 2 15 45" xfId="30832"/>
    <cellStyle name="Suma 2 15 45 2" xfId="30833"/>
    <cellStyle name="Suma 2 15 45 3" xfId="30834"/>
    <cellStyle name="Suma 2 15 46" xfId="30835"/>
    <cellStyle name="Suma 2 15 46 2" xfId="30836"/>
    <cellStyle name="Suma 2 15 46 3" xfId="30837"/>
    <cellStyle name="Suma 2 15 47" xfId="30838"/>
    <cellStyle name="Suma 2 15 47 2" xfId="30839"/>
    <cellStyle name="Suma 2 15 47 3" xfId="30840"/>
    <cellStyle name="Suma 2 15 48" xfId="30841"/>
    <cellStyle name="Suma 2 15 48 2" xfId="30842"/>
    <cellStyle name="Suma 2 15 48 3" xfId="30843"/>
    <cellStyle name="Suma 2 15 49" xfId="30844"/>
    <cellStyle name="Suma 2 15 49 2" xfId="30845"/>
    <cellStyle name="Suma 2 15 49 3" xfId="30846"/>
    <cellStyle name="Suma 2 15 5" xfId="30847"/>
    <cellStyle name="Suma 2 15 5 2" xfId="30848"/>
    <cellStyle name="Suma 2 15 5 3" xfId="30849"/>
    <cellStyle name="Suma 2 15 5 4" xfId="30850"/>
    <cellStyle name="Suma 2 15 50" xfId="30851"/>
    <cellStyle name="Suma 2 15 50 2" xfId="30852"/>
    <cellStyle name="Suma 2 15 50 3" xfId="30853"/>
    <cellStyle name="Suma 2 15 51" xfId="30854"/>
    <cellStyle name="Suma 2 15 51 2" xfId="30855"/>
    <cellStyle name="Suma 2 15 51 3" xfId="30856"/>
    <cellStyle name="Suma 2 15 52" xfId="30857"/>
    <cellStyle name="Suma 2 15 52 2" xfId="30858"/>
    <cellStyle name="Suma 2 15 52 3" xfId="30859"/>
    <cellStyle name="Suma 2 15 53" xfId="30860"/>
    <cellStyle name="Suma 2 15 53 2" xfId="30861"/>
    <cellStyle name="Suma 2 15 53 3" xfId="30862"/>
    <cellStyle name="Suma 2 15 54" xfId="30863"/>
    <cellStyle name="Suma 2 15 54 2" xfId="30864"/>
    <cellStyle name="Suma 2 15 54 3" xfId="30865"/>
    <cellStyle name="Suma 2 15 55" xfId="30866"/>
    <cellStyle name="Suma 2 15 55 2" xfId="30867"/>
    <cellStyle name="Suma 2 15 55 3" xfId="30868"/>
    <cellStyle name="Suma 2 15 56" xfId="30869"/>
    <cellStyle name="Suma 2 15 56 2" xfId="30870"/>
    <cellStyle name="Suma 2 15 56 3" xfId="30871"/>
    <cellStyle name="Suma 2 15 57" xfId="30872"/>
    <cellStyle name="Suma 2 15 58" xfId="30873"/>
    <cellStyle name="Suma 2 15 6" xfId="30874"/>
    <cellStyle name="Suma 2 15 6 2" xfId="30875"/>
    <cellStyle name="Suma 2 15 6 3" xfId="30876"/>
    <cellStyle name="Suma 2 15 6 4" xfId="30877"/>
    <cellStyle name="Suma 2 15 7" xfId="30878"/>
    <cellStyle name="Suma 2 15 7 2" xfId="30879"/>
    <cellStyle name="Suma 2 15 7 3" xfId="30880"/>
    <cellStyle name="Suma 2 15 7 4" xfId="30881"/>
    <cellStyle name="Suma 2 15 8" xfId="30882"/>
    <cellStyle name="Suma 2 15 8 2" xfId="30883"/>
    <cellStyle name="Suma 2 15 8 3" xfId="30884"/>
    <cellStyle name="Suma 2 15 8 4" xfId="30885"/>
    <cellStyle name="Suma 2 15 9" xfId="30886"/>
    <cellStyle name="Suma 2 15 9 2" xfId="30887"/>
    <cellStyle name="Suma 2 15 9 3" xfId="30888"/>
    <cellStyle name="Suma 2 15 9 4" xfId="30889"/>
    <cellStyle name="Suma 2 16" xfId="30890"/>
    <cellStyle name="Suma 2 16 10" xfId="30891"/>
    <cellStyle name="Suma 2 16 10 2" xfId="30892"/>
    <cellStyle name="Suma 2 16 10 3" xfId="30893"/>
    <cellStyle name="Suma 2 16 10 4" xfId="30894"/>
    <cellStyle name="Suma 2 16 11" xfId="30895"/>
    <cellStyle name="Suma 2 16 11 2" xfId="30896"/>
    <cellStyle name="Suma 2 16 11 3" xfId="30897"/>
    <cellStyle name="Suma 2 16 11 4" xfId="30898"/>
    <cellStyle name="Suma 2 16 12" xfId="30899"/>
    <cellStyle name="Suma 2 16 12 2" xfId="30900"/>
    <cellStyle name="Suma 2 16 12 3" xfId="30901"/>
    <cellStyle name="Suma 2 16 12 4" xfId="30902"/>
    <cellStyle name="Suma 2 16 13" xfId="30903"/>
    <cellStyle name="Suma 2 16 13 2" xfId="30904"/>
    <cellStyle name="Suma 2 16 13 3" xfId="30905"/>
    <cellStyle name="Suma 2 16 13 4" xfId="30906"/>
    <cellStyle name="Suma 2 16 14" xfId="30907"/>
    <cellStyle name="Suma 2 16 14 2" xfId="30908"/>
    <cellStyle name="Suma 2 16 14 3" xfId="30909"/>
    <cellStyle name="Suma 2 16 14 4" xfId="30910"/>
    <cellStyle name="Suma 2 16 15" xfId="30911"/>
    <cellStyle name="Suma 2 16 15 2" xfId="30912"/>
    <cellStyle name="Suma 2 16 15 3" xfId="30913"/>
    <cellStyle name="Suma 2 16 15 4" xfId="30914"/>
    <cellStyle name="Suma 2 16 16" xfId="30915"/>
    <cellStyle name="Suma 2 16 16 2" xfId="30916"/>
    <cellStyle name="Suma 2 16 16 3" xfId="30917"/>
    <cellStyle name="Suma 2 16 16 4" xfId="30918"/>
    <cellStyle name="Suma 2 16 17" xfId="30919"/>
    <cellStyle name="Suma 2 16 17 2" xfId="30920"/>
    <cellStyle name="Suma 2 16 17 3" xfId="30921"/>
    <cellStyle name="Suma 2 16 17 4" xfId="30922"/>
    <cellStyle name="Suma 2 16 18" xfId="30923"/>
    <cellStyle name="Suma 2 16 18 2" xfId="30924"/>
    <cellStyle name="Suma 2 16 18 3" xfId="30925"/>
    <cellStyle name="Suma 2 16 18 4" xfId="30926"/>
    <cellStyle name="Suma 2 16 19" xfId="30927"/>
    <cellStyle name="Suma 2 16 19 2" xfId="30928"/>
    <cellStyle name="Suma 2 16 19 3" xfId="30929"/>
    <cellStyle name="Suma 2 16 19 4" xfId="30930"/>
    <cellStyle name="Suma 2 16 2" xfId="30931"/>
    <cellStyle name="Suma 2 16 2 2" xfId="30932"/>
    <cellStyle name="Suma 2 16 2 3" xfId="30933"/>
    <cellStyle name="Suma 2 16 2 4" xfId="30934"/>
    <cellStyle name="Suma 2 16 20" xfId="30935"/>
    <cellStyle name="Suma 2 16 20 2" xfId="30936"/>
    <cellStyle name="Suma 2 16 20 3" xfId="30937"/>
    <cellStyle name="Suma 2 16 20 4" xfId="30938"/>
    <cellStyle name="Suma 2 16 21" xfId="30939"/>
    <cellStyle name="Suma 2 16 21 2" xfId="30940"/>
    <cellStyle name="Suma 2 16 21 3" xfId="30941"/>
    <cellStyle name="Suma 2 16 22" xfId="30942"/>
    <cellStyle name="Suma 2 16 22 2" xfId="30943"/>
    <cellStyle name="Suma 2 16 22 3" xfId="30944"/>
    <cellStyle name="Suma 2 16 23" xfId="30945"/>
    <cellStyle name="Suma 2 16 23 2" xfId="30946"/>
    <cellStyle name="Suma 2 16 23 3" xfId="30947"/>
    <cellStyle name="Suma 2 16 24" xfId="30948"/>
    <cellStyle name="Suma 2 16 24 2" xfId="30949"/>
    <cellStyle name="Suma 2 16 24 3" xfId="30950"/>
    <cellStyle name="Suma 2 16 25" xfId="30951"/>
    <cellStyle name="Suma 2 16 25 2" xfId="30952"/>
    <cellStyle name="Suma 2 16 25 3" xfId="30953"/>
    <cellStyle name="Suma 2 16 26" xfId="30954"/>
    <cellStyle name="Suma 2 16 26 2" xfId="30955"/>
    <cellStyle name="Suma 2 16 26 3" xfId="30956"/>
    <cellStyle name="Suma 2 16 27" xfId="30957"/>
    <cellStyle name="Suma 2 16 27 2" xfId="30958"/>
    <cellStyle name="Suma 2 16 27 3" xfId="30959"/>
    <cellStyle name="Suma 2 16 28" xfId="30960"/>
    <cellStyle name="Suma 2 16 28 2" xfId="30961"/>
    <cellStyle name="Suma 2 16 28 3" xfId="30962"/>
    <cellStyle name="Suma 2 16 29" xfId="30963"/>
    <cellStyle name="Suma 2 16 29 2" xfId="30964"/>
    <cellStyle name="Suma 2 16 29 3" xfId="30965"/>
    <cellStyle name="Suma 2 16 3" xfId="30966"/>
    <cellStyle name="Suma 2 16 3 2" xfId="30967"/>
    <cellStyle name="Suma 2 16 3 3" xfId="30968"/>
    <cellStyle name="Suma 2 16 3 4" xfId="30969"/>
    <cellStyle name="Suma 2 16 30" xfId="30970"/>
    <cellStyle name="Suma 2 16 30 2" xfId="30971"/>
    <cellStyle name="Suma 2 16 30 3" xfId="30972"/>
    <cellStyle name="Suma 2 16 31" xfId="30973"/>
    <cellStyle name="Suma 2 16 31 2" xfId="30974"/>
    <cellStyle name="Suma 2 16 31 3" xfId="30975"/>
    <cellStyle name="Suma 2 16 32" xfId="30976"/>
    <cellStyle name="Suma 2 16 32 2" xfId="30977"/>
    <cellStyle name="Suma 2 16 32 3" xfId="30978"/>
    <cellStyle name="Suma 2 16 33" xfId="30979"/>
    <cellStyle name="Suma 2 16 33 2" xfId="30980"/>
    <cellStyle name="Suma 2 16 33 3" xfId="30981"/>
    <cellStyle name="Suma 2 16 34" xfId="30982"/>
    <cellStyle name="Suma 2 16 34 2" xfId="30983"/>
    <cellStyle name="Suma 2 16 34 3" xfId="30984"/>
    <cellStyle name="Suma 2 16 35" xfId="30985"/>
    <cellStyle name="Suma 2 16 35 2" xfId="30986"/>
    <cellStyle name="Suma 2 16 35 3" xfId="30987"/>
    <cellStyle name="Suma 2 16 36" xfId="30988"/>
    <cellStyle name="Suma 2 16 36 2" xfId="30989"/>
    <cellStyle name="Suma 2 16 36 3" xfId="30990"/>
    <cellStyle name="Suma 2 16 37" xfId="30991"/>
    <cellStyle name="Suma 2 16 37 2" xfId="30992"/>
    <cellStyle name="Suma 2 16 37 3" xfId="30993"/>
    <cellStyle name="Suma 2 16 38" xfId="30994"/>
    <cellStyle name="Suma 2 16 38 2" xfId="30995"/>
    <cellStyle name="Suma 2 16 38 3" xfId="30996"/>
    <cellStyle name="Suma 2 16 39" xfId="30997"/>
    <cellStyle name="Suma 2 16 39 2" xfId="30998"/>
    <cellStyle name="Suma 2 16 39 3" xfId="30999"/>
    <cellStyle name="Suma 2 16 4" xfId="31000"/>
    <cellStyle name="Suma 2 16 4 2" xfId="31001"/>
    <cellStyle name="Suma 2 16 4 3" xfId="31002"/>
    <cellStyle name="Suma 2 16 4 4" xfId="31003"/>
    <cellStyle name="Suma 2 16 40" xfId="31004"/>
    <cellStyle name="Suma 2 16 40 2" xfId="31005"/>
    <cellStyle name="Suma 2 16 40 3" xfId="31006"/>
    <cellStyle name="Suma 2 16 41" xfId="31007"/>
    <cellStyle name="Suma 2 16 41 2" xfId="31008"/>
    <cellStyle name="Suma 2 16 41 3" xfId="31009"/>
    <cellStyle name="Suma 2 16 42" xfId="31010"/>
    <cellStyle name="Suma 2 16 42 2" xfId="31011"/>
    <cellStyle name="Suma 2 16 42 3" xfId="31012"/>
    <cellStyle name="Suma 2 16 43" xfId="31013"/>
    <cellStyle name="Suma 2 16 43 2" xfId="31014"/>
    <cellStyle name="Suma 2 16 43 3" xfId="31015"/>
    <cellStyle name="Suma 2 16 44" xfId="31016"/>
    <cellStyle name="Suma 2 16 44 2" xfId="31017"/>
    <cellStyle name="Suma 2 16 44 3" xfId="31018"/>
    <cellStyle name="Suma 2 16 45" xfId="31019"/>
    <cellStyle name="Suma 2 16 45 2" xfId="31020"/>
    <cellStyle name="Suma 2 16 45 3" xfId="31021"/>
    <cellStyle name="Suma 2 16 46" xfId="31022"/>
    <cellStyle name="Suma 2 16 46 2" xfId="31023"/>
    <cellStyle name="Suma 2 16 46 3" xfId="31024"/>
    <cellStyle name="Suma 2 16 47" xfId="31025"/>
    <cellStyle name="Suma 2 16 47 2" xfId="31026"/>
    <cellStyle name="Suma 2 16 47 3" xfId="31027"/>
    <cellStyle name="Suma 2 16 48" xfId="31028"/>
    <cellStyle name="Suma 2 16 48 2" xfId="31029"/>
    <cellStyle name="Suma 2 16 48 3" xfId="31030"/>
    <cellStyle name="Suma 2 16 49" xfId="31031"/>
    <cellStyle name="Suma 2 16 49 2" xfId="31032"/>
    <cellStyle name="Suma 2 16 49 3" xfId="31033"/>
    <cellStyle name="Suma 2 16 5" xfId="31034"/>
    <cellStyle name="Suma 2 16 5 2" xfId="31035"/>
    <cellStyle name="Suma 2 16 5 3" xfId="31036"/>
    <cellStyle name="Suma 2 16 5 4" xfId="31037"/>
    <cellStyle name="Suma 2 16 50" xfId="31038"/>
    <cellStyle name="Suma 2 16 50 2" xfId="31039"/>
    <cellStyle name="Suma 2 16 50 3" xfId="31040"/>
    <cellStyle name="Suma 2 16 51" xfId="31041"/>
    <cellStyle name="Suma 2 16 51 2" xfId="31042"/>
    <cellStyle name="Suma 2 16 51 3" xfId="31043"/>
    <cellStyle name="Suma 2 16 52" xfId="31044"/>
    <cellStyle name="Suma 2 16 52 2" xfId="31045"/>
    <cellStyle name="Suma 2 16 52 3" xfId="31046"/>
    <cellStyle name="Suma 2 16 53" xfId="31047"/>
    <cellStyle name="Suma 2 16 53 2" xfId="31048"/>
    <cellStyle name="Suma 2 16 53 3" xfId="31049"/>
    <cellStyle name="Suma 2 16 54" xfId="31050"/>
    <cellStyle name="Suma 2 16 54 2" xfId="31051"/>
    <cellStyle name="Suma 2 16 54 3" xfId="31052"/>
    <cellStyle name="Suma 2 16 55" xfId="31053"/>
    <cellStyle name="Suma 2 16 55 2" xfId="31054"/>
    <cellStyle name="Suma 2 16 55 3" xfId="31055"/>
    <cellStyle name="Suma 2 16 56" xfId="31056"/>
    <cellStyle name="Suma 2 16 56 2" xfId="31057"/>
    <cellStyle name="Suma 2 16 56 3" xfId="31058"/>
    <cellStyle name="Suma 2 16 57" xfId="31059"/>
    <cellStyle name="Suma 2 16 58" xfId="31060"/>
    <cellStyle name="Suma 2 16 6" xfId="31061"/>
    <cellStyle name="Suma 2 16 6 2" xfId="31062"/>
    <cellStyle name="Suma 2 16 6 3" xfId="31063"/>
    <cellStyle name="Suma 2 16 6 4" xfId="31064"/>
    <cellStyle name="Suma 2 16 7" xfId="31065"/>
    <cellStyle name="Suma 2 16 7 2" xfId="31066"/>
    <cellStyle name="Suma 2 16 7 3" xfId="31067"/>
    <cellStyle name="Suma 2 16 7 4" xfId="31068"/>
    <cellStyle name="Suma 2 16 8" xfId="31069"/>
    <cellStyle name="Suma 2 16 8 2" xfId="31070"/>
    <cellStyle name="Suma 2 16 8 3" xfId="31071"/>
    <cellStyle name="Suma 2 16 8 4" xfId="31072"/>
    <cellStyle name="Suma 2 16 9" xfId="31073"/>
    <cellStyle name="Suma 2 16 9 2" xfId="31074"/>
    <cellStyle name="Suma 2 16 9 3" xfId="31075"/>
    <cellStyle name="Suma 2 16 9 4" xfId="31076"/>
    <cellStyle name="Suma 2 17" xfId="31077"/>
    <cellStyle name="Suma 2 17 10" xfId="31078"/>
    <cellStyle name="Suma 2 17 10 2" xfId="31079"/>
    <cellStyle name="Suma 2 17 10 3" xfId="31080"/>
    <cellStyle name="Suma 2 17 10 4" xfId="31081"/>
    <cellStyle name="Suma 2 17 11" xfId="31082"/>
    <cellStyle name="Suma 2 17 11 2" xfId="31083"/>
    <cellStyle name="Suma 2 17 11 3" xfId="31084"/>
    <cellStyle name="Suma 2 17 11 4" xfId="31085"/>
    <cellStyle name="Suma 2 17 12" xfId="31086"/>
    <cellStyle name="Suma 2 17 12 2" xfId="31087"/>
    <cellStyle name="Suma 2 17 12 3" xfId="31088"/>
    <cellStyle name="Suma 2 17 12 4" xfId="31089"/>
    <cellStyle name="Suma 2 17 13" xfId="31090"/>
    <cellStyle name="Suma 2 17 13 2" xfId="31091"/>
    <cellStyle name="Suma 2 17 13 3" xfId="31092"/>
    <cellStyle name="Suma 2 17 13 4" xfId="31093"/>
    <cellStyle name="Suma 2 17 14" xfId="31094"/>
    <cellStyle name="Suma 2 17 14 2" xfId="31095"/>
    <cellStyle name="Suma 2 17 14 3" xfId="31096"/>
    <cellStyle name="Suma 2 17 14 4" xfId="31097"/>
    <cellStyle name="Suma 2 17 15" xfId="31098"/>
    <cellStyle name="Suma 2 17 15 2" xfId="31099"/>
    <cellStyle name="Suma 2 17 15 3" xfId="31100"/>
    <cellStyle name="Suma 2 17 15 4" xfId="31101"/>
    <cellStyle name="Suma 2 17 16" xfId="31102"/>
    <cellStyle name="Suma 2 17 16 2" xfId="31103"/>
    <cellStyle name="Suma 2 17 16 3" xfId="31104"/>
    <cellStyle name="Suma 2 17 16 4" xfId="31105"/>
    <cellStyle name="Suma 2 17 17" xfId="31106"/>
    <cellStyle name="Suma 2 17 17 2" xfId="31107"/>
    <cellStyle name="Suma 2 17 17 3" xfId="31108"/>
    <cellStyle name="Suma 2 17 17 4" xfId="31109"/>
    <cellStyle name="Suma 2 17 18" xfId="31110"/>
    <cellStyle name="Suma 2 17 18 2" xfId="31111"/>
    <cellStyle name="Suma 2 17 18 3" xfId="31112"/>
    <cellStyle name="Suma 2 17 18 4" xfId="31113"/>
    <cellStyle name="Suma 2 17 19" xfId="31114"/>
    <cellStyle name="Suma 2 17 19 2" xfId="31115"/>
    <cellStyle name="Suma 2 17 19 3" xfId="31116"/>
    <cellStyle name="Suma 2 17 19 4" xfId="31117"/>
    <cellStyle name="Suma 2 17 2" xfId="31118"/>
    <cellStyle name="Suma 2 17 2 2" xfId="31119"/>
    <cellStyle name="Suma 2 17 2 3" xfId="31120"/>
    <cellStyle name="Suma 2 17 2 4" xfId="31121"/>
    <cellStyle name="Suma 2 17 20" xfId="31122"/>
    <cellStyle name="Suma 2 17 20 2" xfId="31123"/>
    <cellStyle name="Suma 2 17 20 3" xfId="31124"/>
    <cellStyle name="Suma 2 17 20 4" xfId="31125"/>
    <cellStyle name="Suma 2 17 21" xfId="31126"/>
    <cellStyle name="Suma 2 17 21 2" xfId="31127"/>
    <cellStyle name="Suma 2 17 21 3" xfId="31128"/>
    <cellStyle name="Suma 2 17 22" xfId="31129"/>
    <cellStyle name="Suma 2 17 22 2" xfId="31130"/>
    <cellStyle name="Suma 2 17 22 3" xfId="31131"/>
    <cellStyle name="Suma 2 17 23" xfId="31132"/>
    <cellStyle name="Suma 2 17 23 2" xfId="31133"/>
    <cellStyle name="Suma 2 17 23 3" xfId="31134"/>
    <cellStyle name="Suma 2 17 24" xfId="31135"/>
    <cellStyle name="Suma 2 17 24 2" xfId="31136"/>
    <cellStyle name="Suma 2 17 24 3" xfId="31137"/>
    <cellStyle name="Suma 2 17 25" xfId="31138"/>
    <cellStyle name="Suma 2 17 25 2" xfId="31139"/>
    <cellStyle name="Suma 2 17 25 3" xfId="31140"/>
    <cellStyle name="Suma 2 17 26" xfId="31141"/>
    <cellStyle name="Suma 2 17 26 2" xfId="31142"/>
    <cellStyle name="Suma 2 17 26 3" xfId="31143"/>
    <cellStyle name="Suma 2 17 27" xfId="31144"/>
    <cellStyle name="Suma 2 17 27 2" xfId="31145"/>
    <cellStyle name="Suma 2 17 27 3" xfId="31146"/>
    <cellStyle name="Suma 2 17 28" xfId="31147"/>
    <cellStyle name="Suma 2 17 28 2" xfId="31148"/>
    <cellStyle name="Suma 2 17 28 3" xfId="31149"/>
    <cellStyle name="Suma 2 17 29" xfId="31150"/>
    <cellStyle name="Suma 2 17 29 2" xfId="31151"/>
    <cellStyle name="Suma 2 17 29 3" xfId="31152"/>
    <cellStyle name="Suma 2 17 3" xfId="31153"/>
    <cellStyle name="Suma 2 17 3 2" xfId="31154"/>
    <cellStyle name="Suma 2 17 3 3" xfId="31155"/>
    <cellStyle name="Suma 2 17 3 4" xfId="31156"/>
    <cellStyle name="Suma 2 17 30" xfId="31157"/>
    <cellStyle name="Suma 2 17 30 2" xfId="31158"/>
    <cellStyle name="Suma 2 17 30 3" xfId="31159"/>
    <cellStyle name="Suma 2 17 31" xfId="31160"/>
    <cellStyle name="Suma 2 17 31 2" xfId="31161"/>
    <cellStyle name="Suma 2 17 31 3" xfId="31162"/>
    <cellStyle name="Suma 2 17 32" xfId="31163"/>
    <cellStyle name="Suma 2 17 32 2" xfId="31164"/>
    <cellStyle name="Suma 2 17 32 3" xfId="31165"/>
    <cellStyle name="Suma 2 17 33" xfId="31166"/>
    <cellStyle name="Suma 2 17 33 2" xfId="31167"/>
    <cellStyle name="Suma 2 17 33 3" xfId="31168"/>
    <cellStyle name="Suma 2 17 34" xfId="31169"/>
    <cellStyle name="Suma 2 17 34 2" xfId="31170"/>
    <cellStyle name="Suma 2 17 34 3" xfId="31171"/>
    <cellStyle name="Suma 2 17 35" xfId="31172"/>
    <cellStyle name="Suma 2 17 35 2" xfId="31173"/>
    <cellStyle name="Suma 2 17 35 3" xfId="31174"/>
    <cellStyle name="Suma 2 17 36" xfId="31175"/>
    <cellStyle name="Suma 2 17 36 2" xfId="31176"/>
    <cellStyle name="Suma 2 17 36 3" xfId="31177"/>
    <cellStyle name="Suma 2 17 37" xfId="31178"/>
    <cellStyle name="Suma 2 17 37 2" xfId="31179"/>
    <cellStyle name="Suma 2 17 37 3" xfId="31180"/>
    <cellStyle name="Suma 2 17 38" xfId="31181"/>
    <cellStyle name="Suma 2 17 38 2" xfId="31182"/>
    <cellStyle name="Suma 2 17 38 3" xfId="31183"/>
    <cellStyle name="Suma 2 17 39" xfId="31184"/>
    <cellStyle name="Suma 2 17 39 2" xfId="31185"/>
    <cellStyle name="Suma 2 17 39 3" xfId="31186"/>
    <cellStyle name="Suma 2 17 4" xfId="31187"/>
    <cellStyle name="Suma 2 17 4 2" xfId="31188"/>
    <cellStyle name="Suma 2 17 4 3" xfId="31189"/>
    <cellStyle name="Suma 2 17 4 4" xfId="31190"/>
    <cellStyle name="Suma 2 17 40" xfId="31191"/>
    <cellStyle name="Suma 2 17 40 2" xfId="31192"/>
    <cellStyle name="Suma 2 17 40 3" xfId="31193"/>
    <cellStyle name="Suma 2 17 41" xfId="31194"/>
    <cellStyle name="Suma 2 17 41 2" xfId="31195"/>
    <cellStyle name="Suma 2 17 41 3" xfId="31196"/>
    <cellStyle name="Suma 2 17 42" xfId="31197"/>
    <cellStyle name="Suma 2 17 42 2" xfId="31198"/>
    <cellStyle name="Suma 2 17 42 3" xfId="31199"/>
    <cellStyle name="Suma 2 17 43" xfId="31200"/>
    <cellStyle name="Suma 2 17 43 2" xfId="31201"/>
    <cellStyle name="Suma 2 17 43 3" xfId="31202"/>
    <cellStyle name="Suma 2 17 44" xfId="31203"/>
    <cellStyle name="Suma 2 17 44 2" xfId="31204"/>
    <cellStyle name="Suma 2 17 44 3" xfId="31205"/>
    <cellStyle name="Suma 2 17 45" xfId="31206"/>
    <cellStyle name="Suma 2 17 45 2" xfId="31207"/>
    <cellStyle name="Suma 2 17 45 3" xfId="31208"/>
    <cellStyle name="Suma 2 17 46" xfId="31209"/>
    <cellStyle name="Suma 2 17 46 2" xfId="31210"/>
    <cellStyle name="Suma 2 17 46 3" xfId="31211"/>
    <cellStyle name="Suma 2 17 47" xfId="31212"/>
    <cellStyle name="Suma 2 17 47 2" xfId="31213"/>
    <cellStyle name="Suma 2 17 47 3" xfId="31214"/>
    <cellStyle name="Suma 2 17 48" xfId="31215"/>
    <cellStyle name="Suma 2 17 48 2" xfId="31216"/>
    <cellStyle name="Suma 2 17 48 3" xfId="31217"/>
    <cellStyle name="Suma 2 17 49" xfId="31218"/>
    <cellStyle name="Suma 2 17 49 2" xfId="31219"/>
    <cellStyle name="Suma 2 17 49 3" xfId="31220"/>
    <cellStyle name="Suma 2 17 5" xfId="31221"/>
    <cellStyle name="Suma 2 17 5 2" xfId="31222"/>
    <cellStyle name="Suma 2 17 5 3" xfId="31223"/>
    <cellStyle name="Suma 2 17 5 4" xfId="31224"/>
    <cellStyle name="Suma 2 17 50" xfId="31225"/>
    <cellStyle name="Suma 2 17 50 2" xfId="31226"/>
    <cellStyle name="Suma 2 17 50 3" xfId="31227"/>
    <cellStyle name="Suma 2 17 51" xfId="31228"/>
    <cellStyle name="Suma 2 17 51 2" xfId="31229"/>
    <cellStyle name="Suma 2 17 51 3" xfId="31230"/>
    <cellStyle name="Suma 2 17 52" xfId="31231"/>
    <cellStyle name="Suma 2 17 52 2" xfId="31232"/>
    <cellStyle name="Suma 2 17 52 3" xfId="31233"/>
    <cellStyle name="Suma 2 17 53" xfId="31234"/>
    <cellStyle name="Suma 2 17 53 2" xfId="31235"/>
    <cellStyle name="Suma 2 17 53 3" xfId="31236"/>
    <cellStyle name="Suma 2 17 54" xfId="31237"/>
    <cellStyle name="Suma 2 17 54 2" xfId="31238"/>
    <cellStyle name="Suma 2 17 54 3" xfId="31239"/>
    <cellStyle name="Suma 2 17 55" xfId="31240"/>
    <cellStyle name="Suma 2 17 55 2" xfId="31241"/>
    <cellStyle name="Suma 2 17 55 3" xfId="31242"/>
    <cellStyle name="Suma 2 17 56" xfId="31243"/>
    <cellStyle name="Suma 2 17 56 2" xfId="31244"/>
    <cellStyle name="Suma 2 17 56 3" xfId="31245"/>
    <cellStyle name="Suma 2 17 57" xfId="31246"/>
    <cellStyle name="Suma 2 17 58" xfId="31247"/>
    <cellStyle name="Suma 2 17 6" xfId="31248"/>
    <cellStyle name="Suma 2 17 6 2" xfId="31249"/>
    <cellStyle name="Suma 2 17 6 3" xfId="31250"/>
    <cellStyle name="Suma 2 17 6 4" xfId="31251"/>
    <cellStyle name="Suma 2 17 7" xfId="31252"/>
    <cellStyle name="Suma 2 17 7 2" xfId="31253"/>
    <cellStyle name="Suma 2 17 7 3" xfId="31254"/>
    <cellStyle name="Suma 2 17 7 4" xfId="31255"/>
    <cellStyle name="Suma 2 17 8" xfId="31256"/>
    <cellStyle name="Suma 2 17 8 2" xfId="31257"/>
    <cellStyle name="Suma 2 17 8 3" xfId="31258"/>
    <cellStyle name="Suma 2 17 8 4" xfId="31259"/>
    <cellStyle name="Suma 2 17 9" xfId="31260"/>
    <cellStyle name="Suma 2 17 9 2" xfId="31261"/>
    <cellStyle name="Suma 2 17 9 3" xfId="31262"/>
    <cellStyle name="Suma 2 17 9 4" xfId="31263"/>
    <cellStyle name="Suma 2 18" xfId="31264"/>
    <cellStyle name="Suma 2 18 10" xfId="31265"/>
    <cellStyle name="Suma 2 18 10 2" xfId="31266"/>
    <cellStyle name="Suma 2 18 10 3" xfId="31267"/>
    <cellStyle name="Suma 2 18 10 4" xfId="31268"/>
    <cellStyle name="Suma 2 18 11" xfId="31269"/>
    <cellStyle name="Suma 2 18 11 2" xfId="31270"/>
    <cellStyle name="Suma 2 18 11 3" xfId="31271"/>
    <cellStyle name="Suma 2 18 11 4" xfId="31272"/>
    <cellStyle name="Suma 2 18 12" xfId="31273"/>
    <cellStyle name="Suma 2 18 12 2" xfId="31274"/>
    <cellStyle name="Suma 2 18 12 3" xfId="31275"/>
    <cellStyle name="Suma 2 18 12 4" xfId="31276"/>
    <cellStyle name="Suma 2 18 13" xfId="31277"/>
    <cellStyle name="Suma 2 18 13 2" xfId="31278"/>
    <cellStyle name="Suma 2 18 13 3" xfId="31279"/>
    <cellStyle name="Suma 2 18 13 4" xfId="31280"/>
    <cellStyle name="Suma 2 18 14" xfId="31281"/>
    <cellStyle name="Suma 2 18 14 2" xfId="31282"/>
    <cellStyle name="Suma 2 18 14 3" xfId="31283"/>
    <cellStyle name="Suma 2 18 14 4" xfId="31284"/>
    <cellStyle name="Suma 2 18 15" xfId="31285"/>
    <cellStyle name="Suma 2 18 15 2" xfId="31286"/>
    <cellStyle name="Suma 2 18 15 3" xfId="31287"/>
    <cellStyle name="Suma 2 18 15 4" xfId="31288"/>
    <cellStyle name="Suma 2 18 16" xfId="31289"/>
    <cellStyle name="Suma 2 18 16 2" xfId="31290"/>
    <cellStyle name="Suma 2 18 16 3" xfId="31291"/>
    <cellStyle name="Suma 2 18 16 4" xfId="31292"/>
    <cellStyle name="Suma 2 18 17" xfId="31293"/>
    <cellStyle name="Suma 2 18 17 2" xfId="31294"/>
    <cellStyle name="Suma 2 18 17 3" xfId="31295"/>
    <cellStyle name="Suma 2 18 17 4" xfId="31296"/>
    <cellStyle name="Suma 2 18 18" xfId="31297"/>
    <cellStyle name="Suma 2 18 18 2" xfId="31298"/>
    <cellStyle name="Suma 2 18 18 3" xfId="31299"/>
    <cellStyle name="Suma 2 18 18 4" xfId="31300"/>
    <cellStyle name="Suma 2 18 19" xfId="31301"/>
    <cellStyle name="Suma 2 18 19 2" xfId="31302"/>
    <cellStyle name="Suma 2 18 19 3" xfId="31303"/>
    <cellStyle name="Suma 2 18 19 4" xfId="31304"/>
    <cellStyle name="Suma 2 18 2" xfId="31305"/>
    <cellStyle name="Suma 2 18 2 2" xfId="31306"/>
    <cellStyle name="Suma 2 18 2 3" xfId="31307"/>
    <cellStyle name="Suma 2 18 2 4" xfId="31308"/>
    <cellStyle name="Suma 2 18 20" xfId="31309"/>
    <cellStyle name="Suma 2 18 20 2" xfId="31310"/>
    <cellStyle name="Suma 2 18 20 3" xfId="31311"/>
    <cellStyle name="Suma 2 18 20 4" xfId="31312"/>
    <cellStyle name="Suma 2 18 21" xfId="31313"/>
    <cellStyle name="Suma 2 18 21 2" xfId="31314"/>
    <cellStyle name="Suma 2 18 21 3" xfId="31315"/>
    <cellStyle name="Suma 2 18 22" xfId="31316"/>
    <cellStyle name="Suma 2 18 22 2" xfId="31317"/>
    <cellStyle name="Suma 2 18 22 3" xfId="31318"/>
    <cellStyle name="Suma 2 18 23" xfId="31319"/>
    <cellStyle name="Suma 2 18 23 2" xfId="31320"/>
    <cellStyle name="Suma 2 18 23 3" xfId="31321"/>
    <cellStyle name="Suma 2 18 24" xfId="31322"/>
    <cellStyle name="Suma 2 18 24 2" xfId="31323"/>
    <cellStyle name="Suma 2 18 24 3" xfId="31324"/>
    <cellStyle name="Suma 2 18 25" xfId="31325"/>
    <cellStyle name="Suma 2 18 25 2" xfId="31326"/>
    <cellStyle name="Suma 2 18 25 3" xfId="31327"/>
    <cellStyle name="Suma 2 18 26" xfId="31328"/>
    <cellStyle name="Suma 2 18 26 2" xfId="31329"/>
    <cellStyle name="Suma 2 18 26 3" xfId="31330"/>
    <cellStyle name="Suma 2 18 27" xfId="31331"/>
    <cellStyle name="Suma 2 18 27 2" xfId="31332"/>
    <cellStyle name="Suma 2 18 27 3" xfId="31333"/>
    <cellStyle name="Suma 2 18 28" xfId="31334"/>
    <cellStyle name="Suma 2 18 28 2" xfId="31335"/>
    <cellStyle name="Suma 2 18 28 3" xfId="31336"/>
    <cellStyle name="Suma 2 18 29" xfId="31337"/>
    <cellStyle name="Suma 2 18 29 2" xfId="31338"/>
    <cellStyle name="Suma 2 18 29 3" xfId="31339"/>
    <cellStyle name="Suma 2 18 3" xfId="31340"/>
    <cellStyle name="Suma 2 18 3 2" xfId="31341"/>
    <cellStyle name="Suma 2 18 3 3" xfId="31342"/>
    <cellStyle name="Suma 2 18 3 4" xfId="31343"/>
    <cellStyle name="Suma 2 18 30" xfId="31344"/>
    <cellStyle name="Suma 2 18 30 2" xfId="31345"/>
    <cellStyle name="Suma 2 18 30 3" xfId="31346"/>
    <cellStyle name="Suma 2 18 31" xfId="31347"/>
    <cellStyle name="Suma 2 18 31 2" xfId="31348"/>
    <cellStyle name="Suma 2 18 31 3" xfId="31349"/>
    <cellStyle name="Suma 2 18 32" xfId="31350"/>
    <cellStyle name="Suma 2 18 32 2" xfId="31351"/>
    <cellStyle name="Suma 2 18 32 3" xfId="31352"/>
    <cellStyle name="Suma 2 18 33" xfId="31353"/>
    <cellStyle name="Suma 2 18 33 2" xfId="31354"/>
    <cellStyle name="Suma 2 18 33 3" xfId="31355"/>
    <cellStyle name="Suma 2 18 34" xfId="31356"/>
    <cellStyle name="Suma 2 18 34 2" xfId="31357"/>
    <cellStyle name="Suma 2 18 34 3" xfId="31358"/>
    <cellStyle name="Suma 2 18 35" xfId="31359"/>
    <cellStyle name="Suma 2 18 35 2" xfId="31360"/>
    <cellStyle name="Suma 2 18 35 3" xfId="31361"/>
    <cellStyle name="Suma 2 18 36" xfId="31362"/>
    <cellStyle name="Suma 2 18 36 2" xfId="31363"/>
    <cellStyle name="Suma 2 18 36 3" xfId="31364"/>
    <cellStyle name="Suma 2 18 37" xfId="31365"/>
    <cellStyle name="Suma 2 18 37 2" xfId="31366"/>
    <cellStyle name="Suma 2 18 37 3" xfId="31367"/>
    <cellStyle name="Suma 2 18 38" xfId="31368"/>
    <cellStyle name="Suma 2 18 38 2" xfId="31369"/>
    <cellStyle name="Suma 2 18 38 3" xfId="31370"/>
    <cellStyle name="Suma 2 18 39" xfId="31371"/>
    <cellStyle name="Suma 2 18 39 2" xfId="31372"/>
    <cellStyle name="Suma 2 18 39 3" xfId="31373"/>
    <cellStyle name="Suma 2 18 4" xfId="31374"/>
    <cellStyle name="Suma 2 18 4 2" xfId="31375"/>
    <cellStyle name="Suma 2 18 4 3" xfId="31376"/>
    <cellStyle name="Suma 2 18 4 4" xfId="31377"/>
    <cellStyle name="Suma 2 18 40" xfId="31378"/>
    <cellStyle name="Suma 2 18 40 2" xfId="31379"/>
    <cellStyle name="Suma 2 18 40 3" xfId="31380"/>
    <cellStyle name="Suma 2 18 41" xfId="31381"/>
    <cellStyle name="Suma 2 18 41 2" xfId="31382"/>
    <cellStyle name="Suma 2 18 41 3" xfId="31383"/>
    <cellStyle name="Suma 2 18 42" xfId="31384"/>
    <cellStyle name="Suma 2 18 42 2" xfId="31385"/>
    <cellStyle name="Suma 2 18 42 3" xfId="31386"/>
    <cellStyle name="Suma 2 18 43" xfId="31387"/>
    <cellStyle name="Suma 2 18 43 2" xfId="31388"/>
    <cellStyle name="Suma 2 18 43 3" xfId="31389"/>
    <cellStyle name="Suma 2 18 44" xfId="31390"/>
    <cellStyle name="Suma 2 18 44 2" xfId="31391"/>
    <cellStyle name="Suma 2 18 44 3" xfId="31392"/>
    <cellStyle name="Suma 2 18 45" xfId="31393"/>
    <cellStyle name="Suma 2 18 45 2" xfId="31394"/>
    <cellStyle name="Suma 2 18 45 3" xfId="31395"/>
    <cellStyle name="Suma 2 18 46" xfId="31396"/>
    <cellStyle name="Suma 2 18 46 2" xfId="31397"/>
    <cellStyle name="Suma 2 18 46 3" xfId="31398"/>
    <cellStyle name="Suma 2 18 47" xfId="31399"/>
    <cellStyle name="Suma 2 18 47 2" xfId="31400"/>
    <cellStyle name="Suma 2 18 47 3" xfId="31401"/>
    <cellStyle name="Suma 2 18 48" xfId="31402"/>
    <cellStyle name="Suma 2 18 48 2" xfId="31403"/>
    <cellStyle name="Suma 2 18 48 3" xfId="31404"/>
    <cellStyle name="Suma 2 18 49" xfId="31405"/>
    <cellStyle name="Suma 2 18 49 2" xfId="31406"/>
    <cellStyle name="Suma 2 18 49 3" xfId="31407"/>
    <cellStyle name="Suma 2 18 5" xfId="31408"/>
    <cellStyle name="Suma 2 18 5 2" xfId="31409"/>
    <cellStyle name="Suma 2 18 5 3" xfId="31410"/>
    <cellStyle name="Suma 2 18 5 4" xfId="31411"/>
    <cellStyle name="Suma 2 18 50" xfId="31412"/>
    <cellStyle name="Suma 2 18 50 2" xfId="31413"/>
    <cellStyle name="Suma 2 18 50 3" xfId="31414"/>
    <cellStyle name="Suma 2 18 51" xfId="31415"/>
    <cellStyle name="Suma 2 18 51 2" xfId="31416"/>
    <cellStyle name="Suma 2 18 51 3" xfId="31417"/>
    <cellStyle name="Suma 2 18 52" xfId="31418"/>
    <cellStyle name="Suma 2 18 52 2" xfId="31419"/>
    <cellStyle name="Suma 2 18 52 3" xfId="31420"/>
    <cellStyle name="Suma 2 18 53" xfId="31421"/>
    <cellStyle name="Suma 2 18 53 2" xfId="31422"/>
    <cellStyle name="Suma 2 18 53 3" xfId="31423"/>
    <cellStyle name="Suma 2 18 54" xfId="31424"/>
    <cellStyle name="Suma 2 18 54 2" xfId="31425"/>
    <cellStyle name="Suma 2 18 54 3" xfId="31426"/>
    <cellStyle name="Suma 2 18 55" xfId="31427"/>
    <cellStyle name="Suma 2 18 55 2" xfId="31428"/>
    <cellStyle name="Suma 2 18 55 3" xfId="31429"/>
    <cellStyle name="Suma 2 18 56" xfId="31430"/>
    <cellStyle name="Suma 2 18 56 2" xfId="31431"/>
    <cellStyle name="Suma 2 18 56 3" xfId="31432"/>
    <cellStyle name="Suma 2 18 57" xfId="31433"/>
    <cellStyle name="Suma 2 18 58" xfId="31434"/>
    <cellStyle name="Suma 2 18 6" xfId="31435"/>
    <cellStyle name="Suma 2 18 6 2" xfId="31436"/>
    <cellStyle name="Suma 2 18 6 3" xfId="31437"/>
    <cellStyle name="Suma 2 18 6 4" xfId="31438"/>
    <cellStyle name="Suma 2 18 7" xfId="31439"/>
    <cellStyle name="Suma 2 18 7 2" xfId="31440"/>
    <cellStyle name="Suma 2 18 7 3" xfId="31441"/>
    <cellStyle name="Suma 2 18 7 4" xfId="31442"/>
    <cellStyle name="Suma 2 18 8" xfId="31443"/>
    <cellStyle name="Suma 2 18 8 2" xfId="31444"/>
    <cellStyle name="Suma 2 18 8 3" xfId="31445"/>
    <cellStyle name="Suma 2 18 8 4" xfId="31446"/>
    <cellStyle name="Suma 2 18 9" xfId="31447"/>
    <cellStyle name="Suma 2 18 9 2" xfId="31448"/>
    <cellStyle name="Suma 2 18 9 3" xfId="31449"/>
    <cellStyle name="Suma 2 18 9 4" xfId="31450"/>
    <cellStyle name="Suma 2 19" xfId="31451"/>
    <cellStyle name="Suma 2 19 10" xfId="31452"/>
    <cellStyle name="Suma 2 19 10 2" xfId="31453"/>
    <cellStyle name="Suma 2 19 10 3" xfId="31454"/>
    <cellStyle name="Suma 2 19 10 4" xfId="31455"/>
    <cellStyle name="Suma 2 19 11" xfId="31456"/>
    <cellStyle name="Suma 2 19 11 2" xfId="31457"/>
    <cellStyle name="Suma 2 19 11 3" xfId="31458"/>
    <cellStyle name="Suma 2 19 11 4" xfId="31459"/>
    <cellStyle name="Suma 2 19 12" xfId="31460"/>
    <cellStyle name="Suma 2 19 12 2" xfId="31461"/>
    <cellStyle name="Suma 2 19 12 3" xfId="31462"/>
    <cellStyle name="Suma 2 19 12 4" xfId="31463"/>
    <cellStyle name="Suma 2 19 13" xfId="31464"/>
    <cellStyle name="Suma 2 19 13 2" xfId="31465"/>
    <cellStyle name="Suma 2 19 13 3" xfId="31466"/>
    <cellStyle name="Suma 2 19 13 4" xfId="31467"/>
    <cellStyle name="Suma 2 19 14" xfId="31468"/>
    <cellStyle name="Suma 2 19 14 2" xfId="31469"/>
    <cellStyle name="Suma 2 19 14 3" xfId="31470"/>
    <cellStyle name="Suma 2 19 14 4" xfId="31471"/>
    <cellStyle name="Suma 2 19 15" xfId="31472"/>
    <cellStyle name="Suma 2 19 15 2" xfId="31473"/>
    <cellStyle name="Suma 2 19 15 3" xfId="31474"/>
    <cellStyle name="Suma 2 19 15 4" xfId="31475"/>
    <cellStyle name="Suma 2 19 16" xfId="31476"/>
    <cellStyle name="Suma 2 19 16 2" xfId="31477"/>
    <cellStyle name="Suma 2 19 16 3" xfId="31478"/>
    <cellStyle name="Suma 2 19 16 4" xfId="31479"/>
    <cellStyle name="Suma 2 19 17" xfId="31480"/>
    <cellStyle name="Suma 2 19 17 2" xfId="31481"/>
    <cellStyle name="Suma 2 19 17 3" xfId="31482"/>
    <cellStyle name="Suma 2 19 17 4" xfId="31483"/>
    <cellStyle name="Suma 2 19 18" xfId="31484"/>
    <cellStyle name="Suma 2 19 18 2" xfId="31485"/>
    <cellStyle name="Suma 2 19 18 3" xfId="31486"/>
    <cellStyle name="Suma 2 19 18 4" xfId="31487"/>
    <cellStyle name="Suma 2 19 19" xfId="31488"/>
    <cellStyle name="Suma 2 19 19 2" xfId="31489"/>
    <cellStyle name="Suma 2 19 19 3" xfId="31490"/>
    <cellStyle name="Suma 2 19 19 4" xfId="31491"/>
    <cellStyle name="Suma 2 19 2" xfId="31492"/>
    <cellStyle name="Suma 2 19 2 2" xfId="31493"/>
    <cellStyle name="Suma 2 19 2 3" xfId="31494"/>
    <cellStyle name="Suma 2 19 2 4" xfId="31495"/>
    <cellStyle name="Suma 2 19 20" xfId="31496"/>
    <cellStyle name="Suma 2 19 20 2" xfId="31497"/>
    <cellStyle name="Suma 2 19 20 3" xfId="31498"/>
    <cellStyle name="Suma 2 19 20 4" xfId="31499"/>
    <cellStyle name="Suma 2 19 21" xfId="31500"/>
    <cellStyle name="Suma 2 19 21 2" xfId="31501"/>
    <cellStyle name="Suma 2 19 21 3" xfId="31502"/>
    <cellStyle name="Suma 2 19 22" xfId="31503"/>
    <cellStyle name="Suma 2 19 22 2" xfId="31504"/>
    <cellStyle name="Suma 2 19 22 3" xfId="31505"/>
    <cellStyle name="Suma 2 19 23" xfId="31506"/>
    <cellStyle name="Suma 2 19 23 2" xfId="31507"/>
    <cellStyle name="Suma 2 19 23 3" xfId="31508"/>
    <cellStyle name="Suma 2 19 24" xfId="31509"/>
    <cellStyle name="Suma 2 19 24 2" xfId="31510"/>
    <cellStyle name="Suma 2 19 24 3" xfId="31511"/>
    <cellStyle name="Suma 2 19 25" xfId="31512"/>
    <cellStyle name="Suma 2 19 25 2" xfId="31513"/>
    <cellStyle name="Suma 2 19 25 3" xfId="31514"/>
    <cellStyle name="Suma 2 19 26" xfId="31515"/>
    <cellStyle name="Suma 2 19 26 2" xfId="31516"/>
    <cellStyle name="Suma 2 19 26 3" xfId="31517"/>
    <cellStyle name="Suma 2 19 27" xfId="31518"/>
    <cellStyle name="Suma 2 19 27 2" xfId="31519"/>
    <cellStyle name="Suma 2 19 27 3" xfId="31520"/>
    <cellStyle name="Suma 2 19 28" xfId="31521"/>
    <cellStyle name="Suma 2 19 28 2" xfId="31522"/>
    <cellStyle name="Suma 2 19 28 3" xfId="31523"/>
    <cellStyle name="Suma 2 19 29" xfId="31524"/>
    <cellStyle name="Suma 2 19 29 2" xfId="31525"/>
    <cellStyle name="Suma 2 19 29 3" xfId="31526"/>
    <cellStyle name="Suma 2 19 3" xfId="31527"/>
    <cellStyle name="Suma 2 19 3 2" xfId="31528"/>
    <cellStyle name="Suma 2 19 3 3" xfId="31529"/>
    <cellStyle name="Suma 2 19 3 4" xfId="31530"/>
    <cellStyle name="Suma 2 19 30" xfId="31531"/>
    <cellStyle name="Suma 2 19 30 2" xfId="31532"/>
    <cellStyle name="Suma 2 19 30 3" xfId="31533"/>
    <cellStyle name="Suma 2 19 31" xfId="31534"/>
    <cellStyle name="Suma 2 19 31 2" xfId="31535"/>
    <cellStyle name="Suma 2 19 31 3" xfId="31536"/>
    <cellStyle name="Suma 2 19 32" xfId="31537"/>
    <cellStyle name="Suma 2 19 32 2" xfId="31538"/>
    <cellStyle name="Suma 2 19 32 3" xfId="31539"/>
    <cellStyle name="Suma 2 19 33" xfId="31540"/>
    <cellStyle name="Suma 2 19 33 2" xfId="31541"/>
    <cellStyle name="Suma 2 19 33 3" xfId="31542"/>
    <cellStyle name="Suma 2 19 34" xfId="31543"/>
    <cellStyle name="Suma 2 19 34 2" xfId="31544"/>
    <cellStyle name="Suma 2 19 34 3" xfId="31545"/>
    <cellStyle name="Suma 2 19 35" xfId="31546"/>
    <cellStyle name="Suma 2 19 35 2" xfId="31547"/>
    <cellStyle name="Suma 2 19 35 3" xfId="31548"/>
    <cellStyle name="Suma 2 19 36" xfId="31549"/>
    <cellStyle name="Suma 2 19 36 2" xfId="31550"/>
    <cellStyle name="Suma 2 19 36 3" xfId="31551"/>
    <cellStyle name="Suma 2 19 37" xfId="31552"/>
    <cellStyle name="Suma 2 19 37 2" xfId="31553"/>
    <cellStyle name="Suma 2 19 37 3" xfId="31554"/>
    <cellStyle name="Suma 2 19 38" xfId="31555"/>
    <cellStyle name="Suma 2 19 38 2" xfId="31556"/>
    <cellStyle name="Suma 2 19 38 3" xfId="31557"/>
    <cellStyle name="Suma 2 19 39" xfId="31558"/>
    <cellStyle name="Suma 2 19 39 2" xfId="31559"/>
    <cellStyle name="Suma 2 19 39 3" xfId="31560"/>
    <cellStyle name="Suma 2 19 4" xfId="31561"/>
    <cellStyle name="Suma 2 19 4 2" xfId="31562"/>
    <cellStyle name="Suma 2 19 4 3" xfId="31563"/>
    <cellStyle name="Suma 2 19 4 4" xfId="31564"/>
    <cellStyle name="Suma 2 19 40" xfId="31565"/>
    <cellStyle name="Suma 2 19 40 2" xfId="31566"/>
    <cellStyle name="Suma 2 19 40 3" xfId="31567"/>
    <cellStyle name="Suma 2 19 41" xfId="31568"/>
    <cellStyle name="Suma 2 19 41 2" xfId="31569"/>
    <cellStyle name="Suma 2 19 41 3" xfId="31570"/>
    <cellStyle name="Suma 2 19 42" xfId="31571"/>
    <cellStyle name="Suma 2 19 42 2" xfId="31572"/>
    <cellStyle name="Suma 2 19 42 3" xfId="31573"/>
    <cellStyle name="Suma 2 19 43" xfId="31574"/>
    <cellStyle name="Suma 2 19 43 2" xfId="31575"/>
    <cellStyle name="Suma 2 19 43 3" xfId="31576"/>
    <cellStyle name="Suma 2 19 44" xfId="31577"/>
    <cellStyle name="Suma 2 19 44 2" xfId="31578"/>
    <cellStyle name="Suma 2 19 44 3" xfId="31579"/>
    <cellStyle name="Suma 2 19 45" xfId="31580"/>
    <cellStyle name="Suma 2 19 45 2" xfId="31581"/>
    <cellStyle name="Suma 2 19 45 3" xfId="31582"/>
    <cellStyle name="Suma 2 19 46" xfId="31583"/>
    <cellStyle name="Suma 2 19 46 2" xfId="31584"/>
    <cellStyle name="Suma 2 19 46 3" xfId="31585"/>
    <cellStyle name="Suma 2 19 47" xfId="31586"/>
    <cellStyle name="Suma 2 19 47 2" xfId="31587"/>
    <cellStyle name="Suma 2 19 47 3" xfId="31588"/>
    <cellStyle name="Suma 2 19 48" xfId="31589"/>
    <cellStyle name="Suma 2 19 48 2" xfId="31590"/>
    <cellStyle name="Suma 2 19 48 3" xfId="31591"/>
    <cellStyle name="Suma 2 19 49" xfId="31592"/>
    <cellStyle name="Suma 2 19 49 2" xfId="31593"/>
    <cellStyle name="Suma 2 19 49 3" xfId="31594"/>
    <cellStyle name="Suma 2 19 5" xfId="31595"/>
    <cellStyle name="Suma 2 19 5 2" xfId="31596"/>
    <cellStyle name="Suma 2 19 5 3" xfId="31597"/>
    <cellStyle name="Suma 2 19 5 4" xfId="31598"/>
    <cellStyle name="Suma 2 19 50" xfId="31599"/>
    <cellStyle name="Suma 2 19 50 2" xfId="31600"/>
    <cellStyle name="Suma 2 19 50 3" xfId="31601"/>
    <cellStyle name="Suma 2 19 51" xfId="31602"/>
    <cellStyle name="Suma 2 19 51 2" xfId="31603"/>
    <cellStyle name="Suma 2 19 51 3" xfId="31604"/>
    <cellStyle name="Suma 2 19 52" xfId="31605"/>
    <cellStyle name="Suma 2 19 52 2" xfId="31606"/>
    <cellStyle name="Suma 2 19 52 3" xfId="31607"/>
    <cellStyle name="Suma 2 19 53" xfId="31608"/>
    <cellStyle name="Suma 2 19 53 2" xfId="31609"/>
    <cellStyle name="Suma 2 19 53 3" xfId="31610"/>
    <cellStyle name="Suma 2 19 54" xfId="31611"/>
    <cellStyle name="Suma 2 19 54 2" xfId="31612"/>
    <cellStyle name="Suma 2 19 54 3" xfId="31613"/>
    <cellStyle name="Suma 2 19 55" xfId="31614"/>
    <cellStyle name="Suma 2 19 55 2" xfId="31615"/>
    <cellStyle name="Suma 2 19 55 3" xfId="31616"/>
    <cellStyle name="Suma 2 19 56" xfId="31617"/>
    <cellStyle name="Suma 2 19 56 2" xfId="31618"/>
    <cellStyle name="Suma 2 19 56 3" xfId="31619"/>
    <cellStyle name="Suma 2 19 57" xfId="31620"/>
    <cellStyle name="Suma 2 19 58" xfId="31621"/>
    <cellStyle name="Suma 2 19 6" xfId="31622"/>
    <cellStyle name="Suma 2 19 6 2" xfId="31623"/>
    <cellStyle name="Suma 2 19 6 3" xfId="31624"/>
    <cellStyle name="Suma 2 19 6 4" xfId="31625"/>
    <cellStyle name="Suma 2 19 7" xfId="31626"/>
    <cellStyle name="Suma 2 19 7 2" xfId="31627"/>
    <cellStyle name="Suma 2 19 7 3" xfId="31628"/>
    <cellStyle name="Suma 2 19 7 4" xfId="31629"/>
    <cellStyle name="Suma 2 19 8" xfId="31630"/>
    <cellStyle name="Suma 2 19 8 2" xfId="31631"/>
    <cellStyle name="Suma 2 19 8 3" xfId="31632"/>
    <cellStyle name="Suma 2 19 8 4" xfId="31633"/>
    <cellStyle name="Suma 2 19 9" xfId="31634"/>
    <cellStyle name="Suma 2 19 9 2" xfId="31635"/>
    <cellStyle name="Suma 2 19 9 3" xfId="31636"/>
    <cellStyle name="Suma 2 19 9 4" xfId="31637"/>
    <cellStyle name="Suma 2 2" xfId="31638"/>
    <cellStyle name="Suma 2 2 10" xfId="31639"/>
    <cellStyle name="Suma 2 2 10 2" xfId="31640"/>
    <cellStyle name="Suma 2 2 10 3" xfId="31641"/>
    <cellStyle name="Suma 2 2 10 4" xfId="31642"/>
    <cellStyle name="Suma 2 2 11" xfId="31643"/>
    <cellStyle name="Suma 2 2 11 2" xfId="31644"/>
    <cellStyle name="Suma 2 2 11 3" xfId="31645"/>
    <cellStyle name="Suma 2 2 11 4" xfId="31646"/>
    <cellStyle name="Suma 2 2 12" xfId="31647"/>
    <cellStyle name="Suma 2 2 12 2" xfId="31648"/>
    <cellStyle name="Suma 2 2 12 3" xfId="31649"/>
    <cellStyle name="Suma 2 2 12 4" xfId="31650"/>
    <cellStyle name="Suma 2 2 13" xfId="31651"/>
    <cellStyle name="Suma 2 2 13 2" xfId="31652"/>
    <cellStyle name="Suma 2 2 13 3" xfId="31653"/>
    <cellStyle name="Suma 2 2 13 4" xfId="31654"/>
    <cellStyle name="Suma 2 2 14" xfId="31655"/>
    <cellStyle name="Suma 2 2 14 2" xfId="31656"/>
    <cellStyle name="Suma 2 2 14 3" xfId="31657"/>
    <cellStyle name="Suma 2 2 14 4" xfId="31658"/>
    <cellStyle name="Suma 2 2 15" xfId="31659"/>
    <cellStyle name="Suma 2 2 15 2" xfId="31660"/>
    <cellStyle name="Suma 2 2 15 3" xfId="31661"/>
    <cellStyle name="Suma 2 2 15 4" xfId="31662"/>
    <cellStyle name="Suma 2 2 16" xfId="31663"/>
    <cellStyle name="Suma 2 2 16 2" xfId="31664"/>
    <cellStyle name="Suma 2 2 16 3" xfId="31665"/>
    <cellStyle name="Suma 2 2 16 4" xfId="31666"/>
    <cellStyle name="Suma 2 2 17" xfId="31667"/>
    <cellStyle name="Suma 2 2 17 2" xfId="31668"/>
    <cellStyle name="Suma 2 2 17 3" xfId="31669"/>
    <cellStyle name="Suma 2 2 17 4" xfId="31670"/>
    <cellStyle name="Suma 2 2 18" xfId="31671"/>
    <cellStyle name="Suma 2 2 18 2" xfId="31672"/>
    <cellStyle name="Suma 2 2 18 3" xfId="31673"/>
    <cellStyle name="Suma 2 2 18 4" xfId="31674"/>
    <cellStyle name="Suma 2 2 19" xfId="31675"/>
    <cellStyle name="Suma 2 2 19 2" xfId="31676"/>
    <cellStyle name="Suma 2 2 19 3" xfId="31677"/>
    <cellStyle name="Suma 2 2 19 4" xfId="31678"/>
    <cellStyle name="Suma 2 2 2" xfId="31679"/>
    <cellStyle name="Suma 2 2 2 2" xfId="31680"/>
    <cellStyle name="Suma 2 2 2 3" xfId="31681"/>
    <cellStyle name="Suma 2 2 2 4" xfId="31682"/>
    <cellStyle name="Suma 2 2 20" xfId="31683"/>
    <cellStyle name="Suma 2 2 20 2" xfId="31684"/>
    <cellStyle name="Suma 2 2 20 3" xfId="31685"/>
    <cellStyle name="Suma 2 2 20 4" xfId="31686"/>
    <cellStyle name="Suma 2 2 21" xfId="31687"/>
    <cellStyle name="Suma 2 2 21 2" xfId="31688"/>
    <cellStyle name="Suma 2 2 21 3" xfId="31689"/>
    <cellStyle name="Suma 2 2 22" xfId="31690"/>
    <cellStyle name="Suma 2 2 22 2" xfId="31691"/>
    <cellStyle name="Suma 2 2 22 3" xfId="31692"/>
    <cellStyle name="Suma 2 2 23" xfId="31693"/>
    <cellStyle name="Suma 2 2 23 2" xfId="31694"/>
    <cellStyle name="Suma 2 2 23 3" xfId="31695"/>
    <cellStyle name="Suma 2 2 24" xfId="31696"/>
    <cellStyle name="Suma 2 2 24 2" xfId="31697"/>
    <cellStyle name="Suma 2 2 24 3" xfId="31698"/>
    <cellStyle name="Suma 2 2 25" xfId="31699"/>
    <cellStyle name="Suma 2 2 25 2" xfId="31700"/>
    <cellStyle name="Suma 2 2 25 3" xfId="31701"/>
    <cellStyle name="Suma 2 2 26" xfId="31702"/>
    <cellStyle name="Suma 2 2 26 2" xfId="31703"/>
    <cellStyle name="Suma 2 2 26 3" xfId="31704"/>
    <cellStyle name="Suma 2 2 27" xfId="31705"/>
    <cellStyle name="Suma 2 2 27 2" xfId="31706"/>
    <cellStyle name="Suma 2 2 27 3" xfId="31707"/>
    <cellStyle name="Suma 2 2 28" xfId="31708"/>
    <cellStyle name="Suma 2 2 28 2" xfId="31709"/>
    <cellStyle name="Suma 2 2 28 3" xfId="31710"/>
    <cellStyle name="Suma 2 2 29" xfId="31711"/>
    <cellStyle name="Suma 2 2 29 2" xfId="31712"/>
    <cellStyle name="Suma 2 2 29 3" xfId="31713"/>
    <cellStyle name="Suma 2 2 3" xfId="31714"/>
    <cellStyle name="Suma 2 2 3 2" xfId="31715"/>
    <cellStyle name="Suma 2 2 3 3" xfId="31716"/>
    <cellStyle name="Suma 2 2 3 4" xfId="31717"/>
    <cellStyle name="Suma 2 2 30" xfId="31718"/>
    <cellStyle name="Suma 2 2 30 2" xfId="31719"/>
    <cellStyle name="Suma 2 2 30 3" xfId="31720"/>
    <cellStyle name="Suma 2 2 31" xfId="31721"/>
    <cellStyle name="Suma 2 2 31 2" xfId="31722"/>
    <cellStyle name="Suma 2 2 31 3" xfId="31723"/>
    <cellStyle name="Suma 2 2 32" xfId="31724"/>
    <cellStyle name="Suma 2 2 32 2" xfId="31725"/>
    <cellStyle name="Suma 2 2 32 3" xfId="31726"/>
    <cellStyle name="Suma 2 2 33" xfId="31727"/>
    <cellStyle name="Suma 2 2 33 2" xfId="31728"/>
    <cellStyle name="Suma 2 2 33 3" xfId="31729"/>
    <cellStyle name="Suma 2 2 34" xfId="31730"/>
    <cellStyle name="Suma 2 2 34 2" xfId="31731"/>
    <cellStyle name="Suma 2 2 34 3" xfId="31732"/>
    <cellStyle name="Suma 2 2 35" xfId="31733"/>
    <cellStyle name="Suma 2 2 35 2" xfId="31734"/>
    <cellStyle name="Suma 2 2 35 3" xfId="31735"/>
    <cellStyle name="Suma 2 2 36" xfId="31736"/>
    <cellStyle name="Suma 2 2 36 2" xfId="31737"/>
    <cellStyle name="Suma 2 2 36 3" xfId="31738"/>
    <cellStyle name="Suma 2 2 37" xfId="31739"/>
    <cellStyle name="Suma 2 2 37 2" xfId="31740"/>
    <cellStyle name="Suma 2 2 37 3" xfId="31741"/>
    <cellStyle name="Suma 2 2 38" xfId="31742"/>
    <cellStyle name="Suma 2 2 38 2" xfId="31743"/>
    <cellStyle name="Suma 2 2 38 3" xfId="31744"/>
    <cellStyle name="Suma 2 2 39" xfId="31745"/>
    <cellStyle name="Suma 2 2 39 2" xfId="31746"/>
    <cellStyle name="Suma 2 2 39 3" xfId="31747"/>
    <cellStyle name="Suma 2 2 4" xfId="31748"/>
    <cellStyle name="Suma 2 2 4 2" xfId="31749"/>
    <cellStyle name="Suma 2 2 4 3" xfId="31750"/>
    <cellStyle name="Suma 2 2 4 4" xfId="31751"/>
    <cellStyle name="Suma 2 2 40" xfId="31752"/>
    <cellStyle name="Suma 2 2 40 2" xfId="31753"/>
    <cellStyle name="Suma 2 2 40 3" xfId="31754"/>
    <cellStyle name="Suma 2 2 41" xfId="31755"/>
    <cellStyle name="Suma 2 2 41 2" xfId="31756"/>
    <cellStyle name="Suma 2 2 41 3" xfId="31757"/>
    <cellStyle name="Suma 2 2 42" xfId="31758"/>
    <cellStyle name="Suma 2 2 42 2" xfId="31759"/>
    <cellStyle name="Suma 2 2 42 3" xfId="31760"/>
    <cellStyle name="Suma 2 2 43" xfId="31761"/>
    <cellStyle name="Suma 2 2 43 2" xfId="31762"/>
    <cellStyle name="Suma 2 2 43 3" xfId="31763"/>
    <cellStyle name="Suma 2 2 44" xfId="31764"/>
    <cellStyle name="Suma 2 2 44 2" xfId="31765"/>
    <cellStyle name="Suma 2 2 44 3" xfId="31766"/>
    <cellStyle name="Suma 2 2 45" xfId="31767"/>
    <cellStyle name="Suma 2 2 45 2" xfId="31768"/>
    <cellStyle name="Suma 2 2 45 3" xfId="31769"/>
    <cellStyle name="Suma 2 2 46" xfId="31770"/>
    <cellStyle name="Suma 2 2 46 2" xfId="31771"/>
    <cellStyle name="Suma 2 2 46 3" xfId="31772"/>
    <cellStyle name="Suma 2 2 47" xfId="31773"/>
    <cellStyle name="Suma 2 2 47 2" xfId="31774"/>
    <cellStyle name="Suma 2 2 47 3" xfId="31775"/>
    <cellStyle name="Suma 2 2 48" xfId="31776"/>
    <cellStyle name="Suma 2 2 48 2" xfId="31777"/>
    <cellStyle name="Suma 2 2 48 3" xfId="31778"/>
    <cellStyle name="Suma 2 2 49" xfId="31779"/>
    <cellStyle name="Suma 2 2 49 2" xfId="31780"/>
    <cellStyle name="Suma 2 2 49 3" xfId="31781"/>
    <cellStyle name="Suma 2 2 5" xfId="31782"/>
    <cellStyle name="Suma 2 2 5 2" xfId="31783"/>
    <cellStyle name="Suma 2 2 5 3" xfId="31784"/>
    <cellStyle name="Suma 2 2 5 4" xfId="31785"/>
    <cellStyle name="Suma 2 2 50" xfId="31786"/>
    <cellStyle name="Suma 2 2 50 2" xfId="31787"/>
    <cellStyle name="Suma 2 2 50 3" xfId="31788"/>
    <cellStyle name="Suma 2 2 51" xfId="31789"/>
    <cellStyle name="Suma 2 2 51 2" xfId="31790"/>
    <cellStyle name="Suma 2 2 51 3" xfId="31791"/>
    <cellStyle name="Suma 2 2 52" xfId="31792"/>
    <cellStyle name="Suma 2 2 52 2" xfId="31793"/>
    <cellStyle name="Suma 2 2 52 3" xfId="31794"/>
    <cellStyle name="Suma 2 2 53" xfId="31795"/>
    <cellStyle name="Suma 2 2 53 2" xfId="31796"/>
    <cellStyle name="Suma 2 2 53 3" xfId="31797"/>
    <cellStyle name="Suma 2 2 54" xfId="31798"/>
    <cellStyle name="Suma 2 2 54 2" xfId="31799"/>
    <cellStyle name="Suma 2 2 54 3" xfId="31800"/>
    <cellStyle name="Suma 2 2 55" xfId="31801"/>
    <cellStyle name="Suma 2 2 55 2" xfId="31802"/>
    <cellStyle name="Suma 2 2 55 3" xfId="31803"/>
    <cellStyle name="Suma 2 2 56" xfId="31804"/>
    <cellStyle name="Suma 2 2 56 2" xfId="31805"/>
    <cellStyle name="Suma 2 2 56 3" xfId="31806"/>
    <cellStyle name="Suma 2 2 57" xfId="31807"/>
    <cellStyle name="Suma 2 2 58" xfId="31808"/>
    <cellStyle name="Suma 2 2 59" xfId="31809"/>
    <cellStyle name="Suma 2 2 6" xfId="31810"/>
    <cellStyle name="Suma 2 2 6 2" xfId="31811"/>
    <cellStyle name="Suma 2 2 6 3" xfId="31812"/>
    <cellStyle name="Suma 2 2 6 4" xfId="31813"/>
    <cellStyle name="Suma 2 2 7" xfId="31814"/>
    <cellStyle name="Suma 2 2 7 2" xfId="31815"/>
    <cellStyle name="Suma 2 2 7 3" xfId="31816"/>
    <cellStyle name="Suma 2 2 7 4" xfId="31817"/>
    <cellStyle name="Suma 2 2 8" xfId="31818"/>
    <cellStyle name="Suma 2 2 8 2" xfId="31819"/>
    <cellStyle name="Suma 2 2 8 3" xfId="31820"/>
    <cellStyle name="Suma 2 2 8 4" xfId="31821"/>
    <cellStyle name="Suma 2 2 9" xfId="31822"/>
    <cellStyle name="Suma 2 2 9 2" xfId="31823"/>
    <cellStyle name="Suma 2 2 9 3" xfId="31824"/>
    <cellStyle name="Suma 2 2 9 4" xfId="31825"/>
    <cellStyle name="Suma 2 20" xfId="31826"/>
    <cellStyle name="Suma 2 20 10" xfId="31827"/>
    <cellStyle name="Suma 2 20 10 2" xfId="31828"/>
    <cellStyle name="Suma 2 20 10 3" xfId="31829"/>
    <cellStyle name="Suma 2 20 10 4" xfId="31830"/>
    <cellStyle name="Suma 2 20 11" xfId="31831"/>
    <cellStyle name="Suma 2 20 11 2" xfId="31832"/>
    <cellStyle name="Suma 2 20 11 3" xfId="31833"/>
    <cellStyle name="Suma 2 20 11 4" xfId="31834"/>
    <cellStyle name="Suma 2 20 12" xfId="31835"/>
    <cellStyle name="Suma 2 20 12 2" xfId="31836"/>
    <cellStyle name="Suma 2 20 12 3" xfId="31837"/>
    <cellStyle name="Suma 2 20 12 4" xfId="31838"/>
    <cellStyle name="Suma 2 20 13" xfId="31839"/>
    <cellStyle name="Suma 2 20 13 2" xfId="31840"/>
    <cellStyle name="Suma 2 20 13 3" xfId="31841"/>
    <cellStyle name="Suma 2 20 13 4" xfId="31842"/>
    <cellStyle name="Suma 2 20 14" xfId="31843"/>
    <cellStyle name="Suma 2 20 14 2" xfId="31844"/>
    <cellStyle name="Suma 2 20 14 3" xfId="31845"/>
    <cellStyle name="Suma 2 20 14 4" xfId="31846"/>
    <cellStyle name="Suma 2 20 15" xfId="31847"/>
    <cellStyle name="Suma 2 20 15 2" xfId="31848"/>
    <cellStyle name="Suma 2 20 15 3" xfId="31849"/>
    <cellStyle name="Suma 2 20 15 4" xfId="31850"/>
    <cellStyle name="Suma 2 20 16" xfId="31851"/>
    <cellStyle name="Suma 2 20 16 2" xfId="31852"/>
    <cellStyle name="Suma 2 20 16 3" xfId="31853"/>
    <cellStyle name="Suma 2 20 16 4" xfId="31854"/>
    <cellStyle name="Suma 2 20 17" xfId="31855"/>
    <cellStyle name="Suma 2 20 17 2" xfId="31856"/>
    <cellStyle name="Suma 2 20 17 3" xfId="31857"/>
    <cellStyle name="Suma 2 20 17 4" xfId="31858"/>
    <cellStyle name="Suma 2 20 18" xfId="31859"/>
    <cellStyle name="Suma 2 20 18 2" xfId="31860"/>
    <cellStyle name="Suma 2 20 18 3" xfId="31861"/>
    <cellStyle name="Suma 2 20 18 4" xfId="31862"/>
    <cellStyle name="Suma 2 20 19" xfId="31863"/>
    <cellStyle name="Suma 2 20 19 2" xfId="31864"/>
    <cellStyle name="Suma 2 20 19 3" xfId="31865"/>
    <cellStyle name="Suma 2 20 19 4" xfId="31866"/>
    <cellStyle name="Suma 2 20 2" xfId="31867"/>
    <cellStyle name="Suma 2 20 2 2" xfId="31868"/>
    <cellStyle name="Suma 2 20 2 3" xfId="31869"/>
    <cellStyle name="Suma 2 20 2 4" xfId="31870"/>
    <cellStyle name="Suma 2 20 20" xfId="31871"/>
    <cellStyle name="Suma 2 20 20 2" xfId="31872"/>
    <cellStyle name="Suma 2 20 20 3" xfId="31873"/>
    <cellStyle name="Suma 2 20 20 4" xfId="31874"/>
    <cellStyle name="Suma 2 20 21" xfId="31875"/>
    <cellStyle name="Suma 2 20 21 2" xfId="31876"/>
    <cellStyle name="Suma 2 20 21 3" xfId="31877"/>
    <cellStyle name="Suma 2 20 22" xfId="31878"/>
    <cellStyle name="Suma 2 20 22 2" xfId="31879"/>
    <cellStyle name="Suma 2 20 22 3" xfId="31880"/>
    <cellStyle name="Suma 2 20 23" xfId="31881"/>
    <cellStyle name="Suma 2 20 23 2" xfId="31882"/>
    <cellStyle name="Suma 2 20 23 3" xfId="31883"/>
    <cellStyle name="Suma 2 20 24" xfId="31884"/>
    <cellStyle name="Suma 2 20 24 2" xfId="31885"/>
    <cellStyle name="Suma 2 20 24 3" xfId="31886"/>
    <cellStyle name="Suma 2 20 25" xfId="31887"/>
    <cellStyle name="Suma 2 20 25 2" xfId="31888"/>
    <cellStyle name="Suma 2 20 25 3" xfId="31889"/>
    <cellStyle name="Suma 2 20 26" xfId="31890"/>
    <cellStyle name="Suma 2 20 26 2" xfId="31891"/>
    <cellStyle name="Suma 2 20 26 3" xfId="31892"/>
    <cellStyle name="Suma 2 20 27" xfId="31893"/>
    <cellStyle name="Suma 2 20 27 2" xfId="31894"/>
    <cellStyle name="Suma 2 20 27 3" xfId="31895"/>
    <cellStyle name="Suma 2 20 28" xfId="31896"/>
    <cellStyle name="Suma 2 20 28 2" xfId="31897"/>
    <cellStyle name="Suma 2 20 28 3" xfId="31898"/>
    <cellStyle name="Suma 2 20 29" xfId="31899"/>
    <cellStyle name="Suma 2 20 29 2" xfId="31900"/>
    <cellStyle name="Suma 2 20 29 3" xfId="31901"/>
    <cellStyle name="Suma 2 20 3" xfId="31902"/>
    <cellStyle name="Suma 2 20 3 2" xfId="31903"/>
    <cellStyle name="Suma 2 20 3 3" xfId="31904"/>
    <cellStyle name="Suma 2 20 3 4" xfId="31905"/>
    <cellStyle name="Suma 2 20 30" xfId="31906"/>
    <cellStyle name="Suma 2 20 30 2" xfId="31907"/>
    <cellStyle name="Suma 2 20 30 3" xfId="31908"/>
    <cellStyle name="Suma 2 20 31" xfId="31909"/>
    <cellStyle name="Suma 2 20 31 2" xfId="31910"/>
    <cellStyle name="Suma 2 20 31 3" xfId="31911"/>
    <cellStyle name="Suma 2 20 32" xfId="31912"/>
    <cellStyle name="Suma 2 20 32 2" xfId="31913"/>
    <cellStyle name="Suma 2 20 32 3" xfId="31914"/>
    <cellStyle name="Suma 2 20 33" xfId="31915"/>
    <cellStyle name="Suma 2 20 33 2" xfId="31916"/>
    <cellStyle name="Suma 2 20 33 3" xfId="31917"/>
    <cellStyle name="Suma 2 20 34" xfId="31918"/>
    <cellStyle name="Suma 2 20 34 2" xfId="31919"/>
    <cellStyle name="Suma 2 20 34 3" xfId="31920"/>
    <cellStyle name="Suma 2 20 35" xfId="31921"/>
    <cellStyle name="Suma 2 20 35 2" xfId="31922"/>
    <cellStyle name="Suma 2 20 35 3" xfId="31923"/>
    <cellStyle name="Suma 2 20 36" xfId="31924"/>
    <cellStyle name="Suma 2 20 36 2" xfId="31925"/>
    <cellStyle name="Suma 2 20 36 3" xfId="31926"/>
    <cellStyle name="Suma 2 20 37" xfId="31927"/>
    <cellStyle name="Suma 2 20 37 2" xfId="31928"/>
    <cellStyle name="Suma 2 20 37 3" xfId="31929"/>
    <cellStyle name="Suma 2 20 38" xfId="31930"/>
    <cellStyle name="Suma 2 20 38 2" xfId="31931"/>
    <cellStyle name="Suma 2 20 38 3" xfId="31932"/>
    <cellStyle name="Suma 2 20 39" xfId="31933"/>
    <cellStyle name="Suma 2 20 39 2" xfId="31934"/>
    <cellStyle name="Suma 2 20 39 3" xfId="31935"/>
    <cellStyle name="Suma 2 20 4" xfId="31936"/>
    <cellStyle name="Suma 2 20 4 2" xfId="31937"/>
    <cellStyle name="Suma 2 20 4 3" xfId="31938"/>
    <cellStyle name="Suma 2 20 4 4" xfId="31939"/>
    <cellStyle name="Suma 2 20 40" xfId="31940"/>
    <cellStyle name="Suma 2 20 40 2" xfId="31941"/>
    <cellStyle name="Suma 2 20 40 3" xfId="31942"/>
    <cellStyle name="Suma 2 20 41" xfId="31943"/>
    <cellStyle name="Suma 2 20 41 2" xfId="31944"/>
    <cellStyle name="Suma 2 20 41 3" xfId="31945"/>
    <cellStyle name="Suma 2 20 42" xfId="31946"/>
    <cellStyle name="Suma 2 20 42 2" xfId="31947"/>
    <cellStyle name="Suma 2 20 42 3" xfId="31948"/>
    <cellStyle name="Suma 2 20 43" xfId="31949"/>
    <cellStyle name="Suma 2 20 43 2" xfId="31950"/>
    <cellStyle name="Suma 2 20 43 3" xfId="31951"/>
    <cellStyle name="Suma 2 20 44" xfId="31952"/>
    <cellStyle name="Suma 2 20 44 2" xfId="31953"/>
    <cellStyle name="Suma 2 20 44 3" xfId="31954"/>
    <cellStyle name="Suma 2 20 45" xfId="31955"/>
    <cellStyle name="Suma 2 20 45 2" xfId="31956"/>
    <cellStyle name="Suma 2 20 45 3" xfId="31957"/>
    <cellStyle name="Suma 2 20 46" xfId="31958"/>
    <cellStyle name="Suma 2 20 46 2" xfId="31959"/>
    <cellStyle name="Suma 2 20 46 3" xfId="31960"/>
    <cellStyle name="Suma 2 20 47" xfId="31961"/>
    <cellStyle name="Suma 2 20 47 2" xfId="31962"/>
    <cellStyle name="Suma 2 20 47 3" xfId="31963"/>
    <cellStyle name="Suma 2 20 48" xfId="31964"/>
    <cellStyle name="Suma 2 20 48 2" xfId="31965"/>
    <cellStyle name="Suma 2 20 48 3" xfId="31966"/>
    <cellStyle name="Suma 2 20 49" xfId="31967"/>
    <cellStyle name="Suma 2 20 49 2" xfId="31968"/>
    <cellStyle name="Suma 2 20 49 3" xfId="31969"/>
    <cellStyle name="Suma 2 20 5" xfId="31970"/>
    <cellStyle name="Suma 2 20 5 2" xfId="31971"/>
    <cellStyle name="Suma 2 20 5 3" xfId="31972"/>
    <cellStyle name="Suma 2 20 5 4" xfId="31973"/>
    <cellStyle name="Suma 2 20 50" xfId="31974"/>
    <cellStyle name="Suma 2 20 50 2" xfId="31975"/>
    <cellStyle name="Suma 2 20 50 3" xfId="31976"/>
    <cellStyle name="Suma 2 20 51" xfId="31977"/>
    <cellStyle name="Suma 2 20 51 2" xfId="31978"/>
    <cellStyle name="Suma 2 20 51 3" xfId="31979"/>
    <cellStyle name="Suma 2 20 52" xfId="31980"/>
    <cellStyle name="Suma 2 20 52 2" xfId="31981"/>
    <cellStyle name="Suma 2 20 52 3" xfId="31982"/>
    <cellStyle name="Suma 2 20 53" xfId="31983"/>
    <cellStyle name="Suma 2 20 53 2" xfId="31984"/>
    <cellStyle name="Suma 2 20 53 3" xfId="31985"/>
    <cellStyle name="Suma 2 20 54" xfId="31986"/>
    <cellStyle name="Suma 2 20 54 2" xfId="31987"/>
    <cellStyle name="Suma 2 20 54 3" xfId="31988"/>
    <cellStyle name="Suma 2 20 55" xfId="31989"/>
    <cellStyle name="Suma 2 20 55 2" xfId="31990"/>
    <cellStyle name="Suma 2 20 55 3" xfId="31991"/>
    <cellStyle name="Suma 2 20 56" xfId="31992"/>
    <cellStyle name="Suma 2 20 56 2" xfId="31993"/>
    <cellStyle name="Suma 2 20 56 3" xfId="31994"/>
    <cellStyle name="Suma 2 20 57" xfId="31995"/>
    <cellStyle name="Suma 2 20 58" xfId="31996"/>
    <cellStyle name="Suma 2 20 6" xfId="31997"/>
    <cellStyle name="Suma 2 20 6 2" xfId="31998"/>
    <cellStyle name="Suma 2 20 6 3" xfId="31999"/>
    <cellStyle name="Suma 2 20 6 4" xfId="32000"/>
    <cellStyle name="Suma 2 20 7" xfId="32001"/>
    <cellStyle name="Suma 2 20 7 2" xfId="32002"/>
    <cellStyle name="Suma 2 20 7 3" xfId="32003"/>
    <cellStyle name="Suma 2 20 7 4" xfId="32004"/>
    <cellStyle name="Suma 2 20 8" xfId="32005"/>
    <cellStyle name="Suma 2 20 8 2" xfId="32006"/>
    <cellStyle name="Suma 2 20 8 3" xfId="32007"/>
    <cellStyle name="Suma 2 20 8 4" xfId="32008"/>
    <cellStyle name="Suma 2 20 9" xfId="32009"/>
    <cellStyle name="Suma 2 20 9 2" xfId="32010"/>
    <cellStyle name="Suma 2 20 9 3" xfId="32011"/>
    <cellStyle name="Suma 2 20 9 4" xfId="32012"/>
    <cellStyle name="Suma 2 21" xfId="32013"/>
    <cellStyle name="Suma 2 21 10" xfId="32014"/>
    <cellStyle name="Suma 2 21 10 2" xfId="32015"/>
    <cellStyle name="Suma 2 21 10 3" xfId="32016"/>
    <cellStyle name="Suma 2 21 10 4" xfId="32017"/>
    <cellStyle name="Suma 2 21 11" xfId="32018"/>
    <cellStyle name="Suma 2 21 11 2" xfId="32019"/>
    <cellStyle name="Suma 2 21 11 3" xfId="32020"/>
    <cellStyle name="Suma 2 21 11 4" xfId="32021"/>
    <cellStyle name="Suma 2 21 12" xfId="32022"/>
    <cellStyle name="Suma 2 21 12 2" xfId="32023"/>
    <cellStyle name="Suma 2 21 12 3" xfId="32024"/>
    <cellStyle name="Suma 2 21 12 4" xfId="32025"/>
    <cellStyle name="Suma 2 21 13" xfId="32026"/>
    <cellStyle name="Suma 2 21 13 2" xfId="32027"/>
    <cellStyle name="Suma 2 21 13 3" xfId="32028"/>
    <cellStyle name="Suma 2 21 13 4" xfId="32029"/>
    <cellStyle name="Suma 2 21 14" xfId="32030"/>
    <cellStyle name="Suma 2 21 14 2" xfId="32031"/>
    <cellStyle name="Suma 2 21 14 3" xfId="32032"/>
    <cellStyle name="Suma 2 21 14 4" xfId="32033"/>
    <cellStyle name="Suma 2 21 15" xfId="32034"/>
    <cellStyle name="Suma 2 21 15 2" xfId="32035"/>
    <cellStyle name="Suma 2 21 15 3" xfId="32036"/>
    <cellStyle name="Suma 2 21 15 4" xfId="32037"/>
    <cellStyle name="Suma 2 21 16" xfId="32038"/>
    <cellStyle name="Suma 2 21 16 2" xfId="32039"/>
    <cellStyle name="Suma 2 21 16 3" xfId="32040"/>
    <cellStyle name="Suma 2 21 16 4" xfId="32041"/>
    <cellStyle name="Suma 2 21 17" xfId="32042"/>
    <cellStyle name="Suma 2 21 17 2" xfId="32043"/>
    <cellStyle name="Suma 2 21 17 3" xfId="32044"/>
    <cellStyle name="Suma 2 21 17 4" xfId="32045"/>
    <cellStyle name="Suma 2 21 18" xfId="32046"/>
    <cellStyle name="Suma 2 21 18 2" xfId="32047"/>
    <cellStyle name="Suma 2 21 18 3" xfId="32048"/>
    <cellStyle name="Suma 2 21 18 4" xfId="32049"/>
    <cellStyle name="Suma 2 21 19" xfId="32050"/>
    <cellStyle name="Suma 2 21 19 2" xfId="32051"/>
    <cellStyle name="Suma 2 21 19 3" xfId="32052"/>
    <cellStyle name="Suma 2 21 19 4" xfId="32053"/>
    <cellStyle name="Suma 2 21 2" xfId="32054"/>
    <cellStyle name="Suma 2 21 2 2" xfId="32055"/>
    <cellStyle name="Suma 2 21 2 3" xfId="32056"/>
    <cellStyle name="Suma 2 21 2 4" xfId="32057"/>
    <cellStyle name="Suma 2 21 20" xfId="32058"/>
    <cellStyle name="Suma 2 21 20 2" xfId="32059"/>
    <cellStyle name="Suma 2 21 20 3" xfId="32060"/>
    <cellStyle name="Suma 2 21 20 4" xfId="32061"/>
    <cellStyle name="Suma 2 21 21" xfId="32062"/>
    <cellStyle name="Suma 2 21 21 2" xfId="32063"/>
    <cellStyle name="Suma 2 21 21 3" xfId="32064"/>
    <cellStyle name="Suma 2 21 22" xfId="32065"/>
    <cellStyle name="Suma 2 21 22 2" xfId="32066"/>
    <cellStyle name="Suma 2 21 22 3" xfId="32067"/>
    <cellStyle name="Suma 2 21 23" xfId="32068"/>
    <cellStyle name="Suma 2 21 23 2" xfId="32069"/>
    <cellStyle name="Suma 2 21 23 3" xfId="32070"/>
    <cellStyle name="Suma 2 21 24" xfId="32071"/>
    <cellStyle name="Suma 2 21 24 2" xfId="32072"/>
    <cellStyle name="Suma 2 21 24 3" xfId="32073"/>
    <cellStyle name="Suma 2 21 25" xfId="32074"/>
    <cellStyle name="Suma 2 21 25 2" xfId="32075"/>
    <cellStyle name="Suma 2 21 25 3" xfId="32076"/>
    <cellStyle name="Suma 2 21 26" xfId="32077"/>
    <cellStyle name="Suma 2 21 26 2" xfId="32078"/>
    <cellStyle name="Suma 2 21 26 3" xfId="32079"/>
    <cellStyle name="Suma 2 21 27" xfId="32080"/>
    <cellStyle name="Suma 2 21 27 2" xfId="32081"/>
    <cellStyle name="Suma 2 21 27 3" xfId="32082"/>
    <cellStyle name="Suma 2 21 28" xfId="32083"/>
    <cellStyle name="Suma 2 21 28 2" xfId="32084"/>
    <cellStyle name="Suma 2 21 28 3" xfId="32085"/>
    <cellStyle name="Suma 2 21 29" xfId="32086"/>
    <cellStyle name="Suma 2 21 29 2" xfId="32087"/>
    <cellStyle name="Suma 2 21 29 3" xfId="32088"/>
    <cellStyle name="Suma 2 21 3" xfId="32089"/>
    <cellStyle name="Suma 2 21 3 2" xfId="32090"/>
    <cellStyle name="Suma 2 21 3 3" xfId="32091"/>
    <cellStyle name="Suma 2 21 3 4" xfId="32092"/>
    <cellStyle name="Suma 2 21 30" xfId="32093"/>
    <cellStyle name="Suma 2 21 30 2" xfId="32094"/>
    <cellStyle name="Suma 2 21 30 3" xfId="32095"/>
    <cellStyle name="Suma 2 21 31" xfId="32096"/>
    <cellStyle name="Suma 2 21 31 2" xfId="32097"/>
    <cellStyle name="Suma 2 21 31 3" xfId="32098"/>
    <cellStyle name="Suma 2 21 32" xfId="32099"/>
    <cellStyle name="Suma 2 21 32 2" xfId="32100"/>
    <cellStyle name="Suma 2 21 32 3" xfId="32101"/>
    <cellStyle name="Suma 2 21 33" xfId="32102"/>
    <cellStyle name="Suma 2 21 33 2" xfId="32103"/>
    <cellStyle name="Suma 2 21 33 3" xfId="32104"/>
    <cellStyle name="Suma 2 21 34" xfId="32105"/>
    <cellStyle name="Suma 2 21 34 2" xfId="32106"/>
    <cellStyle name="Suma 2 21 34 3" xfId="32107"/>
    <cellStyle name="Suma 2 21 35" xfId="32108"/>
    <cellStyle name="Suma 2 21 35 2" xfId="32109"/>
    <cellStyle name="Suma 2 21 35 3" xfId="32110"/>
    <cellStyle name="Suma 2 21 36" xfId="32111"/>
    <cellStyle name="Suma 2 21 36 2" xfId="32112"/>
    <cellStyle name="Suma 2 21 36 3" xfId="32113"/>
    <cellStyle name="Suma 2 21 37" xfId="32114"/>
    <cellStyle name="Suma 2 21 37 2" xfId="32115"/>
    <cellStyle name="Suma 2 21 37 3" xfId="32116"/>
    <cellStyle name="Suma 2 21 38" xfId="32117"/>
    <cellStyle name="Suma 2 21 38 2" xfId="32118"/>
    <cellStyle name="Suma 2 21 38 3" xfId="32119"/>
    <cellStyle name="Suma 2 21 39" xfId="32120"/>
    <cellStyle name="Suma 2 21 39 2" xfId="32121"/>
    <cellStyle name="Suma 2 21 39 3" xfId="32122"/>
    <cellStyle name="Suma 2 21 4" xfId="32123"/>
    <cellStyle name="Suma 2 21 4 2" xfId="32124"/>
    <cellStyle name="Suma 2 21 4 3" xfId="32125"/>
    <cellStyle name="Suma 2 21 4 4" xfId="32126"/>
    <cellStyle name="Suma 2 21 40" xfId="32127"/>
    <cellStyle name="Suma 2 21 40 2" xfId="32128"/>
    <cellStyle name="Suma 2 21 40 3" xfId="32129"/>
    <cellStyle name="Suma 2 21 41" xfId="32130"/>
    <cellStyle name="Suma 2 21 41 2" xfId="32131"/>
    <cellStyle name="Suma 2 21 41 3" xfId="32132"/>
    <cellStyle name="Suma 2 21 42" xfId="32133"/>
    <cellStyle name="Suma 2 21 42 2" xfId="32134"/>
    <cellStyle name="Suma 2 21 42 3" xfId="32135"/>
    <cellStyle name="Suma 2 21 43" xfId="32136"/>
    <cellStyle name="Suma 2 21 43 2" xfId="32137"/>
    <cellStyle name="Suma 2 21 43 3" xfId="32138"/>
    <cellStyle name="Suma 2 21 44" xfId="32139"/>
    <cellStyle name="Suma 2 21 44 2" xfId="32140"/>
    <cellStyle name="Suma 2 21 44 3" xfId="32141"/>
    <cellStyle name="Suma 2 21 45" xfId="32142"/>
    <cellStyle name="Suma 2 21 45 2" xfId="32143"/>
    <cellStyle name="Suma 2 21 45 3" xfId="32144"/>
    <cellStyle name="Suma 2 21 46" xfId="32145"/>
    <cellStyle name="Suma 2 21 46 2" xfId="32146"/>
    <cellStyle name="Suma 2 21 46 3" xfId="32147"/>
    <cellStyle name="Suma 2 21 47" xfId="32148"/>
    <cellStyle name="Suma 2 21 47 2" xfId="32149"/>
    <cellStyle name="Suma 2 21 47 3" xfId="32150"/>
    <cellStyle name="Suma 2 21 48" xfId="32151"/>
    <cellStyle name="Suma 2 21 48 2" xfId="32152"/>
    <cellStyle name="Suma 2 21 48 3" xfId="32153"/>
    <cellStyle name="Suma 2 21 49" xfId="32154"/>
    <cellStyle name="Suma 2 21 49 2" xfId="32155"/>
    <cellStyle name="Suma 2 21 49 3" xfId="32156"/>
    <cellStyle name="Suma 2 21 5" xfId="32157"/>
    <cellStyle name="Suma 2 21 5 2" xfId="32158"/>
    <cellStyle name="Suma 2 21 5 3" xfId="32159"/>
    <cellStyle name="Suma 2 21 5 4" xfId="32160"/>
    <cellStyle name="Suma 2 21 50" xfId="32161"/>
    <cellStyle name="Suma 2 21 50 2" xfId="32162"/>
    <cellStyle name="Suma 2 21 50 3" xfId="32163"/>
    <cellStyle name="Suma 2 21 51" xfId="32164"/>
    <cellStyle name="Suma 2 21 51 2" xfId="32165"/>
    <cellStyle name="Suma 2 21 51 3" xfId="32166"/>
    <cellStyle name="Suma 2 21 52" xfId="32167"/>
    <cellStyle name="Suma 2 21 52 2" xfId="32168"/>
    <cellStyle name="Suma 2 21 52 3" xfId="32169"/>
    <cellStyle name="Suma 2 21 53" xfId="32170"/>
    <cellStyle name="Suma 2 21 53 2" xfId="32171"/>
    <cellStyle name="Suma 2 21 53 3" xfId="32172"/>
    <cellStyle name="Suma 2 21 54" xfId="32173"/>
    <cellStyle name="Suma 2 21 54 2" xfId="32174"/>
    <cellStyle name="Suma 2 21 54 3" xfId="32175"/>
    <cellStyle name="Suma 2 21 55" xfId="32176"/>
    <cellStyle name="Suma 2 21 55 2" xfId="32177"/>
    <cellStyle name="Suma 2 21 55 3" xfId="32178"/>
    <cellStyle name="Suma 2 21 56" xfId="32179"/>
    <cellStyle name="Suma 2 21 56 2" xfId="32180"/>
    <cellStyle name="Suma 2 21 56 3" xfId="32181"/>
    <cellStyle name="Suma 2 21 57" xfId="32182"/>
    <cellStyle name="Suma 2 21 58" xfId="32183"/>
    <cellStyle name="Suma 2 21 6" xfId="32184"/>
    <cellStyle name="Suma 2 21 6 2" xfId="32185"/>
    <cellStyle name="Suma 2 21 6 3" xfId="32186"/>
    <cellStyle name="Suma 2 21 6 4" xfId="32187"/>
    <cellStyle name="Suma 2 21 7" xfId="32188"/>
    <cellStyle name="Suma 2 21 7 2" xfId="32189"/>
    <cellStyle name="Suma 2 21 7 3" xfId="32190"/>
    <cellStyle name="Suma 2 21 7 4" xfId="32191"/>
    <cellStyle name="Suma 2 21 8" xfId="32192"/>
    <cellStyle name="Suma 2 21 8 2" xfId="32193"/>
    <cellStyle name="Suma 2 21 8 3" xfId="32194"/>
    <cellStyle name="Suma 2 21 8 4" xfId="32195"/>
    <cellStyle name="Suma 2 21 9" xfId="32196"/>
    <cellStyle name="Suma 2 21 9 2" xfId="32197"/>
    <cellStyle name="Suma 2 21 9 3" xfId="32198"/>
    <cellStyle name="Suma 2 21 9 4" xfId="32199"/>
    <cellStyle name="Suma 2 22" xfId="32200"/>
    <cellStyle name="Suma 2 22 10" xfId="32201"/>
    <cellStyle name="Suma 2 22 10 2" xfId="32202"/>
    <cellStyle name="Suma 2 22 10 3" xfId="32203"/>
    <cellStyle name="Suma 2 22 10 4" xfId="32204"/>
    <cellStyle name="Suma 2 22 11" xfId="32205"/>
    <cellStyle name="Suma 2 22 11 2" xfId="32206"/>
    <cellStyle name="Suma 2 22 11 3" xfId="32207"/>
    <cellStyle name="Suma 2 22 11 4" xfId="32208"/>
    <cellStyle name="Suma 2 22 12" xfId="32209"/>
    <cellStyle name="Suma 2 22 12 2" xfId="32210"/>
    <cellStyle name="Suma 2 22 12 3" xfId="32211"/>
    <cellStyle name="Suma 2 22 12 4" xfId="32212"/>
    <cellStyle name="Suma 2 22 13" xfId="32213"/>
    <cellStyle name="Suma 2 22 13 2" xfId="32214"/>
    <cellStyle name="Suma 2 22 13 3" xfId="32215"/>
    <cellStyle name="Suma 2 22 13 4" xfId="32216"/>
    <cellStyle name="Suma 2 22 14" xfId="32217"/>
    <cellStyle name="Suma 2 22 14 2" xfId="32218"/>
    <cellStyle name="Suma 2 22 14 3" xfId="32219"/>
    <cellStyle name="Suma 2 22 14 4" xfId="32220"/>
    <cellStyle name="Suma 2 22 15" xfId="32221"/>
    <cellStyle name="Suma 2 22 15 2" xfId="32222"/>
    <cellStyle name="Suma 2 22 15 3" xfId="32223"/>
    <cellStyle name="Suma 2 22 15 4" xfId="32224"/>
    <cellStyle name="Suma 2 22 16" xfId="32225"/>
    <cellStyle name="Suma 2 22 16 2" xfId="32226"/>
    <cellStyle name="Suma 2 22 16 3" xfId="32227"/>
    <cellStyle name="Suma 2 22 16 4" xfId="32228"/>
    <cellStyle name="Suma 2 22 17" xfId="32229"/>
    <cellStyle name="Suma 2 22 17 2" xfId="32230"/>
    <cellStyle name="Suma 2 22 17 3" xfId="32231"/>
    <cellStyle name="Suma 2 22 17 4" xfId="32232"/>
    <cellStyle name="Suma 2 22 18" xfId="32233"/>
    <cellStyle name="Suma 2 22 18 2" xfId="32234"/>
    <cellStyle name="Suma 2 22 18 3" xfId="32235"/>
    <cellStyle name="Suma 2 22 18 4" xfId="32236"/>
    <cellStyle name="Suma 2 22 19" xfId="32237"/>
    <cellStyle name="Suma 2 22 19 2" xfId="32238"/>
    <cellStyle name="Suma 2 22 19 3" xfId="32239"/>
    <cellStyle name="Suma 2 22 19 4" xfId="32240"/>
    <cellStyle name="Suma 2 22 2" xfId="32241"/>
    <cellStyle name="Suma 2 22 2 2" xfId="32242"/>
    <cellStyle name="Suma 2 22 2 3" xfId="32243"/>
    <cellStyle name="Suma 2 22 2 4" xfId="32244"/>
    <cellStyle name="Suma 2 22 20" xfId="32245"/>
    <cellStyle name="Suma 2 22 20 2" xfId="32246"/>
    <cellStyle name="Suma 2 22 20 3" xfId="32247"/>
    <cellStyle name="Suma 2 22 20 4" xfId="32248"/>
    <cellStyle name="Suma 2 22 21" xfId="32249"/>
    <cellStyle name="Suma 2 22 21 2" xfId="32250"/>
    <cellStyle name="Suma 2 22 21 3" xfId="32251"/>
    <cellStyle name="Suma 2 22 22" xfId="32252"/>
    <cellStyle name="Suma 2 22 22 2" xfId="32253"/>
    <cellStyle name="Suma 2 22 22 3" xfId="32254"/>
    <cellStyle name="Suma 2 22 23" xfId="32255"/>
    <cellStyle name="Suma 2 22 23 2" xfId="32256"/>
    <cellStyle name="Suma 2 22 23 3" xfId="32257"/>
    <cellStyle name="Suma 2 22 24" xfId="32258"/>
    <cellStyle name="Suma 2 22 24 2" xfId="32259"/>
    <cellStyle name="Suma 2 22 24 3" xfId="32260"/>
    <cellStyle name="Suma 2 22 25" xfId="32261"/>
    <cellStyle name="Suma 2 22 25 2" xfId="32262"/>
    <cellStyle name="Suma 2 22 25 3" xfId="32263"/>
    <cellStyle name="Suma 2 22 26" xfId="32264"/>
    <cellStyle name="Suma 2 22 26 2" xfId="32265"/>
    <cellStyle name="Suma 2 22 26 3" xfId="32266"/>
    <cellStyle name="Suma 2 22 27" xfId="32267"/>
    <cellStyle name="Suma 2 22 27 2" xfId="32268"/>
    <cellStyle name="Suma 2 22 27 3" xfId="32269"/>
    <cellStyle name="Suma 2 22 28" xfId="32270"/>
    <cellStyle name="Suma 2 22 28 2" xfId="32271"/>
    <cellStyle name="Suma 2 22 28 3" xfId="32272"/>
    <cellStyle name="Suma 2 22 29" xfId="32273"/>
    <cellStyle name="Suma 2 22 29 2" xfId="32274"/>
    <cellStyle name="Suma 2 22 29 3" xfId="32275"/>
    <cellStyle name="Suma 2 22 3" xfId="32276"/>
    <cellStyle name="Suma 2 22 3 2" xfId="32277"/>
    <cellStyle name="Suma 2 22 3 3" xfId="32278"/>
    <cellStyle name="Suma 2 22 3 4" xfId="32279"/>
    <cellStyle name="Suma 2 22 30" xfId="32280"/>
    <cellStyle name="Suma 2 22 30 2" xfId="32281"/>
    <cellStyle name="Suma 2 22 30 3" xfId="32282"/>
    <cellStyle name="Suma 2 22 31" xfId="32283"/>
    <cellStyle name="Suma 2 22 31 2" xfId="32284"/>
    <cellStyle name="Suma 2 22 31 3" xfId="32285"/>
    <cellStyle name="Suma 2 22 32" xfId="32286"/>
    <cellStyle name="Suma 2 22 32 2" xfId="32287"/>
    <cellStyle name="Suma 2 22 32 3" xfId="32288"/>
    <cellStyle name="Suma 2 22 33" xfId="32289"/>
    <cellStyle name="Suma 2 22 33 2" xfId="32290"/>
    <cellStyle name="Suma 2 22 33 3" xfId="32291"/>
    <cellStyle name="Suma 2 22 34" xfId="32292"/>
    <cellStyle name="Suma 2 22 34 2" xfId="32293"/>
    <cellStyle name="Suma 2 22 34 3" xfId="32294"/>
    <cellStyle name="Suma 2 22 35" xfId="32295"/>
    <cellStyle name="Suma 2 22 35 2" xfId="32296"/>
    <cellStyle name="Suma 2 22 35 3" xfId="32297"/>
    <cellStyle name="Suma 2 22 36" xfId="32298"/>
    <cellStyle name="Suma 2 22 36 2" xfId="32299"/>
    <cellStyle name="Suma 2 22 36 3" xfId="32300"/>
    <cellStyle name="Suma 2 22 37" xfId="32301"/>
    <cellStyle name="Suma 2 22 37 2" xfId="32302"/>
    <cellStyle name="Suma 2 22 37 3" xfId="32303"/>
    <cellStyle name="Suma 2 22 38" xfId="32304"/>
    <cellStyle name="Suma 2 22 38 2" xfId="32305"/>
    <cellStyle name="Suma 2 22 38 3" xfId="32306"/>
    <cellStyle name="Suma 2 22 39" xfId="32307"/>
    <cellStyle name="Suma 2 22 39 2" xfId="32308"/>
    <cellStyle name="Suma 2 22 39 3" xfId="32309"/>
    <cellStyle name="Suma 2 22 4" xfId="32310"/>
    <cellStyle name="Suma 2 22 4 2" xfId="32311"/>
    <cellStyle name="Suma 2 22 4 3" xfId="32312"/>
    <cellStyle name="Suma 2 22 4 4" xfId="32313"/>
    <cellStyle name="Suma 2 22 40" xfId="32314"/>
    <cellStyle name="Suma 2 22 40 2" xfId="32315"/>
    <cellStyle name="Suma 2 22 40 3" xfId="32316"/>
    <cellStyle name="Suma 2 22 41" xfId="32317"/>
    <cellStyle name="Suma 2 22 41 2" xfId="32318"/>
    <cellStyle name="Suma 2 22 41 3" xfId="32319"/>
    <cellStyle name="Suma 2 22 42" xfId="32320"/>
    <cellStyle name="Suma 2 22 42 2" xfId="32321"/>
    <cellStyle name="Suma 2 22 42 3" xfId="32322"/>
    <cellStyle name="Suma 2 22 43" xfId="32323"/>
    <cellStyle name="Suma 2 22 43 2" xfId="32324"/>
    <cellStyle name="Suma 2 22 43 3" xfId="32325"/>
    <cellStyle name="Suma 2 22 44" xfId="32326"/>
    <cellStyle name="Suma 2 22 44 2" xfId="32327"/>
    <cellStyle name="Suma 2 22 44 3" xfId="32328"/>
    <cellStyle name="Suma 2 22 45" xfId="32329"/>
    <cellStyle name="Suma 2 22 45 2" xfId="32330"/>
    <cellStyle name="Suma 2 22 45 3" xfId="32331"/>
    <cellStyle name="Suma 2 22 46" xfId="32332"/>
    <cellStyle name="Suma 2 22 46 2" xfId="32333"/>
    <cellStyle name="Suma 2 22 46 3" xfId="32334"/>
    <cellStyle name="Suma 2 22 47" xfId="32335"/>
    <cellStyle name="Suma 2 22 47 2" xfId="32336"/>
    <cellStyle name="Suma 2 22 47 3" xfId="32337"/>
    <cellStyle name="Suma 2 22 48" xfId="32338"/>
    <cellStyle name="Suma 2 22 48 2" xfId="32339"/>
    <cellStyle name="Suma 2 22 48 3" xfId="32340"/>
    <cellStyle name="Suma 2 22 49" xfId="32341"/>
    <cellStyle name="Suma 2 22 49 2" xfId="32342"/>
    <cellStyle name="Suma 2 22 49 3" xfId="32343"/>
    <cellStyle name="Suma 2 22 5" xfId="32344"/>
    <cellStyle name="Suma 2 22 5 2" xfId="32345"/>
    <cellStyle name="Suma 2 22 5 3" xfId="32346"/>
    <cellStyle name="Suma 2 22 5 4" xfId="32347"/>
    <cellStyle name="Suma 2 22 50" xfId="32348"/>
    <cellStyle name="Suma 2 22 50 2" xfId="32349"/>
    <cellStyle name="Suma 2 22 50 3" xfId="32350"/>
    <cellStyle name="Suma 2 22 51" xfId="32351"/>
    <cellStyle name="Suma 2 22 51 2" xfId="32352"/>
    <cellStyle name="Suma 2 22 51 3" xfId="32353"/>
    <cellStyle name="Suma 2 22 52" xfId="32354"/>
    <cellStyle name="Suma 2 22 52 2" xfId="32355"/>
    <cellStyle name="Suma 2 22 52 3" xfId="32356"/>
    <cellStyle name="Suma 2 22 53" xfId="32357"/>
    <cellStyle name="Suma 2 22 53 2" xfId="32358"/>
    <cellStyle name="Suma 2 22 53 3" xfId="32359"/>
    <cellStyle name="Suma 2 22 54" xfId="32360"/>
    <cellStyle name="Suma 2 22 54 2" xfId="32361"/>
    <cellStyle name="Suma 2 22 54 3" xfId="32362"/>
    <cellStyle name="Suma 2 22 55" xfId="32363"/>
    <cellStyle name="Suma 2 22 55 2" xfId="32364"/>
    <cellStyle name="Suma 2 22 55 3" xfId="32365"/>
    <cellStyle name="Suma 2 22 56" xfId="32366"/>
    <cellStyle name="Suma 2 22 56 2" xfId="32367"/>
    <cellStyle name="Suma 2 22 56 3" xfId="32368"/>
    <cellStyle name="Suma 2 22 57" xfId="32369"/>
    <cellStyle name="Suma 2 22 58" xfId="32370"/>
    <cellStyle name="Suma 2 22 6" xfId="32371"/>
    <cellStyle name="Suma 2 22 6 2" xfId="32372"/>
    <cellStyle name="Suma 2 22 6 3" xfId="32373"/>
    <cellStyle name="Suma 2 22 6 4" xfId="32374"/>
    <cellStyle name="Suma 2 22 7" xfId="32375"/>
    <cellStyle name="Suma 2 22 7 2" xfId="32376"/>
    <cellStyle name="Suma 2 22 7 3" xfId="32377"/>
    <cellStyle name="Suma 2 22 7 4" xfId="32378"/>
    <cellStyle name="Suma 2 22 8" xfId="32379"/>
    <cellStyle name="Suma 2 22 8 2" xfId="32380"/>
    <cellStyle name="Suma 2 22 8 3" xfId="32381"/>
    <cellStyle name="Suma 2 22 8 4" xfId="32382"/>
    <cellStyle name="Suma 2 22 9" xfId="32383"/>
    <cellStyle name="Suma 2 22 9 2" xfId="32384"/>
    <cellStyle name="Suma 2 22 9 3" xfId="32385"/>
    <cellStyle name="Suma 2 22 9 4" xfId="32386"/>
    <cellStyle name="Suma 2 23" xfId="32387"/>
    <cellStyle name="Suma 2 23 10" xfId="32388"/>
    <cellStyle name="Suma 2 23 10 2" xfId="32389"/>
    <cellStyle name="Suma 2 23 10 3" xfId="32390"/>
    <cellStyle name="Suma 2 23 10 4" xfId="32391"/>
    <cellStyle name="Suma 2 23 11" xfId="32392"/>
    <cellStyle name="Suma 2 23 11 2" xfId="32393"/>
    <cellStyle name="Suma 2 23 11 3" xfId="32394"/>
    <cellStyle name="Suma 2 23 11 4" xfId="32395"/>
    <cellStyle name="Suma 2 23 12" xfId="32396"/>
    <cellStyle name="Suma 2 23 12 2" xfId="32397"/>
    <cellStyle name="Suma 2 23 12 3" xfId="32398"/>
    <cellStyle name="Suma 2 23 12 4" xfId="32399"/>
    <cellStyle name="Suma 2 23 13" xfId="32400"/>
    <cellStyle name="Suma 2 23 13 2" xfId="32401"/>
    <cellStyle name="Suma 2 23 13 3" xfId="32402"/>
    <cellStyle name="Suma 2 23 13 4" xfId="32403"/>
    <cellStyle name="Suma 2 23 14" xfId="32404"/>
    <cellStyle name="Suma 2 23 14 2" xfId="32405"/>
    <cellStyle name="Suma 2 23 14 3" xfId="32406"/>
    <cellStyle name="Suma 2 23 14 4" xfId="32407"/>
    <cellStyle name="Suma 2 23 15" xfId="32408"/>
    <cellStyle name="Suma 2 23 15 2" xfId="32409"/>
    <cellStyle name="Suma 2 23 15 3" xfId="32410"/>
    <cellStyle name="Suma 2 23 15 4" xfId="32411"/>
    <cellStyle name="Suma 2 23 16" xfId="32412"/>
    <cellStyle name="Suma 2 23 16 2" xfId="32413"/>
    <cellStyle name="Suma 2 23 16 3" xfId="32414"/>
    <cellStyle name="Suma 2 23 16 4" xfId="32415"/>
    <cellStyle name="Suma 2 23 17" xfId="32416"/>
    <cellStyle name="Suma 2 23 17 2" xfId="32417"/>
    <cellStyle name="Suma 2 23 17 3" xfId="32418"/>
    <cellStyle name="Suma 2 23 17 4" xfId="32419"/>
    <cellStyle name="Suma 2 23 18" xfId="32420"/>
    <cellStyle name="Suma 2 23 18 2" xfId="32421"/>
    <cellStyle name="Suma 2 23 18 3" xfId="32422"/>
    <cellStyle name="Suma 2 23 18 4" xfId="32423"/>
    <cellStyle name="Suma 2 23 19" xfId="32424"/>
    <cellStyle name="Suma 2 23 19 2" xfId="32425"/>
    <cellStyle name="Suma 2 23 19 3" xfId="32426"/>
    <cellStyle name="Suma 2 23 19 4" xfId="32427"/>
    <cellStyle name="Suma 2 23 2" xfId="32428"/>
    <cellStyle name="Suma 2 23 2 2" xfId="32429"/>
    <cellStyle name="Suma 2 23 2 3" xfId="32430"/>
    <cellStyle name="Suma 2 23 2 4" xfId="32431"/>
    <cellStyle name="Suma 2 23 20" xfId="32432"/>
    <cellStyle name="Suma 2 23 20 2" xfId="32433"/>
    <cellStyle name="Suma 2 23 20 3" xfId="32434"/>
    <cellStyle name="Suma 2 23 20 4" xfId="32435"/>
    <cellStyle name="Suma 2 23 21" xfId="32436"/>
    <cellStyle name="Suma 2 23 21 2" xfId="32437"/>
    <cellStyle name="Suma 2 23 21 3" xfId="32438"/>
    <cellStyle name="Suma 2 23 22" xfId="32439"/>
    <cellStyle name="Suma 2 23 22 2" xfId="32440"/>
    <cellStyle name="Suma 2 23 22 3" xfId="32441"/>
    <cellStyle name="Suma 2 23 23" xfId="32442"/>
    <cellStyle name="Suma 2 23 23 2" xfId="32443"/>
    <cellStyle name="Suma 2 23 23 3" xfId="32444"/>
    <cellStyle name="Suma 2 23 24" xfId="32445"/>
    <cellStyle name="Suma 2 23 24 2" xfId="32446"/>
    <cellStyle name="Suma 2 23 24 3" xfId="32447"/>
    <cellStyle name="Suma 2 23 25" xfId="32448"/>
    <cellStyle name="Suma 2 23 25 2" xfId="32449"/>
    <cellStyle name="Suma 2 23 25 3" xfId="32450"/>
    <cellStyle name="Suma 2 23 26" xfId="32451"/>
    <cellStyle name="Suma 2 23 26 2" xfId="32452"/>
    <cellStyle name="Suma 2 23 26 3" xfId="32453"/>
    <cellStyle name="Suma 2 23 27" xfId="32454"/>
    <cellStyle name="Suma 2 23 27 2" xfId="32455"/>
    <cellStyle name="Suma 2 23 27 3" xfId="32456"/>
    <cellStyle name="Suma 2 23 28" xfId="32457"/>
    <cellStyle name="Suma 2 23 28 2" xfId="32458"/>
    <cellStyle name="Suma 2 23 28 3" xfId="32459"/>
    <cellStyle name="Suma 2 23 29" xfId="32460"/>
    <cellStyle name="Suma 2 23 29 2" xfId="32461"/>
    <cellStyle name="Suma 2 23 29 3" xfId="32462"/>
    <cellStyle name="Suma 2 23 3" xfId="32463"/>
    <cellStyle name="Suma 2 23 3 2" xfId="32464"/>
    <cellStyle name="Suma 2 23 3 3" xfId="32465"/>
    <cellStyle name="Suma 2 23 3 4" xfId="32466"/>
    <cellStyle name="Suma 2 23 30" xfId="32467"/>
    <cellStyle name="Suma 2 23 30 2" xfId="32468"/>
    <cellStyle name="Suma 2 23 30 3" xfId="32469"/>
    <cellStyle name="Suma 2 23 31" xfId="32470"/>
    <cellStyle name="Suma 2 23 31 2" xfId="32471"/>
    <cellStyle name="Suma 2 23 31 3" xfId="32472"/>
    <cellStyle name="Suma 2 23 32" xfId="32473"/>
    <cellStyle name="Suma 2 23 32 2" xfId="32474"/>
    <cellStyle name="Suma 2 23 32 3" xfId="32475"/>
    <cellStyle name="Suma 2 23 33" xfId="32476"/>
    <cellStyle name="Suma 2 23 33 2" xfId="32477"/>
    <cellStyle name="Suma 2 23 33 3" xfId="32478"/>
    <cellStyle name="Suma 2 23 34" xfId="32479"/>
    <cellStyle name="Suma 2 23 34 2" xfId="32480"/>
    <cellStyle name="Suma 2 23 34 3" xfId="32481"/>
    <cellStyle name="Suma 2 23 35" xfId="32482"/>
    <cellStyle name="Suma 2 23 35 2" xfId="32483"/>
    <cellStyle name="Suma 2 23 35 3" xfId="32484"/>
    <cellStyle name="Suma 2 23 36" xfId="32485"/>
    <cellStyle name="Suma 2 23 36 2" xfId="32486"/>
    <cellStyle name="Suma 2 23 36 3" xfId="32487"/>
    <cellStyle name="Suma 2 23 37" xfId="32488"/>
    <cellStyle name="Suma 2 23 37 2" xfId="32489"/>
    <cellStyle name="Suma 2 23 37 3" xfId="32490"/>
    <cellStyle name="Suma 2 23 38" xfId="32491"/>
    <cellStyle name="Suma 2 23 38 2" xfId="32492"/>
    <cellStyle name="Suma 2 23 38 3" xfId="32493"/>
    <cellStyle name="Suma 2 23 39" xfId="32494"/>
    <cellStyle name="Suma 2 23 39 2" xfId="32495"/>
    <cellStyle name="Suma 2 23 39 3" xfId="32496"/>
    <cellStyle name="Suma 2 23 4" xfId="32497"/>
    <cellStyle name="Suma 2 23 4 2" xfId="32498"/>
    <cellStyle name="Suma 2 23 4 3" xfId="32499"/>
    <cellStyle name="Suma 2 23 4 4" xfId="32500"/>
    <cellStyle name="Suma 2 23 40" xfId="32501"/>
    <cellStyle name="Suma 2 23 40 2" xfId="32502"/>
    <cellStyle name="Suma 2 23 40 3" xfId="32503"/>
    <cellStyle name="Suma 2 23 41" xfId="32504"/>
    <cellStyle name="Suma 2 23 41 2" xfId="32505"/>
    <cellStyle name="Suma 2 23 41 3" xfId="32506"/>
    <cellStyle name="Suma 2 23 42" xfId="32507"/>
    <cellStyle name="Suma 2 23 42 2" xfId="32508"/>
    <cellStyle name="Suma 2 23 42 3" xfId="32509"/>
    <cellStyle name="Suma 2 23 43" xfId="32510"/>
    <cellStyle name="Suma 2 23 43 2" xfId="32511"/>
    <cellStyle name="Suma 2 23 43 3" xfId="32512"/>
    <cellStyle name="Suma 2 23 44" xfId="32513"/>
    <cellStyle name="Suma 2 23 44 2" xfId="32514"/>
    <cellStyle name="Suma 2 23 44 3" xfId="32515"/>
    <cellStyle name="Suma 2 23 45" xfId="32516"/>
    <cellStyle name="Suma 2 23 45 2" xfId="32517"/>
    <cellStyle name="Suma 2 23 45 3" xfId="32518"/>
    <cellStyle name="Suma 2 23 46" xfId="32519"/>
    <cellStyle name="Suma 2 23 46 2" xfId="32520"/>
    <cellStyle name="Suma 2 23 46 3" xfId="32521"/>
    <cellStyle name="Suma 2 23 47" xfId="32522"/>
    <cellStyle name="Suma 2 23 47 2" xfId="32523"/>
    <cellStyle name="Suma 2 23 47 3" xfId="32524"/>
    <cellStyle name="Suma 2 23 48" xfId="32525"/>
    <cellStyle name="Suma 2 23 48 2" xfId="32526"/>
    <cellStyle name="Suma 2 23 48 3" xfId="32527"/>
    <cellStyle name="Suma 2 23 49" xfId="32528"/>
    <cellStyle name="Suma 2 23 49 2" xfId="32529"/>
    <cellStyle name="Suma 2 23 49 3" xfId="32530"/>
    <cellStyle name="Suma 2 23 5" xfId="32531"/>
    <cellStyle name="Suma 2 23 5 2" xfId="32532"/>
    <cellStyle name="Suma 2 23 5 3" xfId="32533"/>
    <cellStyle name="Suma 2 23 5 4" xfId="32534"/>
    <cellStyle name="Suma 2 23 50" xfId="32535"/>
    <cellStyle name="Suma 2 23 50 2" xfId="32536"/>
    <cellStyle name="Suma 2 23 50 3" xfId="32537"/>
    <cellStyle name="Suma 2 23 51" xfId="32538"/>
    <cellStyle name="Suma 2 23 51 2" xfId="32539"/>
    <cellStyle name="Suma 2 23 51 3" xfId="32540"/>
    <cellStyle name="Suma 2 23 52" xfId="32541"/>
    <cellStyle name="Suma 2 23 52 2" xfId="32542"/>
    <cellStyle name="Suma 2 23 52 3" xfId="32543"/>
    <cellStyle name="Suma 2 23 53" xfId="32544"/>
    <cellStyle name="Suma 2 23 53 2" xfId="32545"/>
    <cellStyle name="Suma 2 23 53 3" xfId="32546"/>
    <cellStyle name="Suma 2 23 54" xfId="32547"/>
    <cellStyle name="Suma 2 23 54 2" xfId="32548"/>
    <cellStyle name="Suma 2 23 54 3" xfId="32549"/>
    <cellStyle name="Suma 2 23 55" xfId="32550"/>
    <cellStyle name="Suma 2 23 55 2" xfId="32551"/>
    <cellStyle name="Suma 2 23 55 3" xfId="32552"/>
    <cellStyle name="Suma 2 23 56" xfId="32553"/>
    <cellStyle name="Suma 2 23 56 2" xfId="32554"/>
    <cellStyle name="Suma 2 23 56 3" xfId="32555"/>
    <cellStyle name="Suma 2 23 57" xfId="32556"/>
    <cellStyle name="Suma 2 23 58" xfId="32557"/>
    <cellStyle name="Suma 2 23 6" xfId="32558"/>
    <cellStyle name="Suma 2 23 6 2" xfId="32559"/>
    <cellStyle name="Suma 2 23 6 3" xfId="32560"/>
    <cellStyle name="Suma 2 23 6 4" xfId="32561"/>
    <cellStyle name="Suma 2 23 7" xfId="32562"/>
    <cellStyle name="Suma 2 23 7 2" xfId="32563"/>
    <cellStyle name="Suma 2 23 7 3" xfId="32564"/>
    <cellStyle name="Suma 2 23 7 4" xfId="32565"/>
    <cellStyle name="Suma 2 23 8" xfId="32566"/>
    <cellStyle name="Suma 2 23 8 2" xfId="32567"/>
    <cellStyle name="Suma 2 23 8 3" xfId="32568"/>
    <cellStyle name="Suma 2 23 8 4" xfId="32569"/>
    <cellStyle name="Suma 2 23 9" xfId="32570"/>
    <cellStyle name="Suma 2 23 9 2" xfId="32571"/>
    <cellStyle name="Suma 2 23 9 3" xfId="32572"/>
    <cellStyle name="Suma 2 23 9 4" xfId="32573"/>
    <cellStyle name="Suma 2 24" xfId="32574"/>
    <cellStyle name="Suma 2 24 10" xfId="32575"/>
    <cellStyle name="Suma 2 24 10 2" xfId="32576"/>
    <cellStyle name="Suma 2 24 10 3" xfId="32577"/>
    <cellStyle name="Suma 2 24 10 4" xfId="32578"/>
    <cellStyle name="Suma 2 24 11" xfId="32579"/>
    <cellStyle name="Suma 2 24 11 2" xfId="32580"/>
    <cellStyle name="Suma 2 24 11 3" xfId="32581"/>
    <cellStyle name="Suma 2 24 11 4" xfId="32582"/>
    <cellStyle name="Suma 2 24 12" xfId="32583"/>
    <cellStyle name="Suma 2 24 12 2" xfId="32584"/>
    <cellStyle name="Suma 2 24 12 3" xfId="32585"/>
    <cellStyle name="Suma 2 24 12 4" xfId="32586"/>
    <cellStyle name="Suma 2 24 13" xfId="32587"/>
    <cellStyle name="Suma 2 24 13 2" xfId="32588"/>
    <cellStyle name="Suma 2 24 13 3" xfId="32589"/>
    <cellStyle name="Suma 2 24 13 4" xfId="32590"/>
    <cellStyle name="Suma 2 24 14" xfId="32591"/>
    <cellStyle name="Suma 2 24 14 2" xfId="32592"/>
    <cellStyle name="Suma 2 24 14 3" xfId="32593"/>
    <cellStyle name="Suma 2 24 14 4" xfId="32594"/>
    <cellStyle name="Suma 2 24 15" xfId="32595"/>
    <cellStyle name="Suma 2 24 15 2" xfId="32596"/>
    <cellStyle name="Suma 2 24 15 3" xfId="32597"/>
    <cellStyle name="Suma 2 24 15 4" xfId="32598"/>
    <cellStyle name="Suma 2 24 16" xfId="32599"/>
    <cellStyle name="Suma 2 24 16 2" xfId="32600"/>
    <cellStyle name="Suma 2 24 16 3" xfId="32601"/>
    <cellStyle name="Suma 2 24 16 4" xfId="32602"/>
    <cellStyle name="Suma 2 24 17" xfId="32603"/>
    <cellStyle name="Suma 2 24 17 2" xfId="32604"/>
    <cellStyle name="Suma 2 24 17 3" xfId="32605"/>
    <cellStyle name="Suma 2 24 17 4" xfId="32606"/>
    <cellStyle name="Suma 2 24 18" xfId="32607"/>
    <cellStyle name="Suma 2 24 18 2" xfId="32608"/>
    <cellStyle name="Suma 2 24 18 3" xfId="32609"/>
    <cellStyle name="Suma 2 24 18 4" xfId="32610"/>
    <cellStyle name="Suma 2 24 19" xfId="32611"/>
    <cellStyle name="Suma 2 24 19 2" xfId="32612"/>
    <cellStyle name="Suma 2 24 19 3" xfId="32613"/>
    <cellStyle name="Suma 2 24 19 4" xfId="32614"/>
    <cellStyle name="Suma 2 24 2" xfId="32615"/>
    <cellStyle name="Suma 2 24 2 2" xfId="32616"/>
    <cellStyle name="Suma 2 24 2 3" xfId="32617"/>
    <cellStyle name="Suma 2 24 2 4" xfId="32618"/>
    <cellStyle name="Suma 2 24 20" xfId="32619"/>
    <cellStyle name="Suma 2 24 20 2" xfId="32620"/>
    <cellStyle name="Suma 2 24 20 3" xfId="32621"/>
    <cellStyle name="Suma 2 24 20 4" xfId="32622"/>
    <cellStyle name="Suma 2 24 21" xfId="32623"/>
    <cellStyle name="Suma 2 24 21 2" xfId="32624"/>
    <cellStyle name="Suma 2 24 21 3" xfId="32625"/>
    <cellStyle name="Suma 2 24 22" xfId="32626"/>
    <cellStyle name="Suma 2 24 22 2" xfId="32627"/>
    <cellStyle name="Suma 2 24 22 3" xfId="32628"/>
    <cellStyle name="Suma 2 24 23" xfId="32629"/>
    <cellStyle name="Suma 2 24 23 2" xfId="32630"/>
    <cellStyle name="Suma 2 24 23 3" xfId="32631"/>
    <cellStyle name="Suma 2 24 24" xfId="32632"/>
    <cellStyle name="Suma 2 24 24 2" xfId="32633"/>
    <cellStyle name="Suma 2 24 24 3" xfId="32634"/>
    <cellStyle name="Suma 2 24 25" xfId="32635"/>
    <cellStyle name="Suma 2 24 25 2" xfId="32636"/>
    <cellStyle name="Suma 2 24 25 3" xfId="32637"/>
    <cellStyle name="Suma 2 24 26" xfId="32638"/>
    <cellStyle name="Suma 2 24 26 2" xfId="32639"/>
    <cellStyle name="Suma 2 24 26 3" xfId="32640"/>
    <cellStyle name="Suma 2 24 27" xfId="32641"/>
    <cellStyle name="Suma 2 24 27 2" xfId="32642"/>
    <cellStyle name="Suma 2 24 27 3" xfId="32643"/>
    <cellStyle name="Suma 2 24 28" xfId="32644"/>
    <cellStyle name="Suma 2 24 28 2" xfId="32645"/>
    <cellStyle name="Suma 2 24 28 3" xfId="32646"/>
    <cellStyle name="Suma 2 24 29" xfId="32647"/>
    <cellStyle name="Suma 2 24 29 2" xfId="32648"/>
    <cellStyle name="Suma 2 24 29 3" xfId="32649"/>
    <cellStyle name="Suma 2 24 3" xfId="32650"/>
    <cellStyle name="Suma 2 24 3 2" xfId="32651"/>
    <cellStyle name="Suma 2 24 3 3" xfId="32652"/>
    <cellStyle name="Suma 2 24 3 4" xfId="32653"/>
    <cellStyle name="Suma 2 24 30" xfId="32654"/>
    <cellStyle name="Suma 2 24 30 2" xfId="32655"/>
    <cellStyle name="Suma 2 24 30 3" xfId="32656"/>
    <cellStyle name="Suma 2 24 31" xfId="32657"/>
    <cellStyle name="Suma 2 24 31 2" xfId="32658"/>
    <cellStyle name="Suma 2 24 31 3" xfId="32659"/>
    <cellStyle name="Suma 2 24 32" xfId="32660"/>
    <cellStyle name="Suma 2 24 32 2" xfId="32661"/>
    <cellStyle name="Suma 2 24 32 3" xfId="32662"/>
    <cellStyle name="Suma 2 24 33" xfId="32663"/>
    <cellStyle name="Suma 2 24 33 2" xfId="32664"/>
    <cellStyle name="Suma 2 24 33 3" xfId="32665"/>
    <cellStyle name="Suma 2 24 34" xfId="32666"/>
    <cellStyle name="Suma 2 24 34 2" xfId="32667"/>
    <cellStyle name="Suma 2 24 34 3" xfId="32668"/>
    <cellStyle name="Suma 2 24 35" xfId="32669"/>
    <cellStyle name="Suma 2 24 35 2" xfId="32670"/>
    <cellStyle name="Suma 2 24 35 3" xfId="32671"/>
    <cellStyle name="Suma 2 24 36" xfId="32672"/>
    <cellStyle name="Suma 2 24 36 2" xfId="32673"/>
    <cellStyle name="Suma 2 24 36 3" xfId="32674"/>
    <cellStyle name="Suma 2 24 37" xfId="32675"/>
    <cellStyle name="Suma 2 24 37 2" xfId="32676"/>
    <cellStyle name="Suma 2 24 37 3" xfId="32677"/>
    <cellStyle name="Suma 2 24 38" xfId="32678"/>
    <cellStyle name="Suma 2 24 38 2" xfId="32679"/>
    <cellStyle name="Suma 2 24 38 3" xfId="32680"/>
    <cellStyle name="Suma 2 24 39" xfId="32681"/>
    <cellStyle name="Suma 2 24 39 2" xfId="32682"/>
    <cellStyle name="Suma 2 24 39 3" xfId="32683"/>
    <cellStyle name="Suma 2 24 4" xfId="32684"/>
    <cellStyle name="Suma 2 24 4 2" xfId="32685"/>
    <cellStyle name="Suma 2 24 4 3" xfId="32686"/>
    <cellStyle name="Suma 2 24 4 4" xfId="32687"/>
    <cellStyle name="Suma 2 24 40" xfId="32688"/>
    <cellStyle name="Suma 2 24 40 2" xfId="32689"/>
    <cellStyle name="Suma 2 24 40 3" xfId="32690"/>
    <cellStyle name="Suma 2 24 41" xfId="32691"/>
    <cellStyle name="Suma 2 24 41 2" xfId="32692"/>
    <cellStyle name="Suma 2 24 41 3" xfId="32693"/>
    <cellStyle name="Suma 2 24 42" xfId="32694"/>
    <cellStyle name="Suma 2 24 42 2" xfId="32695"/>
    <cellStyle name="Suma 2 24 42 3" xfId="32696"/>
    <cellStyle name="Suma 2 24 43" xfId="32697"/>
    <cellStyle name="Suma 2 24 43 2" xfId="32698"/>
    <cellStyle name="Suma 2 24 43 3" xfId="32699"/>
    <cellStyle name="Suma 2 24 44" xfId="32700"/>
    <cellStyle name="Suma 2 24 44 2" xfId="32701"/>
    <cellStyle name="Suma 2 24 44 3" xfId="32702"/>
    <cellStyle name="Suma 2 24 45" xfId="32703"/>
    <cellStyle name="Suma 2 24 45 2" xfId="32704"/>
    <cellStyle name="Suma 2 24 45 3" xfId="32705"/>
    <cellStyle name="Suma 2 24 46" xfId="32706"/>
    <cellStyle name="Suma 2 24 46 2" xfId="32707"/>
    <cellStyle name="Suma 2 24 46 3" xfId="32708"/>
    <cellStyle name="Suma 2 24 47" xfId="32709"/>
    <cellStyle name="Suma 2 24 47 2" xfId="32710"/>
    <cellStyle name="Suma 2 24 47 3" xfId="32711"/>
    <cellStyle name="Suma 2 24 48" xfId="32712"/>
    <cellStyle name="Suma 2 24 48 2" xfId="32713"/>
    <cellStyle name="Suma 2 24 48 3" xfId="32714"/>
    <cellStyle name="Suma 2 24 49" xfId="32715"/>
    <cellStyle name="Suma 2 24 49 2" xfId="32716"/>
    <cellStyle name="Suma 2 24 49 3" xfId="32717"/>
    <cellStyle name="Suma 2 24 5" xfId="32718"/>
    <cellStyle name="Suma 2 24 5 2" xfId="32719"/>
    <cellStyle name="Suma 2 24 5 3" xfId="32720"/>
    <cellStyle name="Suma 2 24 5 4" xfId="32721"/>
    <cellStyle name="Suma 2 24 50" xfId="32722"/>
    <cellStyle name="Suma 2 24 50 2" xfId="32723"/>
    <cellStyle name="Suma 2 24 50 3" xfId="32724"/>
    <cellStyle name="Suma 2 24 51" xfId="32725"/>
    <cellStyle name="Suma 2 24 51 2" xfId="32726"/>
    <cellStyle name="Suma 2 24 51 3" xfId="32727"/>
    <cellStyle name="Suma 2 24 52" xfId="32728"/>
    <cellStyle name="Suma 2 24 52 2" xfId="32729"/>
    <cellStyle name="Suma 2 24 52 3" xfId="32730"/>
    <cellStyle name="Suma 2 24 53" xfId="32731"/>
    <cellStyle name="Suma 2 24 53 2" xfId="32732"/>
    <cellStyle name="Suma 2 24 53 3" xfId="32733"/>
    <cellStyle name="Suma 2 24 54" xfId="32734"/>
    <cellStyle name="Suma 2 24 54 2" xfId="32735"/>
    <cellStyle name="Suma 2 24 54 3" xfId="32736"/>
    <cellStyle name="Suma 2 24 55" xfId="32737"/>
    <cellStyle name="Suma 2 24 55 2" xfId="32738"/>
    <cellStyle name="Suma 2 24 55 3" xfId="32739"/>
    <cellStyle name="Suma 2 24 56" xfId="32740"/>
    <cellStyle name="Suma 2 24 56 2" xfId="32741"/>
    <cellStyle name="Suma 2 24 56 3" xfId="32742"/>
    <cellStyle name="Suma 2 24 57" xfId="32743"/>
    <cellStyle name="Suma 2 24 58" xfId="32744"/>
    <cellStyle name="Suma 2 24 6" xfId="32745"/>
    <cellStyle name="Suma 2 24 6 2" xfId="32746"/>
    <cellStyle name="Suma 2 24 6 3" xfId="32747"/>
    <cellStyle name="Suma 2 24 6 4" xfId="32748"/>
    <cellStyle name="Suma 2 24 7" xfId="32749"/>
    <cellStyle name="Suma 2 24 7 2" xfId="32750"/>
    <cellStyle name="Suma 2 24 7 3" xfId="32751"/>
    <cellStyle name="Suma 2 24 7 4" xfId="32752"/>
    <cellStyle name="Suma 2 24 8" xfId="32753"/>
    <cellStyle name="Suma 2 24 8 2" xfId="32754"/>
    <cellStyle name="Suma 2 24 8 3" xfId="32755"/>
    <cellStyle name="Suma 2 24 8 4" xfId="32756"/>
    <cellStyle name="Suma 2 24 9" xfId="32757"/>
    <cellStyle name="Suma 2 24 9 2" xfId="32758"/>
    <cellStyle name="Suma 2 24 9 3" xfId="32759"/>
    <cellStyle name="Suma 2 24 9 4" xfId="32760"/>
    <cellStyle name="Suma 2 25" xfId="32761"/>
    <cellStyle name="Suma 2 25 10" xfId="32762"/>
    <cellStyle name="Suma 2 25 10 2" xfId="32763"/>
    <cellStyle name="Suma 2 25 10 3" xfId="32764"/>
    <cellStyle name="Suma 2 25 10 4" xfId="32765"/>
    <cellStyle name="Suma 2 25 11" xfId="32766"/>
    <cellStyle name="Suma 2 25 11 2" xfId="32767"/>
    <cellStyle name="Suma 2 25 11 3" xfId="32768"/>
    <cellStyle name="Suma 2 25 11 4" xfId="32769"/>
    <cellStyle name="Suma 2 25 12" xfId="32770"/>
    <cellStyle name="Suma 2 25 12 2" xfId="32771"/>
    <cellStyle name="Suma 2 25 12 3" xfId="32772"/>
    <cellStyle name="Suma 2 25 12 4" xfId="32773"/>
    <cellStyle name="Suma 2 25 13" xfId="32774"/>
    <cellStyle name="Suma 2 25 13 2" xfId="32775"/>
    <cellStyle name="Suma 2 25 13 3" xfId="32776"/>
    <cellStyle name="Suma 2 25 13 4" xfId="32777"/>
    <cellStyle name="Suma 2 25 14" xfId="32778"/>
    <cellStyle name="Suma 2 25 14 2" xfId="32779"/>
    <cellStyle name="Suma 2 25 14 3" xfId="32780"/>
    <cellStyle name="Suma 2 25 14 4" xfId="32781"/>
    <cellStyle name="Suma 2 25 15" xfId="32782"/>
    <cellStyle name="Suma 2 25 15 2" xfId="32783"/>
    <cellStyle name="Suma 2 25 15 3" xfId="32784"/>
    <cellStyle name="Suma 2 25 15 4" xfId="32785"/>
    <cellStyle name="Suma 2 25 16" xfId="32786"/>
    <cellStyle name="Suma 2 25 16 2" xfId="32787"/>
    <cellStyle name="Suma 2 25 16 3" xfId="32788"/>
    <cellStyle name="Suma 2 25 16 4" xfId="32789"/>
    <cellStyle name="Suma 2 25 17" xfId="32790"/>
    <cellStyle name="Suma 2 25 17 2" xfId="32791"/>
    <cellStyle name="Suma 2 25 17 3" xfId="32792"/>
    <cellStyle name="Suma 2 25 17 4" xfId="32793"/>
    <cellStyle name="Suma 2 25 18" xfId="32794"/>
    <cellStyle name="Suma 2 25 18 2" xfId="32795"/>
    <cellStyle name="Suma 2 25 18 3" xfId="32796"/>
    <cellStyle name="Suma 2 25 18 4" xfId="32797"/>
    <cellStyle name="Suma 2 25 19" xfId="32798"/>
    <cellStyle name="Suma 2 25 19 2" xfId="32799"/>
    <cellStyle name="Suma 2 25 19 3" xfId="32800"/>
    <cellStyle name="Suma 2 25 19 4" xfId="32801"/>
    <cellStyle name="Suma 2 25 2" xfId="32802"/>
    <cellStyle name="Suma 2 25 2 2" xfId="32803"/>
    <cellStyle name="Suma 2 25 2 3" xfId="32804"/>
    <cellStyle name="Suma 2 25 2 4" xfId="32805"/>
    <cellStyle name="Suma 2 25 20" xfId="32806"/>
    <cellStyle name="Suma 2 25 20 2" xfId="32807"/>
    <cellStyle name="Suma 2 25 20 3" xfId="32808"/>
    <cellStyle name="Suma 2 25 20 4" xfId="32809"/>
    <cellStyle name="Suma 2 25 21" xfId="32810"/>
    <cellStyle name="Suma 2 25 21 2" xfId="32811"/>
    <cellStyle name="Suma 2 25 21 3" xfId="32812"/>
    <cellStyle name="Suma 2 25 22" xfId="32813"/>
    <cellStyle name="Suma 2 25 22 2" xfId="32814"/>
    <cellStyle name="Suma 2 25 22 3" xfId="32815"/>
    <cellStyle name="Suma 2 25 23" xfId="32816"/>
    <cellStyle name="Suma 2 25 23 2" xfId="32817"/>
    <cellStyle name="Suma 2 25 23 3" xfId="32818"/>
    <cellStyle name="Suma 2 25 24" xfId="32819"/>
    <cellStyle name="Suma 2 25 24 2" xfId="32820"/>
    <cellStyle name="Suma 2 25 24 3" xfId="32821"/>
    <cellStyle name="Suma 2 25 25" xfId="32822"/>
    <cellStyle name="Suma 2 25 25 2" xfId="32823"/>
    <cellStyle name="Suma 2 25 25 3" xfId="32824"/>
    <cellStyle name="Suma 2 25 26" xfId="32825"/>
    <cellStyle name="Suma 2 25 26 2" xfId="32826"/>
    <cellStyle name="Suma 2 25 26 3" xfId="32827"/>
    <cellStyle name="Suma 2 25 27" xfId="32828"/>
    <cellStyle name="Suma 2 25 27 2" xfId="32829"/>
    <cellStyle name="Suma 2 25 27 3" xfId="32830"/>
    <cellStyle name="Suma 2 25 28" xfId="32831"/>
    <cellStyle name="Suma 2 25 28 2" xfId="32832"/>
    <cellStyle name="Suma 2 25 28 3" xfId="32833"/>
    <cellStyle name="Suma 2 25 29" xfId="32834"/>
    <cellStyle name="Suma 2 25 29 2" xfId="32835"/>
    <cellStyle name="Suma 2 25 29 3" xfId="32836"/>
    <cellStyle name="Suma 2 25 3" xfId="32837"/>
    <cellStyle name="Suma 2 25 3 2" xfId="32838"/>
    <cellStyle name="Suma 2 25 3 3" xfId="32839"/>
    <cellStyle name="Suma 2 25 3 4" xfId="32840"/>
    <cellStyle name="Suma 2 25 30" xfId="32841"/>
    <cellStyle name="Suma 2 25 30 2" xfId="32842"/>
    <cellStyle name="Suma 2 25 30 3" xfId="32843"/>
    <cellStyle name="Suma 2 25 31" xfId="32844"/>
    <cellStyle name="Suma 2 25 31 2" xfId="32845"/>
    <cellStyle name="Suma 2 25 31 3" xfId="32846"/>
    <cellStyle name="Suma 2 25 32" xfId="32847"/>
    <cellStyle name="Suma 2 25 32 2" xfId="32848"/>
    <cellStyle name="Suma 2 25 32 3" xfId="32849"/>
    <cellStyle name="Suma 2 25 33" xfId="32850"/>
    <cellStyle name="Suma 2 25 33 2" xfId="32851"/>
    <cellStyle name="Suma 2 25 33 3" xfId="32852"/>
    <cellStyle name="Suma 2 25 34" xfId="32853"/>
    <cellStyle name="Suma 2 25 34 2" xfId="32854"/>
    <cellStyle name="Suma 2 25 34 3" xfId="32855"/>
    <cellStyle name="Suma 2 25 35" xfId="32856"/>
    <cellStyle name="Suma 2 25 35 2" xfId="32857"/>
    <cellStyle name="Suma 2 25 35 3" xfId="32858"/>
    <cellStyle name="Suma 2 25 36" xfId="32859"/>
    <cellStyle name="Suma 2 25 36 2" xfId="32860"/>
    <cellStyle name="Suma 2 25 36 3" xfId="32861"/>
    <cellStyle name="Suma 2 25 37" xfId="32862"/>
    <cellStyle name="Suma 2 25 37 2" xfId="32863"/>
    <cellStyle name="Suma 2 25 37 3" xfId="32864"/>
    <cellStyle name="Suma 2 25 38" xfId="32865"/>
    <cellStyle name="Suma 2 25 38 2" xfId="32866"/>
    <cellStyle name="Suma 2 25 38 3" xfId="32867"/>
    <cellStyle name="Suma 2 25 39" xfId="32868"/>
    <cellStyle name="Suma 2 25 39 2" xfId="32869"/>
    <cellStyle name="Suma 2 25 39 3" xfId="32870"/>
    <cellStyle name="Suma 2 25 4" xfId="32871"/>
    <cellStyle name="Suma 2 25 4 2" xfId="32872"/>
    <cellStyle name="Suma 2 25 4 3" xfId="32873"/>
    <cellStyle name="Suma 2 25 4 4" xfId="32874"/>
    <cellStyle name="Suma 2 25 40" xfId="32875"/>
    <cellStyle name="Suma 2 25 40 2" xfId="32876"/>
    <cellStyle name="Suma 2 25 40 3" xfId="32877"/>
    <cellStyle name="Suma 2 25 41" xfId="32878"/>
    <cellStyle name="Suma 2 25 41 2" xfId="32879"/>
    <cellStyle name="Suma 2 25 41 3" xfId="32880"/>
    <cellStyle name="Suma 2 25 42" xfId="32881"/>
    <cellStyle name="Suma 2 25 42 2" xfId="32882"/>
    <cellStyle name="Suma 2 25 42 3" xfId="32883"/>
    <cellStyle name="Suma 2 25 43" xfId="32884"/>
    <cellStyle name="Suma 2 25 43 2" xfId="32885"/>
    <cellStyle name="Suma 2 25 43 3" xfId="32886"/>
    <cellStyle name="Suma 2 25 44" xfId="32887"/>
    <cellStyle name="Suma 2 25 44 2" xfId="32888"/>
    <cellStyle name="Suma 2 25 44 3" xfId="32889"/>
    <cellStyle name="Suma 2 25 45" xfId="32890"/>
    <cellStyle name="Suma 2 25 45 2" xfId="32891"/>
    <cellStyle name="Suma 2 25 45 3" xfId="32892"/>
    <cellStyle name="Suma 2 25 46" xfId="32893"/>
    <cellStyle name="Suma 2 25 46 2" xfId="32894"/>
    <cellStyle name="Suma 2 25 46 3" xfId="32895"/>
    <cellStyle name="Suma 2 25 47" xfId="32896"/>
    <cellStyle name="Suma 2 25 47 2" xfId="32897"/>
    <cellStyle name="Suma 2 25 47 3" xfId="32898"/>
    <cellStyle name="Suma 2 25 48" xfId="32899"/>
    <cellStyle name="Suma 2 25 48 2" xfId="32900"/>
    <cellStyle name="Suma 2 25 48 3" xfId="32901"/>
    <cellStyle name="Suma 2 25 49" xfId="32902"/>
    <cellStyle name="Suma 2 25 49 2" xfId="32903"/>
    <cellStyle name="Suma 2 25 49 3" xfId="32904"/>
    <cellStyle name="Suma 2 25 5" xfId="32905"/>
    <cellStyle name="Suma 2 25 5 2" xfId="32906"/>
    <cellStyle name="Suma 2 25 5 3" xfId="32907"/>
    <cellStyle name="Suma 2 25 5 4" xfId="32908"/>
    <cellStyle name="Suma 2 25 50" xfId="32909"/>
    <cellStyle name="Suma 2 25 50 2" xfId="32910"/>
    <cellStyle name="Suma 2 25 50 3" xfId="32911"/>
    <cellStyle name="Suma 2 25 51" xfId="32912"/>
    <cellStyle name="Suma 2 25 51 2" xfId="32913"/>
    <cellStyle name="Suma 2 25 51 3" xfId="32914"/>
    <cellStyle name="Suma 2 25 52" xfId="32915"/>
    <cellStyle name="Suma 2 25 52 2" xfId="32916"/>
    <cellStyle name="Suma 2 25 52 3" xfId="32917"/>
    <cellStyle name="Suma 2 25 53" xfId="32918"/>
    <cellStyle name="Suma 2 25 53 2" xfId="32919"/>
    <cellStyle name="Suma 2 25 53 3" xfId="32920"/>
    <cellStyle name="Suma 2 25 54" xfId="32921"/>
    <cellStyle name="Suma 2 25 54 2" xfId="32922"/>
    <cellStyle name="Suma 2 25 54 3" xfId="32923"/>
    <cellStyle name="Suma 2 25 55" xfId="32924"/>
    <cellStyle name="Suma 2 25 55 2" xfId="32925"/>
    <cellStyle name="Suma 2 25 55 3" xfId="32926"/>
    <cellStyle name="Suma 2 25 56" xfId="32927"/>
    <cellStyle name="Suma 2 25 56 2" xfId="32928"/>
    <cellStyle name="Suma 2 25 56 3" xfId="32929"/>
    <cellStyle name="Suma 2 25 57" xfId="32930"/>
    <cellStyle name="Suma 2 25 58" xfId="32931"/>
    <cellStyle name="Suma 2 25 6" xfId="32932"/>
    <cellStyle name="Suma 2 25 6 2" xfId="32933"/>
    <cellStyle name="Suma 2 25 6 3" xfId="32934"/>
    <cellStyle name="Suma 2 25 6 4" xfId="32935"/>
    <cellStyle name="Suma 2 25 7" xfId="32936"/>
    <cellStyle name="Suma 2 25 7 2" xfId="32937"/>
    <cellStyle name="Suma 2 25 7 3" xfId="32938"/>
    <cellStyle name="Suma 2 25 7 4" xfId="32939"/>
    <cellStyle name="Suma 2 25 8" xfId="32940"/>
    <cellStyle name="Suma 2 25 8 2" xfId="32941"/>
    <cellStyle name="Suma 2 25 8 3" xfId="32942"/>
    <cellStyle name="Suma 2 25 8 4" xfId="32943"/>
    <cellStyle name="Suma 2 25 9" xfId="32944"/>
    <cellStyle name="Suma 2 25 9 2" xfId="32945"/>
    <cellStyle name="Suma 2 25 9 3" xfId="32946"/>
    <cellStyle name="Suma 2 25 9 4" xfId="32947"/>
    <cellStyle name="Suma 2 26" xfId="32948"/>
    <cellStyle name="Suma 2 26 10" xfId="32949"/>
    <cellStyle name="Suma 2 26 10 2" xfId="32950"/>
    <cellStyle name="Suma 2 26 10 3" xfId="32951"/>
    <cellStyle name="Suma 2 26 10 4" xfId="32952"/>
    <cellStyle name="Suma 2 26 11" xfId="32953"/>
    <cellStyle name="Suma 2 26 11 2" xfId="32954"/>
    <cellStyle name="Suma 2 26 11 3" xfId="32955"/>
    <cellStyle name="Suma 2 26 11 4" xfId="32956"/>
    <cellStyle name="Suma 2 26 12" xfId="32957"/>
    <cellStyle name="Suma 2 26 12 2" xfId="32958"/>
    <cellStyle name="Suma 2 26 12 3" xfId="32959"/>
    <cellStyle name="Suma 2 26 12 4" xfId="32960"/>
    <cellStyle name="Suma 2 26 13" xfId="32961"/>
    <cellStyle name="Suma 2 26 13 2" xfId="32962"/>
    <cellStyle name="Suma 2 26 13 3" xfId="32963"/>
    <cellStyle name="Suma 2 26 13 4" xfId="32964"/>
    <cellStyle name="Suma 2 26 14" xfId="32965"/>
    <cellStyle name="Suma 2 26 14 2" xfId="32966"/>
    <cellStyle name="Suma 2 26 14 3" xfId="32967"/>
    <cellStyle name="Suma 2 26 14 4" xfId="32968"/>
    <cellStyle name="Suma 2 26 15" xfId="32969"/>
    <cellStyle name="Suma 2 26 15 2" xfId="32970"/>
    <cellStyle name="Suma 2 26 15 3" xfId="32971"/>
    <cellStyle name="Suma 2 26 15 4" xfId="32972"/>
    <cellStyle name="Suma 2 26 16" xfId="32973"/>
    <cellStyle name="Suma 2 26 16 2" xfId="32974"/>
    <cellStyle name="Suma 2 26 16 3" xfId="32975"/>
    <cellStyle name="Suma 2 26 16 4" xfId="32976"/>
    <cellStyle name="Suma 2 26 17" xfId="32977"/>
    <cellStyle name="Suma 2 26 17 2" xfId="32978"/>
    <cellStyle name="Suma 2 26 17 3" xfId="32979"/>
    <cellStyle name="Suma 2 26 17 4" xfId="32980"/>
    <cellStyle name="Suma 2 26 18" xfId="32981"/>
    <cellStyle name="Suma 2 26 18 2" xfId="32982"/>
    <cellStyle name="Suma 2 26 18 3" xfId="32983"/>
    <cellStyle name="Suma 2 26 18 4" xfId="32984"/>
    <cellStyle name="Suma 2 26 19" xfId="32985"/>
    <cellStyle name="Suma 2 26 19 2" xfId="32986"/>
    <cellStyle name="Suma 2 26 19 3" xfId="32987"/>
    <cellStyle name="Suma 2 26 19 4" xfId="32988"/>
    <cellStyle name="Suma 2 26 2" xfId="32989"/>
    <cellStyle name="Suma 2 26 2 2" xfId="32990"/>
    <cellStyle name="Suma 2 26 2 3" xfId="32991"/>
    <cellStyle name="Suma 2 26 2 4" xfId="32992"/>
    <cellStyle name="Suma 2 26 20" xfId="32993"/>
    <cellStyle name="Suma 2 26 20 2" xfId="32994"/>
    <cellStyle name="Suma 2 26 20 3" xfId="32995"/>
    <cellStyle name="Suma 2 26 20 4" xfId="32996"/>
    <cellStyle name="Suma 2 26 21" xfId="32997"/>
    <cellStyle name="Suma 2 26 21 2" xfId="32998"/>
    <cellStyle name="Suma 2 26 21 3" xfId="32999"/>
    <cellStyle name="Suma 2 26 22" xfId="33000"/>
    <cellStyle name="Suma 2 26 22 2" xfId="33001"/>
    <cellStyle name="Suma 2 26 22 3" xfId="33002"/>
    <cellStyle name="Suma 2 26 23" xfId="33003"/>
    <cellStyle name="Suma 2 26 23 2" xfId="33004"/>
    <cellStyle name="Suma 2 26 23 3" xfId="33005"/>
    <cellStyle name="Suma 2 26 24" xfId="33006"/>
    <cellStyle name="Suma 2 26 24 2" xfId="33007"/>
    <cellStyle name="Suma 2 26 24 3" xfId="33008"/>
    <cellStyle name="Suma 2 26 25" xfId="33009"/>
    <cellStyle name="Suma 2 26 25 2" xfId="33010"/>
    <cellStyle name="Suma 2 26 25 3" xfId="33011"/>
    <cellStyle name="Suma 2 26 26" xfId="33012"/>
    <cellStyle name="Suma 2 26 26 2" xfId="33013"/>
    <cellStyle name="Suma 2 26 26 3" xfId="33014"/>
    <cellStyle name="Suma 2 26 27" xfId="33015"/>
    <cellStyle name="Suma 2 26 27 2" xfId="33016"/>
    <cellStyle name="Suma 2 26 27 3" xfId="33017"/>
    <cellStyle name="Suma 2 26 28" xfId="33018"/>
    <cellStyle name="Suma 2 26 28 2" xfId="33019"/>
    <cellStyle name="Suma 2 26 28 3" xfId="33020"/>
    <cellStyle name="Suma 2 26 29" xfId="33021"/>
    <cellStyle name="Suma 2 26 29 2" xfId="33022"/>
    <cellStyle name="Suma 2 26 29 3" xfId="33023"/>
    <cellStyle name="Suma 2 26 3" xfId="33024"/>
    <cellStyle name="Suma 2 26 3 2" xfId="33025"/>
    <cellStyle name="Suma 2 26 3 3" xfId="33026"/>
    <cellStyle name="Suma 2 26 3 4" xfId="33027"/>
    <cellStyle name="Suma 2 26 30" xfId="33028"/>
    <cellStyle name="Suma 2 26 30 2" xfId="33029"/>
    <cellStyle name="Suma 2 26 30 3" xfId="33030"/>
    <cellStyle name="Suma 2 26 31" xfId="33031"/>
    <cellStyle name="Suma 2 26 31 2" xfId="33032"/>
    <cellStyle name="Suma 2 26 31 3" xfId="33033"/>
    <cellStyle name="Suma 2 26 32" xfId="33034"/>
    <cellStyle name="Suma 2 26 32 2" xfId="33035"/>
    <cellStyle name="Suma 2 26 32 3" xfId="33036"/>
    <cellStyle name="Suma 2 26 33" xfId="33037"/>
    <cellStyle name="Suma 2 26 33 2" xfId="33038"/>
    <cellStyle name="Suma 2 26 33 3" xfId="33039"/>
    <cellStyle name="Suma 2 26 34" xfId="33040"/>
    <cellStyle name="Suma 2 26 34 2" xfId="33041"/>
    <cellStyle name="Suma 2 26 34 3" xfId="33042"/>
    <cellStyle name="Suma 2 26 35" xfId="33043"/>
    <cellStyle name="Suma 2 26 35 2" xfId="33044"/>
    <cellStyle name="Suma 2 26 35 3" xfId="33045"/>
    <cellStyle name="Suma 2 26 36" xfId="33046"/>
    <cellStyle name="Suma 2 26 36 2" xfId="33047"/>
    <cellStyle name="Suma 2 26 36 3" xfId="33048"/>
    <cellStyle name="Suma 2 26 37" xfId="33049"/>
    <cellStyle name="Suma 2 26 37 2" xfId="33050"/>
    <cellStyle name="Suma 2 26 37 3" xfId="33051"/>
    <cellStyle name="Suma 2 26 38" xfId="33052"/>
    <cellStyle name="Suma 2 26 38 2" xfId="33053"/>
    <cellStyle name="Suma 2 26 38 3" xfId="33054"/>
    <cellStyle name="Suma 2 26 39" xfId="33055"/>
    <cellStyle name="Suma 2 26 39 2" xfId="33056"/>
    <cellStyle name="Suma 2 26 39 3" xfId="33057"/>
    <cellStyle name="Suma 2 26 4" xfId="33058"/>
    <cellStyle name="Suma 2 26 4 2" xfId="33059"/>
    <cellStyle name="Suma 2 26 4 3" xfId="33060"/>
    <cellStyle name="Suma 2 26 4 4" xfId="33061"/>
    <cellStyle name="Suma 2 26 40" xfId="33062"/>
    <cellStyle name="Suma 2 26 40 2" xfId="33063"/>
    <cellStyle name="Suma 2 26 40 3" xfId="33064"/>
    <cellStyle name="Suma 2 26 41" xfId="33065"/>
    <cellStyle name="Suma 2 26 41 2" xfId="33066"/>
    <cellStyle name="Suma 2 26 41 3" xfId="33067"/>
    <cellStyle name="Suma 2 26 42" xfId="33068"/>
    <cellStyle name="Suma 2 26 42 2" xfId="33069"/>
    <cellStyle name="Suma 2 26 42 3" xfId="33070"/>
    <cellStyle name="Suma 2 26 43" xfId="33071"/>
    <cellStyle name="Suma 2 26 43 2" xfId="33072"/>
    <cellStyle name="Suma 2 26 43 3" xfId="33073"/>
    <cellStyle name="Suma 2 26 44" xfId="33074"/>
    <cellStyle name="Suma 2 26 44 2" xfId="33075"/>
    <cellStyle name="Suma 2 26 44 3" xfId="33076"/>
    <cellStyle name="Suma 2 26 45" xfId="33077"/>
    <cellStyle name="Suma 2 26 45 2" xfId="33078"/>
    <cellStyle name="Suma 2 26 45 3" xfId="33079"/>
    <cellStyle name="Suma 2 26 46" xfId="33080"/>
    <cellStyle name="Suma 2 26 46 2" xfId="33081"/>
    <cellStyle name="Suma 2 26 46 3" xfId="33082"/>
    <cellStyle name="Suma 2 26 47" xfId="33083"/>
    <cellStyle name="Suma 2 26 47 2" xfId="33084"/>
    <cellStyle name="Suma 2 26 47 3" xfId="33085"/>
    <cellStyle name="Suma 2 26 48" xfId="33086"/>
    <cellStyle name="Suma 2 26 48 2" xfId="33087"/>
    <cellStyle name="Suma 2 26 48 3" xfId="33088"/>
    <cellStyle name="Suma 2 26 49" xfId="33089"/>
    <cellStyle name="Suma 2 26 49 2" xfId="33090"/>
    <cellStyle name="Suma 2 26 49 3" xfId="33091"/>
    <cellStyle name="Suma 2 26 5" xfId="33092"/>
    <cellStyle name="Suma 2 26 5 2" xfId="33093"/>
    <cellStyle name="Suma 2 26 5 3" xfId="33094"/>
    <cellStyle name="Suma 2 26 5 4" xfId="33095"/>
    <cellStyle name="Suma 2 26 50" xfId="33096"/>
    <cellStyle name="Suma 2 26 50 2" xfId="33097"/>
    <cellStyle name="Suma 2 26 50 3" xfId="33098"/>
    <cellStyle name="Suma 2 26 51" xfId="33099"/>
    <cellStyle name="Suma 2 26 51 2" xfId="33100"/>
    <cellStyle name="Suma 2 26 51 3" xfId="33101"/>
    <cellStyle name="Suma 2 26 52" xfId="33102"/>
    <cellStyle name="Suma 2 26 52 2" xfId="33103"/>
    <cellStyle name="Suma 2 26 52 3" xfId="33104"/>
    <cellStyle name="Suma 2 26 53" xfId="33105"/>
    <cellStyle name="Suma 2 26 53 2" xfId="33106"/>
    <cellStyle name="Suma 2 26 53 3" xfId="33107"/>
    <cellStyle name="Suma 2 26 54" xfId="33108"/>
    <cellStyle name="Suma 2 26 54 2" xfId="33109"/>
    <cellStyle name="Suma 2 26 54 3" xfId="33110"/>
    <cellStyle name="Suma 2 26 55" xfId="33111"/>
    <cellStyle name="Suma 2 26 55 2" xfId="33112"/>
    <cellStyle name="Suma 2 26 55 3" xfId="33113"/>
    <cellStyle name="Suma 2 26 56" xfId="33114"/>
    <cellStyle name="Suma 2 26 56 2" xfId="33115"/>
    <cellStyle name="Suma 2 26 56 3" xfId="33116"/>
    <cellStyle name="Suma 2 26 57" xfId="33117"/>
    <cellStyle name="Suma 2 26 58" xfId="33118"/>
    <cellStyle name="Suma 2 26 6" xfId="33119"/>
    <cellStyle name="Suma 2 26 6 2" xfId="33120"/>
    <cellStyle name="Suma 2 26 6 3" xfId="33121"/>
    <cellStyle name="Suma 2 26 6 4" xfId="33122"/>
    <cellStyle name="Suma 2 26 7" xfId="33123"/>
    <cellStyle name="Suma 2 26 7 2" xfId="33124"/>
    <cellStyle name="Suma 2 26 7 3" xfId="33125"/>
    <cellStyle name="Suma 2 26 7 4" xfId="33126"/>
    <cellStyle name="Suma 2 26 8" xfId="33127"/>
    <cellStyle name="Suma 2 26 8 2" xfId="33128"/>
    <cellStyle name="Suma 2 26 8 3" xfId="33129"/>
    <cellStyle name="Suma 2 26 8 4" xfId="33130"/>
    <cellStyle name="Suma 2 26 9" xfId="33131"/>
    <cellStyle name="Suma 2 26 9 2" xfId="33132"/>
    <cellStyle name="Suma 2 26 9 3" xfId="33133"/>
    <cellStyle name="Suma 2 26 9 4" xfId="33134"/>
    <cellStyle name="Suma 2 27" xfId="33135"/>
    <cellStyle name="Suma 2 27 10" xfId="33136"/>
    <cellStyle name="Suma 2 27 10 2" xfId="33137"/>
    <cellStyle name="Suma 2 27 10 3" xfId="33138"/>
    <cellStyle name="Suma 2 27 10 4" xfId="33139"/>
    <cellStyle name="Suma 2 27 11" xfId="33140"/>
    <cellStyle name="Suma 2 27 11 2" xfId="33141"/>
    <cellStyle name="Suma 2 27 11 3" xfId="33142"/>
    <cellStyle name="Suma 2 27 11 4" xfId="33143"/>
    <cellStyle name="Suma 2 27 12" xfId="33144"/>
    <cellStyle name="Suma 2 27 12 2" xfId="33145"/>
    <cellStyle name="Suma 2 27 12 3" xfId="33146"/>
    <cellStyle name="Suma 2 27 12 4" xfId="33147"/>
    <cellStyle name="Suma 2 27 13" xfId="33148"/>
    <cellStyle name="Suma 2 27 13 2" xfId="33149"/>
    <cellStyle name="Suma 2 27 13 3" xfId="33150"/>
    <cellStyle name="Suma 2 27 13 4" xfId="33151"/>
    <cellStyle name="Suma 2 27 14" xfId="33152"/>
    <cellStyle name="Suma 2 27 14 2" xfId="33153"/>
    <cellStyle name="Suma 2 27 14 3" xfId="33154"/>
    <cellStyle name="Suma 2 27 14 4" xfId="33155"/>
    <cellStyle name="Suma 2 27 15" xfId="33156"/>
    <cellStyle name="Suma 2 27 15 2" xfId="33157"/>
    <cellStyle name="Suma 2 27 15 3" xfId="33158"/>
    <cellStyle name="Suma 2 27 15 4" xfId="33159"/>
    <cellStyle name="Suma 2 27 16" xfId="33160"/>
    <cellStyle name="Suma 2 27 16 2" xfId="33161"/>
    <cellStyle name="Suma 2 27 16 3" xfId="33162"/>
    <cellStyle name="Suma 2 27 16 4" xfId="33163"/>
    <cellStyle name="Suma 2 27 17" xfId="33164"/>
    <cellStyle name="Suma 2 27 17 2" xfId="33165"/>
    <cellStyle name="Suma 2 27 17 3" xfId="33166"/>
    <cellStyle name="Suma 2 27 17 4" xfId="33167"/>
    <cellStyle name="Suma 2 27 18" xfId="33168"/>
    <cellStyle name="Suma 2 27 18 2" xfId="33169"/>
    <cellStyle name="Suma 2 27 18 3" xfId="33170"/>
    <cellStyle name="Suma 2 27 18 4" xfId="33171"/>
    <cellStyle name="Suma 2 27 19" xfId="33172"/>
    <cellStyle name="Suma 2 27 19 2" xfId="33173"/>
    <cellStyle name="Suma 2 27 19 3" xfId="33174"/>
    <cellStyle name="Suma 2 27 19 4" xfId="33175"/>
    <cellStyle name="Suma 2 27 2" xfId="33176"/>
    <cellStyle name="Suma 2 27 2 2" xfId="33177"/>
    <cellStyle name="Suma 2 27 2 3" xfId="33178"/>
    <cellStyle name="Suma 2 27 2 4" xfId="33179"/>
    <cellStyle name="Suma 2 27 20" xfId="33180"/>
    <cellStyle name="Suma 2 27 20 2" xfId="33181"/>
    <cellStyle name="Suma 2 27 20 3" xfId="33182"/>
    <cellStyle name="Suma 2 27 20 4" xfId="33183"/>
    <cellStyle name="Suma 2 27 21" xfId="33184"/>
    <cellStyle name="Suma 2 27 21 2" xfId="33185"/>
    <cellStyle name="Suma 2 27 21 3" xfId="33186"/>
    <cellStyle name="Suma 2 27 22" xfId="33187"/>
    <cellStyle name="Suma 2 27 22 2" xfId="33188"/>
    <cellStyle name="Suma 2 27 22 3" xfId="33189"/>
    <cellStyle name="Suma 2 27 23" xfId="33190"/>
    <cellStyle name="Suma 2 27 23 2" xfId="33191"/>
    <cellStyle name="Suma 2 27 23 3" xfId="33192"/>
    <cellStyle name="Suma 2 27 24" xfId="33193"/>
    <cellStyle name="Suma 2 27 24 2" xfId="33194"/>
    <cellStyle name="Suma 2 27 24 3" xfId="33195"/>
    <cellStyle name="Suma 2 27 25" xfId="33196"/>
    <cellStyle name="Suma 2 27 25 2" xfId="33197"/>
    <cellStyle name="Suma 2 27 25 3" xfId="33198"/>
    <cellStyle name="Suma 2 27 26" xfId="33199"/>
    <cellStyle name="Suma 2 27 26 2" xfId="33200"/>
    <cellStyle name="Suma 2 27 26 3" xfId="33201"/>
    <cellStyle name="Suma 2 27 27" xfId="33202"/>
    <cellStyle name="Suma 2 27 27 2" xfId="33203"/>
    <cellStyle name="Suma 2 27 27 3" xfId="33204"/>
    <cellStyle name="Suma 2 27 28" xfId="33205"/>
    <cellStyle name="Suma 2 27 28 2" xfId="33206"/>
    <cellStyle name="Suma 2 27 28 3" xfId="33207"/>
    <cellStyle name="Suma 2 27 29" xfId="33208"/>
    <cellStyle name="Suma 2 27 29 2" xfId="33209"/>
    <cellStyle name="Suma 2 27 29 3" xfId="33210"/>
    <cellStyle name="Suma 2 27 3" xfId="33211"/>
    <cellStyle name="Suma 2 27 3 2" xfId="33212"/>
    <cellStyle name="Suma 2 27 3 3" xfId="33213"/>
    <cellStyle name="Suma 2 27 3 4" xfId="33214"/>
    <cellStyle name="Suma 2 27 30" xfId="33215"/>
    <cellStyle name="Suma 2 27 30 2" xfId="33216"/>
    <cellStyle name="Suma 2 27 30 3" xfId="33217"/>
    <cellStyle name="Suma 2 27 31" xfId="33218"/>
    <cellStyle name="Suma 2 27 31 2" xfId="33219"/>
    <cellStyle name="Suma 2 27 31 3" xfId="33220"/>
    <cellStyle name="Suma 2 27 32" xfId="33221"/>
    <cellStyle name="Suma 2 27 32 2" xfId="33222"/>
    <cellStyle name="Suma 2 27 32 3" xfId="33223"/>
    <cellStyle name="Suma 2 27 33" xfId="33224"/>
    <cellStyle name="Suma 2 27 33 2" xfId="33225"/>
    <cellStyle name="Suma 2 27 33 3" xfId="33226"/>
    <cellStyle name="Suma 2 27 34" xfId="33227"/>
    <cellStyle name="Suma 2 27 34 2" xfId="33228"/>
    <cellStyle name="Suma 2 27 34 3" xfId="33229"/>
    <cellStyle name="Suma 2 27 35" xfId="33230"/>
    <cellStyle name="Suma 2 27 35 2" xfId="33231"/>
    <cellStyle name="Suma 2 27 35 3" xfId="33232"/>
    <cellStyle name="Suma 2 27 36" xfId="33233"/>
    <cellStyle name="Suma 2 27 36 2" xfId="33234"/>
    <cellStyle name="Suma 2 27 36 3" xfId="33235"/>
    <cellStyle name="Suma 2 27 37" xfId="33236"/>
    <cellStyle name="Suma 2 27 37 2" xfId="33237"/>
    <cellStyle name="Suma 2 27 37 3" xfId="33238"/>
    <cellStyle name="Suma 2 27 38" xfId="33239"/>
    <cellStyle name="Suma 2 27 38 2" xfId="33240"/>
    <cellStyle name="Suma 2 27 38 3" xfId="33241"/>
    <cellStyle name="Suma 2 27 39" xfId="33242"/>
    <cellStyle name="Suma 2 27 39 2" xfId="33243"/>
    <cellStyle name="Suma 2 27 39 3" xfId="33244"/>
    <cellStyle name="Suma 2 27 4" xfId="33245"/>
    <cellStyle name="Suma 2 27 4 2" xfId="33246"/>
    <cellStyle name="Suma 2 27 4 3" xfId="33247"/>
    <cellStyle name="Suma 2 27 4 4" xfId="33248"/>
    <cellStyle name="Suma 2 27 40" xfId="33249"/>
    <cellStyle name="Suma 2 27 40 2" xfId="33250"/>
    <cellStyle name="Suma 2 27 40 3" xfId="33251"/>
    <cellStyle name="Suma 2 27 41" xfId="33252"/>
    <cellStyle name="Suma 2 27 41 2" xfId="33253"/>
    <cellStyle name="Suma 2 27 41 3" xfId="33254"/>
    <cellStyle name="Suma 2 27 42" xfId="33255"/>
    <cellStyle name="Suma 2 27 42 2" xfId="33256"/>
    <cellStyle name="Suma 2 27 42 3" xfId="33257"/>
    <cellStyle name="Suma 2 27 43" xfId="33258"/>
    <cellStyle name="Suma 2 27 43 2" xfId="33259"/>
    <cellStyle name="Suma 2 27 43 3" xfId="33260"/>
    <cellStyle name="Suma 2 27 44" xfId="33261"/>
    <cellStyle name="Suma 2 27 44 2" xfId="33262"/>
    <cellStyle name="Suma 2 27 44 3" xfId="33263"/>
    <cellStyle name="Suma 2 27 45" xfId="33264"/>
    <cellStyle name="Suma 2 27 45 2" xfId="33265"/>
    <cellStyle name="Suma 2 27 45 3" xfId="33266"/>
    <cellStyle name="Suma 2 27 46" xfId="33267"/>
    <cellStyle name="Suma 2 27 46 2" xfId="33268"/>
    <cellStyle name="Suma 2 27 46 3" xfId="33269"/>
    <cellStyle name="Suma 2 27 47" xfId="33270"/>
    <cellStyle name="Suma 2 27 47 2" xfId="33271"/>
    <cellStyle name="Suma 2 27 47 3" xfId="33272"/>
    <cellStyle name="Suma 2 27 48" xfId="33273"/>
    <cellStyle name="Suma 2 27 48 2" xfId="33274"/>
    <cellStyle name="Suma 2 27 48 3" xfId="33275"/>
    <cellStyle name="Suma 2 27 49" xfId="33276"/>
    <cellStyle name="Suma 2 27 49 2" xfId="33277"/>
    <cellStyle name="Suma 2 27 49 3" xfId="33278"/>
    <cellStyle name="Suma 2 27 5" xfId="33279"/>
    <cellStyle name="Suma 2 27 5 2" xfId="33280"/>
    <cellStyle name="Suma 2 27 5 3" xfId="33281"/>
    <cellStyle name="Suma 2 27 5 4" xfId="33282"/>
    <cellStyle name="Suma 2 27 50" xfId="33283"/>
    <cellStyle name="Suma 2 27 50 2" xfId="33284"/>
    <cellStyle name="Suma 2 27 50 3" xfId="33285"/>
    <cellStyle name="Suma 2 27 51" xfId="33286"/>
    <cellStyle name="Suma 2 27 51 2" xfId="33287"/>
    <cellStyle name="Suma 2 27 51 3" xfId="33288"/>
    <cellStyle name="Suma 2 27 52" xfId="33289"/>
    <cellStyle name="Suma 2 27 52 2" xfId="33290"/>
    <cellStyle name="Suma 2 27 52 3" xfId="33291"/>
    <cellStyle name="Suma 2 27 53" xfId="33292"/>
    <cellStyle name="Suma 2 27 53 2" xfId="33293"/>
    <cellStyle name="Suma 2 27 53 3" xfId="33294"/>
    <cellStyle name="Suma 2 27 54" xfId="33295"/>
    <cellStyle name="Suma 2 27 54 2" xfId="33296"/>
    <cellStyle name="Suma 2 27 54 3" xfId="33297"/>
    <cellStyle name="Suma 2 27 55" xfId="33298"/>
    <cellStyle name="Suma 2 27 55 2" xfId="33299"/>
    <cellStyle name="Suma 2 27 55 3" xfId="33300"/>
    <cellStyle name="Suma 2 27 56" xfId="33301"/>
    <cellStyle name="Suma 2 27 56 2" xfId="33302"/>
    <cellStyle name="Suma 2 27 56 3" xfId="33303"/>
    <cellStyle name="Suma 2 27 57" xfId="33304"/>
    <cellStyle name="Suma 2 27 58" xfId="33305"/>
    <cellStyle name="Suma 2 27 6" xfId="33306"/>
    <cellStyle name="Suma 2 27 6 2" xfId="33307"/>
    <cellStyle name="Suma 2 27 6 3" xfId="33308"/>
    <cellStyle name="Suma 2 27 6 4" xfId="33309"/>
    <cellStyle name="Suma 2 27 7" xfId="33310"/>
    <cellStyle name="Suma 2 27 7 2" xfId="33311"/>
    <cellStyle name="Suma 2 27 7 3" xfId="33312"/>
    <cellStyle name="Suma 2 27 7 4" xfId="33313"/>
    <cellStyle name="Suma 2 27 8" xfId="33314"/>
    <cellStyle name="Suma 2 27 8 2" xfId="33315"/>
    <cellStyle name="Suma 2 27 8 3" xfId="33316"/>
    <cellStyle name="Suma 2 27 8 4" xfId="33317"/>
    <cellStyle name="Suma 2 27 9" xfId="33318"/>
    <cellStyle name="Suma 2 27 9 2" xfId="33319"/>
    <cellStyle name="Suma 2 27 9 3" xfId="33320"/>
    <cellStyle name="Suma 2 27 9 4" xfId="33321"/>
    <cellStyle name="Suma 2 28" xfId="33322"/>
    <cellStyle name="Suma 2 28 10" xfId="33323"/>
    <cellStyle name="Suma 2 28 10 2" xfId="33324"/>
    <cellStyle name="Suma 2 28 10 3" xfId="33325"/>
    <cellStyle name="Suma 2 28 10 4" xfId="33326"/>
    <cellStyle name="Suma 2 28 11" xfId="33327"/>
    <cellStyle name="Suma 2 28 11 2" xfId="33328"/>
    <cellStyle name="Suma 2 28 11 3" xfId="33329"/>
    <cellStyle name="Suma 2 28 11 4" xfId="33330"/>
    <cellStyle name="Suma 2 28 12" xfId="33331"/>
    <cellStyle name="Suma 2 28 12 2" xfId="33332"/>
    <cellStyle name="Suma 2 28 12 3" xfId="33333"/>
    <cellStyle name="Suma 2 28 12 4" xfId="33334"/>
    <cellStyle name="Suma 2 28 13" xfId="33335"/>
    <cellStyle name="Suma 2 28 13 2" xfId="33336"/>
    <cellStyle name="Suma 2 28 13 3" xfId="33337"/>
    <cellStyle name="Suma 2 28 13 4" xfId="33338"/>
    <cellStyle name="Suma 2 28 14" xfId="33339"/>
    <cellStyle name="Suma 2 28 14 2" xfId="33340"/>
    <cellStyle name="Suma 2 28 14 3" xfId="33341"/>
    <cellStyle name="Suma 2 28 14 4" xfId="33342"/>
    <cellStyle name="Suma 2 28 15" xfId="33343"/>
    <cellStyle name="Suma 2 28 15 2" xfId="33344"/>
    <cellStyle name="Suma 2 28 15 3" xfId="33345"/>
    <cellStyle name="Suma 2 28 15 4" xfId="33346"/>
    <cellStyle name="Suma 2 28 16" xfId="33347"/>
    <cellStyle name="Suma 2 28 16 2" xfId="33348"/>
    <cellStyle name="Suma 2 28 16 3" xfId="33349"/>
    <cellStyle name="Suma 2 28 16 4" xfId="33350"/>
    <cellStyle name="Suma 2 28 17" xfId="33351"/>
    <cellStyle name="Suma 2 28 17 2" xfId="33352"/>
    <cellStyle name="Suma 2 28 17 3" xfId="33353"/>
    <cellStyle name="Suma 2 28 17 4" xfId="33354"/>
    <cellStyle name="Suma 2 28 18" xfId="33355"/>
    <cellStyle name="Suma 2 28 18 2" xfId="33356"/>
    <cellStyle name="Suma 2 28 18 3" xfId="33357"/>
    <cellStyle name="Suma 2 28 18 4" xfId="33358"/>
    <cellStyle name="Suma 2 28 19" xfId="33359"/>
    <cellStyle name="Suma 2 28 19 2" xfId="33360"/>
    <cellStyle name="Suma 2 28 19 3" xfId="33361"/>
    <cellStyle name="Suma 2 28 19 4" xfId="33362"/>
    <cellStyle name="Suma 2 28 2" xfId="33363"/>
    <cellStyle name="Suma 2 28 2 2" xfId="33364"/>
    <cellStyle name="Suma 2 28 2 3" xfId="33365"/>
    <cellStyle name="Suma 2 28 2 4" xfId="33366"/>
    <cellStyle name="Suma 2 28 20" xfId="33367"/>
    <cellStyle name="Suma 2 28 20 2" xfId="33368"/>
    <cellStyle name="Suma 2 28 20 3" xfId="33369"/>
    <cellStyle name="Suma 2 28 20 4" xfId="33370"/>
    <cellStyle name="Suma 2 28 21" xfId="33371"/>
    <cellStyle name="Suma 2 28 21 2" xfId="33372"/>
    <cellStyle name="Suma 2 28 21 3" xfId="33373"/>
    <cellStyle name="Suma 2 28 22" xfId="33374"/>
    <cellStyle name="Suma 2 28 22 2" xfId="33375"/>
    <cellStyle name="Suma 2 28 22 3" xfId="33376"/>
    <cellStyle name="Suma 2 28 23" xfId="33377"/>
    <cellStyle name="Suma 2 28 23 2" xfId="33378"/>
    <cellStyle name="Suma 2 28 23 3" xfId="33379"/>
    <cellStyle name="Suma 2 28 24" xfId="33380"/>
    <cellStyle name="Suma 2 28 24 2" xfId="33381"/>
    <cellStyle name="Suma 2 28 24 3" xfId="33382"/>
    <cellStyle name="Suma 2 28 25" xfId="33383"/>
    <cellStyle name="Suma 2 28 25 2" xfId="33384"/>
    <cellStyle name="Suma 2 28 25 3" xfId="33385"/>
    <cellStyle name="Suma 2 28 26" xfId="33386"/>
    <cellStyle name="Suma 2 28 26 2" xfId="33387"/>
    <cellStyle name="Suma 2 28 26 3" xfId="33388"/>
    <cellStyle name="Suma 2 28 27" xfId="33389"/>
    <cellStyle name="Suma 2 28 27 2" xfId="33390"/>
    <cellStyle name="Suma 2 28 27 3" xfId="33391"/>
    <cellStyle name="Suma 2 28 28" xfId="33392"/>
    <cellStyle name="Suma 2 28 28 2" xfId="33393"/>
    <cellStyle name="Suma 2 28 28 3" xfId="33394"/>
    <cellStyle name="Suma 2 28 29" xfId="33395"/>
    <cellStyle name="Suma 2 28 29 2" xfId="33396"/>
    <cellStyle name="Suma 2 28 29 3" xfId="33397"/>
    <cellStyle name="Suma 2 28 3" xfId="33398"/>
    <cellStyle name="Suma 2 28 3 2" xfId="33399"/>
    <cellStyle name="Suma 2 28 3 3" xfId="33400"/>
    <cellStyle name="Suma 2 28 3 4" xfId="33401"/>
    <cellStyle name="Suma 2 28 30" xfId="33402"/>
    <cellStyle name="Suma 2 28 30 2" xfId="33403"/>
    <cellStyle name="Suma 2 28 30 3" xfId="33404"/>
    <cellStyle name="Suma 2 28 31" xfId="33405"/>
    <cellStyle name="Suma 2 28 31 2" xfId="33406"/>
    <cellStyle name="Suma 2 28 31 3" xfId="33407"/>
    <cellStyle name="Suma 2 28 32" xfId="33408"/>
    <cellStyle name="Suma 2 28 32 2" xfId="33409"/>
    <cellStyle name="Suma 2 28 32 3" xfId="33410"/>
    <cellStyle name="Suma 2 28 33" xfId="33411"/>
    <cellStyle name="Suma 2 28 33 2" xfId="33412"/>
    <cellStyle name="Suma 2 28 33 3" xfId="33413"/>
    <cellStyle name="Suma 2 28 34" xfId="33414"/>
    <cellStyle name="Suma 2 28 34 2" xfId="33415"/>
    <cellStyle name="Suma 2 28 34 3" xfId="33416"/>
    <cellStyle name="Suma 2 28 35" xfId="33417"/>
    <cellStyle name="Suma 2 28 35 2" xfId="33418"/>
    <cellStyle name="Suma 2 28 35 3" xfId="33419"/>
    <cellStyle name="Suma 2 28 36" xfId="33420"/>
    <cellStyle name="Suma 2 28 36 2" xfId="33421"/>
    <cellStyle name="Suma 2 28 36 3" xfId="33422"/>
    <cellStyle name="Suma 2 28 37" xfId="33423"/>
    <cellStyle name="Suma 2 28 37 2" xfId="33424"/>
    <cellStyle name="Suma 2 28 37 3" xfId="33425"/>
    <cellStyle name="Suma 2 28 38" xfId="33426"/>
    <cellStyle name="Suma 2 28 38 2" xfId="33427"/>
    <cellStyle name="Suma 2 28 38 3" xfId="33428"/>
    <cellStyle name="Suma 2 28 39" xfId="33429"/>
    <cellStyle name="Suma 2 28 39 2" xfId="33430"/>
    <cellStyle name="Suma 2 28 39 3" xfId="33431"/>
    <cellStyle name="Suma 2 28 4" xfId="33432"/>
    <cellStyle name="Suma 2 28 4 2" xfId="33433"/>
    <cellStyle name="Suma 2 28 4 3" xfId="33434"/>
    <cellStyle name="Suma 2 28 4 4" xfId="33435"/>
    <cellStyle name="Suma 2 28 40" xfId="33436"/>
    <cellStyle name="Suma 2 28 40 2" xfId="33437"/>
    <cellStyle name="Suma 2 28 40 3" xfId="33438"/>
    <cellStyle name="Suma 2 28 41" xfId="33439"/>
    <cellStyle name="Suma 2 28 41 2" xfId="33440"/>
    <cellStyle name="Suma 2 28 41 3" xfId="33441"/>
    <cellStyle name="Suma 2 28 42" xfId="33442"/>
    <cellStyle name="Suma 2 28 42 2" xfId="33443"/>
    <cellStyle name="Suma 2 28 42 3" xfId="33444"/>
    <cellStyle name="Suma 2 28 43" xfId="33445"/>
    <cellStyle name="Suma 2 28 43 2" xfId="33446"/>
    <cellStyle name="Suma 2 28 43 3" xfId="33447"/>
    <cellStyle name="Suma 2 28 44" xfId="33448"/>
    <cellStyle name="Suma 2 28 44 2" xfId="33449"/>
    <cellStyle name="Suma 2 28 44 3" xfId="33450"/>
    <cellStyle name="Suma 2 28 45" xfId="33451"/>
    <cellStyle name="Suma 2 28 45 2" xfId="33452"/>
    <cellStyle name="Suma 2 28 45 3" xfId="33453"/>
    <cellStyle name="Suma 2 28 46" xfId="33454"/>
    <cellStyle name="Suma 2 28 46 2" xfId="33455"/>
    <cellStyle name="Suma 2 28 46 3" xfId="33456"/>
    <cellStyle name="Suma 2 28 47" xfId="33457"/>
    <cellStyle name="Suma 2 28 47 2" xfId="33458"/>
    <cellStyle name="Suma 2 28 47 3" xfId="33459"/>
    <cellStyle name="Suma 2 28 48" xfId="33460"/>
    <cellStyle name="Suma 2 28 48 2" xfId="33461"/>
    <cellStyle name="Suma 2 28 48 3" xfId="33462"/>
    <cellStyle name="Suma 2 28 49" xfId="33463"/>
    <cellStyle name="Suma 2 28 49 2" xfId="33464"/>
    <cellStyle name="Suma 2 28 49 3" xfId="33465"/>
    <cellStyle name="Suma 2 28 5" xfId="33466"/>
    <cellStyle name="Suma 2 28 5 2" xfId="33467"/>
    <cellStyle name="Suma 2 28 5 3" xfId="33468"/>
    <cellStyle name="Suma 2 28 5 4" xfId="33469"/>
    <cellStyle name="Suma 2 28 50" xfId="33470"/>
    <cellStyle name="Suma 2 28 50 2" xfId="33471"/>
    <cellStyle name="Suma 2 28 50 3" xfId="33472"/>
    <cellStyle name="Suma 2 28 51" xfId="33473"/>
    <cellStyle name="Suma 2 28 51 2" xfId="33474"/>
    <cellStyle name="Suma 2 28 51 3" xfId="33475"/>
    <cellStyle name="Suma 2 28 52" xfId="33476"/>
    <cellStyle name="Suma 2 28 52 2" xfId="33477"/>
    <cellStyle name="Suma 2 28 52 3" xfId="33478"/>
    <cellStyle name="Suma 2 28 53" xfId="33479"/>
    <cellStyle name="Suma 2 28 53 2" xfId="33480"/>
    <cellStyle name="Suma 2 28 53 3" xfId="33481"/>
    <cellStyle name="Suma 2 28 54" xfId="33482"/>
    <cellStyle name="Suma 2 28 54 2" xfId="33483"/>
    <cellStyle name="Suma 2 28 54 3" xfId="33484"/>
    <cellStyle name="Suma 2 28 55" xfId="33485"/>
    <cellStyle name="Suma 2 28 55 2" xfId="33486"/>
    <cellStyle name="Suma 2 28 55 3" xfId="33487"/>
    <cellStyle name="Suma 2 28 56" xfId="33488"/>
    <cellStyle name="Suma 2 28 56 2" xfId="33489"/>
    <cellStyle name="Suma 2 28 56 3" xfId="33490"/>
    <cellStyle name="Suma 2 28 57" xfId="33491"/>
    <cellStyle name="Suma 2 28 58" xfId="33492"/>
    <cellStyle name="Suma 2 28 6" xfId="33493"/>
    <cellStyle name="Suma 2 28 6 2" xfId="33494"/>
    <cellStyle name="Suma 2 28 6 3" xfId="33495"/>
    <cellStyle name="Suma 2 28 6 4" xfId="33496"/>
    <cellStyle name="Suma 2 28 7" xfId="33497"/>
    <cellStyle name="Suma 2 28 7 2" xfId="33498"/>
    <cellStyle name="Suma 2 28 7 3" xfId="33499"/>
    <cellStyle name="Suma 2 28 7 4" xfId="33500"/>
    <cellStyle name="Suma 2 28 8" xfId="33501"/>
    <cellStyle name="Suma 2 28 8 2" xfId="33502"/>
    <cellStyle name="Suma 2 28 8 3" xfId="33503"/>
    <cellStyle name="Suma 2 28 8 4" xfId="33504"/>
    <cellStyle name="Suma 2 28 9" xfId="33505"/>
    <cellStyle name="Suma 2 28 9 2" xfId="33506"/>
    <cellStyle name="Suma 2 28 9 3" xfId="33507"/>
    <cellStyle name="Suma 2 28 9 4" xfId="33508"/>
    <cellStyle name="Suma 2 29" xfId="33509"/>
    <cellStyle name="Suma 2 29 2" xfId="33510"/>
    <cellStyle name="Suma 2 29 3" xfId="33511"/>
    <cellStyle name="Suma 2 29 4" xfId="33512"/>
    <cellStyle name="Suma 2 3" xfId="33513"/>
    <cellStyle name="Suma 2 3 10" xfId="33514"/>
    <cellStyle name="Suma 2 3 10 2" xfId="33515"/>
    <cellStyle name="Suma 2 3 10 3" xfId="33516"/>
    <cellStyle name="Suma 2 3 10 4" xfId="33517"/>
    <cellStyle name="Suma 2 3 11" xfId="33518"/>
    <cellStyle name="Suma 2 3 11 2" xfId="33519"/>
    <cellStyle name="Suma 2 3 11 3" xfId="33520"/>
    <cellStyle name="Suma 2 3 11 4" xfId="33521"/>
    <cellStyle name="Suma 2 3 12" xfId="33522"/>
    <cellStyle name="Suma 2 3 12 2" xfId="33523"/>
    <cellStyle name="Suma 2 3 12 3" xfId="33524"/>
    <cellStyle name="Suma 2 3 12 4" xfId="33525"/>
    <cellStyle name="Suma 2 3 13" xfId="33526"/>
    <cellStyle name="Suma 2 3 13 2" xfId="33527"/>
    <cellStyle name="Suma 2 3 13 3" xfId="33528"/>
    <cellStyle name="Suma 2 3 13 4" xfId="33529"/>
    <cellStyle name="Suma 2 3 14" xfId="33530"/>
    <cellStyle name="Suma 2 3 14 2" xfId="33531"/>
    <cellStyle name="Suma 2 3 14 3" xfId="33532"/>
    <cellStyle name="Suma 2 3 14 4" xfId="33533"/>
    <cellStyle name="Suma 2 3 15" xfId="33534"/>
    <cellStyle name="Suma 2 3 15 2" xfId="33535"/>
    <cellStyle name="Suma 2 3 15 3" xfId="33536"/>
    <cellStyle name="Suma 2 3 15 4" xfId="33537"/>
    <cellStyle name="Suma 2 3 16" xfId="33538"/>
    <cellStyle name="Suma 2 3 16 2" xfId="33539"/>
    <cellStyle name="Suma 2 3 16 3" xfId="33540"/>
    <cellStyle name="Suma 2 3 16 4" xfId="33541"/>
    <cellStyle name="Suma 2 3 17" xfId="33542"/>
    <cellStyle name="Suma 2 3 17 2" xfId="33543"/>
    <cellStyle name="Suma 2 3 17 3" xfId="33544"/>
    <cellStyle name="Suma 2 3 17 4" xfId="33545"/>
    <cellStyle name="Suma 2 3 18" xfId="33546"/>
    <cellStyle name="Suma 2 3 18 2" xfId="33547"/>
    <cellStyle name="Suma 2 3 18 3" xfId="33548"/>
    <cellStyle name="Suma 2 3 18 4" xfId="33549"/>
    <cellStyle name="Suma 2 3 19" xfId="33550"/>
    <cellStyle name="Suma 2 3 19 2" xfId="33551"/>
    <cellStyle name="Suma 2 3 19 3" xfId="33552"/>
    <cellStyle name="Suma 2 3 19 4" xfId="33553"/>
    <cellStyle name="Suma 2 3 2" xfId="33554"/>
    <cellStyle name="Suma 2 3 2 2" xfId="33555"/>
    <cellStyle name="Suma 2 3 2 3" xfId="33556"/>
    <cellStyle name="Suma 2 3 2 4" xfId="33557"/>
    <cellStyle name="Suma 2 3 20" xfId="33558"/>
    <cellStyle name="Suma 2 3 20 2" xfId="33559"/>
    <cellStyle name="Suma 2 3 20 3" xfId="33560"/>
    <cellStyle name="Suma 2 3 20 4" xfId="33561"/>
    <cellStyle name="Suma 2 3 21" xfId="33562"/>
    <cellStyle name="Suma 2 3 21 2" xfId="33563"/>
    <cellStyle name="Suma 2 3 21 3" xfId="33564"/>
    <cellStyle name="Suma 2 3 22" xfId="33565"/>
    <cellStyle name="Suma 2 3 22 2" xfId="33566"/>
    <cellStyle name="Suma 2 3 22 3" xfId="33567"/>
    <cellStyle name="Suma 2 3 23" xfId="33568"/>
    <cellStyle name="Suma 2 3 23 2" xfId="33569"/>
    <cellStyle name="Suma 2 3 23 3" xfId="33570"/>
    <cellStyle name="Suma 2 3 24" xfId="33571"/>
    <cellStyle name="Suma 2 3 24 2" xfId="33572"/>
    <cellStyle name="Suma 2 3 24 3" xfId="33573"/>
    <cellStyle name="Suma 2 3 25" xfId="33574"/>
    <cellStyle name="Suma 2 3 25 2" xfId="33575"/>
    <cellStyle name="Suma 2 3 25 3" xfId="33576"/>
    <cellStyle name="Suma 2 3 26" xfId="33577"/>
    <cellStyle name="Suma 2 3 26 2" xfId="33578"/>
    <cellStyle name="Suma 2 3 26 3" xfId="33579"/>
    <cellStyle name="Suma 2 3 27" xfId="33580"/>
    <cellStyle name="Suma 2 3 27 2" xfId="33581"/>
    <cellStyle name="Suma 2 3 27 3" xfId="33582"/>
    <cellStyle name="Suma 2 3 28" xfId="33583"/>
    <cellStyle name="Suma 2 3 28 2" xfId="33584"/>
    <cellStyle name="Suma 2 3 28 3" xfId="33585"/>
    <cellStyle name="Suma 2 3 29" xfId="33586"/>
    <cellStyle name="Suma 2 3 29 2" xfId="33587"/>
    <cellStyle name="Suma 2 3 29 3" xfId="33588"/>
    <cellStyle name="Suma 2 3 3" xfId="33589"/>
    <cellStyle name="Suma 2 3 3 2" xfId="33590"/>
    <cellStyle name="Suma 2 3 3 3" xfId="33591"/>
    <cellStyle name="Suma 2 3 3 4" xfId="33592"/>
    <cellStyle name="Suma 2 3 30" xfId="33593"/>
    <cellStyle name="Suma 2 3 30 2" xfId="33594"/>
    <cellStyle name="Suma 2 3 30 3" xfId="33595"/>
    <cellStyle name="Suma 2 3 31" xfId="33596"/>
    <cellStyle name="Suma 2 3 31 2" xfId="33597"/>
    <cellStyle name="Suma 2 3 31 3" xfId="33598"/>
    <cellStyle name="Suma 2 3 32" xfId="33599"/>
    <cellStyle name="Suma 2 3 32 2" xfId="33600"/>
    <cellStyle name="Suma 2 3 32 3" xfId="33601"/>
    <cellStyle name="Suma 2 3 33" xfId="33602"/>
    <cellStyle name="Suma 2 3 33 2" xfId="33603"/>
    <cellStyle name="Suma 2 3 33 3" xfId="33604"/>
    <cellStyle name="Suma 2 3 34" xfId="33605"/>
    <cellStyle name="Suma 2 3 34 2" xfId="33606"/>
    <cellStyle name="Suma 2 3 34 3" xfId="33607"/>
    <cellStyle name="Suma 2 3 35" xfId="33608"/>
    <cellStyle name="Suma 2 3 35 2" xfId="33609"/>
    <cellStyle name="Suma 2 3 35 3" xfId="33610"/>
    <cellStyle name="Suma 2 3 36" xfId="33611"/>
    <cellStyle name="Suma 2 3 36 2" xfId="33612"/>
    <cellStyle name="Suma 2 3 36 3" xfId="33613"/>
    <cellStyle name="Suma 2 3 37" xfId="33614"/>
    <cellStyle name="Suma 2 3 37 2" xfId="33615"/>
    <cellStyle name="Suma 2 3 37 3" xfId="33616"/>
    <cellStyle name="Suma 2 3 38" xfId="33617"/>
    <cellStyle name="Suma 2 3 38 2" xfId="33618"/>
    <cellStyle name="Suma 2 3 38 3" xfId="33619"/>
    <cellStyle name="Suma 2 3 39" xfId="33620"/>
    <cellStyle name="Suma 2 3 39 2" xfId="33621"/>
    <cellStyle name="Suma 2 3 39 3" xfId="33622"/>
    <cellStyle name="Suma 2 3 4" xfId="33623"/>
    <cellStyle name="Suma 2 3 4 2" xfId="33624"/>
    <cellStyle name="Suma 2 3 4 3" xfId="33625"/>
    <cellStyle name="Suma 2 3 4 4" xfId="33626"/>
    <cellStyle name="Suma 2 3 40" xfId="33627"/>
    <cellStyle name="Suma 2 3 40 2" xfId="33628"/>
    <cellStyle name="Suma 2 3 40 3" xfId="33629"/>
    <cellStyle name="Suma 2 3 41" xfId="33630"/>
    <cellStyle name="Suma 2 3 41 2" xfId="33631"/>
    <cellStyle name="Suma 2 3 41 3" xfId="33632"/>
    <cellStyle name="Suma 2 3 42" xfId="33633"/>
    <cellStyle name="Suma 2 3 42 2" xfId="33634"/>
    <cellStyle name="Suma 2 3 42 3" xfId="33635"/>
    <cellStyle name="Suma 2 3 43" xfId="33636"/>
    <cellStyle name="Suma 2 3 43 2" xfId="33637"/>
    <cellStyle name="Suma 2 3 43 3" xfId="33638"/>
    <cellStyle name="Suma 2 3 44" xfId="33639"/>
    <cellStyle name="Suma 2 3 44 2" xfId="33640"/>
    <cellStyle name="Suma 2 3 44 3" xfId="33641"/>
    <cellStyle name="Suma 2 3 45" xfId="33642"/>
    <cellStyle name="Suma 2 3 45 2" xfId="33643"/>
    <cellStyle name="Suma 2 3 45 3" xfId="33644"/>
    <cellStyle name="Suma 2 3 46" xfId="33645"/>
    <cellStyle name="Suma 2 3 46 2" xfId="33646"/>
    <cellStyle name="Suma 2 3 46 3" xfId="33647"/>
    <cellStyle name="Suma 2 3 47" xfId="33648"/>
    <cellStyle name="Suma 2 3 47 2" xfId="33649"/>
    <cellStyle name="Suma 2 3 47 3" xfId="33650"/>
    <cellStyle name="Suma 2 3 48" xfId="33651"/>
    <cellStyle name="Suma 2 3 48 2" xfId="33652"/>
    <cellStyle name="Suma 2 3 48 3" xfId="33653"/>
    <cellStyle name="Suma 2 3 49" xfId="33654"/>
    <cellStyle name="Suma 2 3 49 2" xfId="33655"/>
    <cellStyle name="Suma 2 3 49 3" xfId="33656"/>
    <cellStyle name="Suma 2 3 5" xfId="33657"/>
    <cellStyle name="Suma 2 3 5 2" xfId="33658"/>
    <cellStyle name="Suma 2 3 5 3" xfId="33659"/>
    <cellStyle name="Suma 2 3 5 4" xfId="33660"/>
    <cellStyle name="Suma 2 3 50" xfId="33661"/>
    <cellStyle name="Suma 2 3 50 2" xfId="33662"/>
    <cellStyle name="Suma 2 3 50 3" xfId="33663"/>
    <cellStyle name="Suma 2 3 51" xfId="33664"/>
    <cellStyle name="Suma 2 3 51 2" xfId="33665"/>
    <cellStyle name="Suma 2 3 51 3" xfId="33666"/>
    <cellStyle name="Suma 2 3 52" xfId="33667"/>
    <cellStyle name="Suma 2 3 52 2" xfId="33668"/>
    <cellStyle name="Suma 2 3 52 3" xfId="33669"/>
    <cellStyle name="Suma 2 3 53" xfId="33670"/>
    <cellStyle name="Suma 2 3 53 2" xfId="33671"/>
    <cellStyle name="Suma 2 3 53 3" xfId="33672"/>
    <cellStyle name="Suma 2 3 54" xfId="33673"/>
    <cellStyle name="Suma 2 3 54 2" xfId="33674"/>
    <cellStyle name="Suma 2 3 54 3" xfId="33675"/>
    <cellStyle name="Suma 2 3 55" xfId="33676"/>
    <cellStyle name="Suma 2 3 55 2" xfId="33677"/>
    <cellStyle name="Suma 2 3 55 3" xfId="33678"/>
    <cellStyle name="Suma 2 3 56" xfId="33679"/>
    <cellStyle name="Suma 2 3 56 2" xfId="33680"/>
    <cellStyle name="Suma 2 3 56 3" xfId="33681"/>
    <cellStyle name="Suma 2 3 57" xfId="33682"/>
    <cellStyle name="Suma 2 3 58" xfId="33683"/>
    <cellStyle name="Suma 2 3 6" xfId="33684"/>
    <cellStyle name="Suma 2 3 6 2" xfId="33685"/>
    <cellStyle name="Suma 2 3 6 3" xfId="33686"/>
    <cellStyle name="Suma 2 3 6 4" xfId="33687"/>
    <cellStyle name="Suma 2 3 7" xfId="33688"/>
    <cellStyle name="Suma 2 3 7 2" xfId="33689"/>
    <cellStyle name="Suma 2 3 7 3" xfId="33690"/>
    <cellStyle name="Suma 2 3 7 4" xfId="33691"/>
    <cellStyle name="Suma 2 3 8" xfId="33692"/>
    <cellStyle name="Suma 2 3 8 2" xfId="33693"/>
    <cellStyle name="Suma 2 3 8 3" xfId="33694"/>
    <cellStyle name="Suma 2 3 8 4" xfId="33695"/>
    <cellStyle name="Suma 2 3 9" xfId="33696"/>
    <cellStyle name="Suma 2 3 9 2" xfId="33697"/>
    <cellStyle name="Suma 2 3 9 3" xfId="33698"/>
    <cellStyle name="Suma 2 3 9 4" xfId="33699"/>
    <cellStyle name="Suma 2 30" xfId="33700"/>
    <cellStyle name="Suma 2 30 2" xfId="33701"/>
    <cellStyle name="Suma 2 30 3" xfId="33702"/>
    <cellStyle name="Suma 2 30 4" xfId="33703"/>
    <cellStyle name="Suma 2 31" xfId="33704"/>
    <cellStyle name="Suma 2 31 2" xfId="33705"/>
    <cellStyle name="Suma 2 31 3" xfId="33706"/>
    <cellStyle name="Suma 2 31 4" xfId="33707"/>
    <cellStyle name="Suma 2 32" xfId="33708"/>
    <cellStyle name="Suma 2 32 2" xfId="33709"/>
    <cellStyle name="Suma 2 32 3" xfId="33710"/>
    <cellStyle name="Suma 2 32 4" xfId="33711"/>
    <cellStyle name="Suma 2 33" xfId="33712"/>
    <cellStyle name="Suma 2 33 2" xfId="33713"/>
    <cellStyle name="Suma 2 33 3" xfId="33714"/>
    <cellStyle name="Suma 2 33 4" xfId="33715"/>
    <cellStyle name="Suma 2 34" xfId="33716"/>
    <cellStyle name="Suma 2 34 2" xfId="33717"/>
    <cellStyle name="Suma 2 34 3" xfId="33718"/>
    <cellStyle name="Suma 2 34 4" xfId="33719"/>
    <cellStyle name="Suma 2 35" xfId="33720"/>
    <cellStyle name="Suma 2 35 2" xfId="33721"/>
    <cellStyle name="Suma 2 35 3" xfId="33722"/>
    <cellStyle name="Suma 2 35 4" xfId="33723"/>
    <cellStyle name="Suma 2 36" xfId="33724"/>
    <cellStyle name="Suma 2 36 2" xfId="33725"/>
    <cellStyle name="Suma 2 36 3" xfId="33726"/>
    <cellStyle name="Suma 2 36 4" xfId="33727"/>
    <cellStyle name="Suma 2 37" xfId="33728"/>
    <cellStyle name="Suma 2 37 2" xfId="33729"/>
    <cellStyle name="Suma 2 37 3" xfId="33730"/>
    <cellStyle name="Suma 2 37 4" xfId="33731"/>
    <cellStyle name="Suma 2 38" xfId="33732"/>
    <cellStyle name="Suma 2 38 2" xfId="33733"/>
    <cellStyle name="Suma 2 38 3" xfId="33734"/>
    <cellStyle name="Suma 2 38 4" xfId="33735"/>
    <cellStyle name="Suma 2 39" xfId="33736"/>
    <cellStyle name="Suma 2 39 2" xfId="33737"/>
    <cellStyle name="Suma 2 39 3" xfId="33738"/>
    <cellStyle name="Suma 2 39 4" xfId="33739"/>
    <cellStyle name="Suma 2 4" xfId="33740"/>
    <cellStyle name="Suma 2 4 10" xfId="33741"/>
    <cellStyle name="Suma 2 4 10 2" xfId="33742"/>
    <cellStyle name="Suma 2 4 10 3" xfId="33743"/>
    <cellStyle name="Suma 2 4 10 4" xfId="33744"/>
    <cellStyle name="Suma 2 4 11" xfId="33745"/>
    <cellStyle name="Suma 2 4 11 2" xfId="33746"/>
    <cellStyle name="Suma 2 4 11 3" xfId="33747"/>
    <cellStyle name="Suma 2 4 11 4" xfId="33748"/>
    <cellStyle name="Suma 2 4 12" xfId="33749"/>
    <cellStyle name="Suma 2 4 12 2" xfId="33750"/>
    <cellStyle name="Suma 2 4 12 3" xfId="33751"/>
    <cellStyle name="Suma 2 4 12 4" xfId="33752"/>
    <cellStyle name="Suma 2 4 13" xfId="33753"/>
    <cellStyle name="Suma 2 4 13 2" xfId="33754"/>
    <cellStyle name="Suma 2 4 13 3" xfId="33755"/>
    <cellStyle name="Suma 2 4 13 4" xfId="33756"/>
    <cellStyle name="Suma 2 4 14" xfId="33757"/>
    <cellStyle name="Suma 2 4 14 2" xfId="33758"/>
    <cellStyle name="Suma 2 4 14 3" xfId="33759"/>
    <cellStyle name="Suma 2 4 14 4" xfId="33760"/>
    <cellStyle name="Suma 2 4 15" xfId="33761"/>
    <cellStyle name="Suma 2 4 15 2" xfId="33762"/>
    <cellStyle name="Suma 2 4 15 3" xfId="33763"/>
    <cellStyle name="Suma 2 4 15 4" xfId="33764"/>
    <cellStyle name="Suma 2 4 16" xfId="33765"/>
    <cellStyle name="Suma 2 4 16 2" xfId="33766"/>
    <cellStyle name="Suma 2 4 16 3" xfId="33767"/>
    <cellStyle name="Suma 2 4 16 4" xfId="33768"/>
    <cellStyle name="Suma 2 4 17" xfId="33769"/>
    <cellStyle name="Suma 2 4 17 2" xfId="33770"/>
    <cellStyle name="Suma 2 4 17 3" xfId="33771"/>
    <cellStyle name="Suma 2 4 17 4" xfId="33772"/>
    <cellStyle name="Suma 2 4 18" xfId="33773"/>
    <cellStyle name="Suma 2 4 18 2" xfId="33774"/>
    <cellStyle name="Suma 2 4 18 3" xfId="33775"/>
    <cellStyle name="Suma 2 4 18 4" xfId="33776"/>
    <cellStyle name="Suma 2 4 19" xfId="33777"/>
    <cellStyle name="Suma 2 4 19 2" xfId="33778"/>
    <cellStyle name="Suma 2 4 19 3" xfId="33779"/>
    <cellStyle name="Suma 2 4 19 4" xfId="33780"/>
    <cellStyle name="Suma 2 4 2" xfId="33781"/>
    <cellStyle name="Suma 2 4 2 2" xfId="33782"/>
    <cellStyle name="Suma 2 4 2 3" xfId="33783"/>
    <cellStyle name="Suma 2 4 2 4" xfId="33784"/>
    <cellStyle name="Suma 2 4 20" xfId="33785"/>
    <cellStyle name="Suma 2 4 20 2" xfId="33786"/>
    <cellStyle name="Suma 2 4 20 3" xfId="33787"/>
    <cellStyle name="Suma 2 4 20 4" xfId="33788"/>
    <cellStyle name="Suma 2 4 21" xfId="33789"/>
    <cellStyle name="Suma 2 4 21 2" xfId="33790"/>
    <cellStyle name="Suma 2 4 21 3" xfId="33791"/>
    <cellStyle name="Suma 2 4 22" xfId="33792"/>
    <cellStyle name="Suma 2 4 22 2" xfId="33793"/>
    <cellStyle name="Suma 2 4 22 3" xfId="33794"/>
    <cellStyle name="Suma 2 4 23" xfId="33795"/>
    <cellStyle name="Suma 2 4 23 2" xfId="33796"/>
    <cellStyle name="Suma 2 4 23 3" xfId="33797"/>
    <cellStyle name="Suma 2 4 24" xfId="33798"/>
    <cellStyle name="Suma 2 4 24 2" xfId="33799"/>
    <cellStyle name="Suma 2 4 24 3" xfId="33800"/>
    <cellStyle name="Suma 2 4 25" xfId="33801"/>
    <cellStyle name="Suma 2 4 25 2" xfId="33802"/>
    <cellStyle name="Suma 2 4 25 3" xfId="33803"/>
    <cellStyle name="Suma 2 4 26" xfId="33804"/>
    <cellStyle name="Suma 2 4 26 2" xfId="33805"/>
    <cellStyle name="Suma 2 4 26 3" xfId="33806"/>
    <cellStyle name="Suma 2 4 27" xfId="33807"/>
    <cellStyle name="Suma 2 4 27 2" xfId="33808"/>
    <cellStyle name="Suma 2 4 27 3" xfId="33809"/>
    <cellStyle name="Suma 2 4 28" xfId="33810"/>
    <cellStyle name="Suma 2 4 28 2" xfId="33811"/>
    <cellStyle name="Suma 2 4 28 3" xfId="33812"/>
    <cellStyle name="Suma 2 4 29" xfId="33813"/>
    <cellStyle name="Suma 2 4 29 2" xfId="33814"/>
    <cellStyle name="Suma 2 4 29 3" xfId="33815"/>
    <cellStyle name="Suma 2 4 3" xfId="33816"/>
    <cellStyle name="Suma 2 4 3 2" xfId="33817"/>
    <cellStyle name="Suma 2 4 3 3" xfId="33818"/>
    <cellStyle name="Suma 2 4 3 4" xfId="33819"/>
    <cellStyle name="Suma 2 4 30" xfId="33820"/>
    <cellStyle name="Suma 2 4 30 2" xfId="33821"/>
    <cellStyle name="Suma 2 4 30 3" xfId="33822"/>
    <cellStyle name="Suma 2 4 31" xfId="33823"/>
    <cellStyle name="Suma 2 4 31 2" xfId="33824"/>
    <cellStyle name="Suma 2 4 31 3" xfId="33825"/>
    <cellStyle name="Suma 2 4 32" xfId="33826"/>
    <cellStyle name="Suma 2 4 32 2" xfId="33827"/>
    <cellStyle name="Suma 2 4 32 3" xfId="33828"/>
    <cellStyle name="Suma 2 4 33" xfId="33829"/>
    <cellStyle name="Suma 2 4 33 2" xfId="33830"/>
    <cellStyle name="Suma 2 4 33 3" xfId="33831"/>
    <cellStyle name="Suma 2 4 34" xfId="33832"/>
    <cellStyle name="Suma 2 4 34 2" xfId="33833"/>
    <cellStyle name="Suma 2 4 34 3" xfId="33834"/>
    <cellStyle name="Suma 2 4 35" xfId="33835"/>
    <cellStyle name="Suma 2 4 35 2" xfId="33836"/>
    <cellStyle name="Suma 2 4 35 3" xfId="33837"/>
    <cellStyle name="Suma 2 4 36" xfId="33838"/>
    <cellStyle name="Suma 2 4 36 2" xfId="33839"/>
    <cellStyle name="Suma 2 4 36 3" xfId="33840"/>
    <cellStyle name="Suma 2 4 37" xfId="33841"/>
    <cellStyle name="Suma 2 4 37 2" xfId="33842"/>
    <cellStyle name="Suma 2 4 37 3" xfId="33843"/>
    <cellStyle name="Suma 2 4 38" xfId="33844"/>
    <cellStyle name="Suma 2 4 38 2" xfId="33845"/>
    <cellStyle name="Suma 2 4 38 3" xfId="33846"/>
    <cellStyle name="Suma 2 4 39" xfId="33847"/>
    <cellStyle name="Suma 2 4 39 2" xfId="33848"/>
    <cellStyle name="Suma 2 4 39 3" xfId="33849"/>
    <cellStyle name="Suma 2 4 4" xfId="33850"/>
    <cellStyle name="Suma 2 4 4 2" xfId="33851"/>
    <cellStyle name="Suma 2 4 4 3" xfId="33852"/>
    <cellStyle name="Suma 2 4 4 4" xfId="33853"/>
    <cellStyle name="Suma 2 4 40" xfId="33854"/>
    <cellStyle name="Suma 2 4 40 2" xfId="33855"/>
    <cellStyle name="Suma 2 4 40 3" xfId="33856"/>
    <cellStyle name="Suma 2 4 41" xfId="33857"/>
    <cellStyle name="Suma 2 4 41 2" xfId="33858"/>
    <cellStyle name="Suma 2 4 41 3" xfId="33859"/>
    <cellStyle name="Suma 2 4 42" xfId="33860"/>
    <cellStyle name="Suma 2 4 42 2" xfId="33861"/>
    <cellStyle name="Suma 2 4 42 3" xfId="33862"/>
    <cellStyle name="Suma 2 4 43" xfId="33863"/>
    <cellStyle name="Suma 2 4 43 2" xfId="33864"/>
    <cellStyle name="Suma 2 4 43 3" xfId="33865"/>
    <cellStyle name="Suma 2 4 44" xfId="33866"/>
    <cellStyle name="Suma 2 4 44 2" xfId="33867"/>
    <cellStyle name="Suma 2 4 44 3" xfId="33868"/>
    <cellStyle name="Suma 2 4 45" xfId="33869"/>
    <cellStyle name="Suma 2 4 45 2" xfId="33870"/>
    <cellStyle name="Suma 2 4 45 3" xfId="33871"/>
    <cellStyle name="Suma 2 4 46" xfId="33872"/>
    <cellStyle name="Suma 2 4 46 2" xfId="33873"/>
    <cellStyle name="Suma 2 4 46 3" xfId="33874"/>
    <cellStyle name="Suma 2 4 47" xfId="33875"/>
    <cellStyle name="Suma 2 4 47 2" xfId="33876"/>
    <cellStyle name="Suma 2 4 47 3" xfId="33877"/>
    <cellStyle name="Suma 2 4 48" xfId="33878"/>
    <cellStyle name="Suma 2 4 48 2" xfId="33879"/>
    <cellStyle name="Suma 2 4 48 3" xfId="33880"/>
    <cellStyle name="Suma 2 4 49" xfId="33881"/>
    <cellStyle name="Suma 2 4 49 2" xfId="33882"/>
    <cellStyle name="Suma 2 4 49 3" xfId="33883"/>
    <cellStyle name="Suma 2 4 5" xfId="33884"/>
    <cellStyle name="Suma 2 4 5 2" xfId="33885"/>
    <cellStyle name="Suma 2 4 5 3" xfId="33886"/>
    <cellStyle name="Suma 2 4 5 4" xfId="33887"/>
    <cellStyle name="Suma 2 4 50" xfId="33888"/>
    <cellStyle name="Suma 2 4 50 2" xfId="33889"/>
    <cellStyle name="Suma 2 4 50 3" xfId="33890"/>
    <cellStyle name="Suma 2 4 51" xfId="33891"/>
    <cellStyle name="Suma 2 4 51 2" xfId="33892"/>
    <cellStyle name="Suma 2 4 51 3" xfId="33893"/>
    <cellStyle name="Suma 2 4 52" xfId="33894"/>
    <cellStyle name="Suma 2 4 52 2" xfId="33895"/>
    <cellStyle name="Suma 2 4 52 3" xfId="33896"/>
    <cellStyle name="Suma 2 4 53" xfId="33897"/>
    <cellStyle name="Suma 2 4 53 2" xfId="33898"/>
    <cellStyle name="Suma 2 4 53 3" xfId="33899"/>
    <cellStyle name="Suma 2 4 54" xfId="33900"/>
    <cellStyle name="Suma 2 4 54 2" xfId="33901"/>
    <cellStyle name="Suma 2 4 54 3" xfId="33902"/>
    <cellStyle name="Suma 2 4 55" xfId="33903"/>
    <cellStyle name="Suma 2 4 55 2" xfId="33904"/>
    <cellStyle name="Suma 2 4 55 3" xfId="33905"/>
    <cellStyle name="Suma 2 4 56" xfId="33906"/>
    <cellStyle name="Suma 2 4 56 2" xfId="33907"/>
    <cellStyle name="Suma 2 4 56 3" xfId="33908"/>
    <cellStyle name="Suma 2 4 57" xfId="33909"/>
    <cellStyle name="Suma 2 4 58" xfId="33910"/>
    <cellStyle name="Suma 2 4 6" xfId="33911"/>
    <cellStyle name="Suma 2 4 6 2" xfId="33912"/>
    <cellStyle name="Suma 2 4 6 3" xfId="33913"/>
    <cellStyle name="Suma 2 4 6 4" xfId="33914"/>
    <cellStyle name="Suma 2 4 7" xfId="33915"/>
    <cellStyle name="Suma 2 4 7 2" xfId="33916"/>
    <cellStyle name="Suma 2 4 7 3" xfId="33917"/>
    <cellStyle name="Suma 2 4 7 4" xfId="33918"/>
    <cellStyle name="Suma 2 4 8" xfId="33919"/>
    <cellStyle name="Suma 2 4 8 2" xfId="33920"/>
    <cellStyle name="Suma 2 4 8 3" xfId="33921"/>
    <cellStyle name="Suma 2 4 8 4" xfId="33922"/>
    <cellStyle name="Suma 2 4 9" xfId="33923"/>
    <cellStyle name="Suma 2 4 9 2" xfId="33924"/>
    <cellStyle name="Suma 2 4 9 3" xfId="33925"/>
    <cellStyle name="Suma 2 4 9 4" xfId="33926"/>
    <cellStyle name="Suma 2 40" xfId="33927"/>
    <cellStyle name="Suma 2 40 2" xfId="33928"/>
    <cellStyle name="Suma 2 40 3" xfId="33929"/>
    <cellStyle name="Suma 2 40 4" xfId="33930"/>
    <cellStyle name="Suma 2 41" xfId="33931"/>
    <cellStyle name="Suma 2 41 2" xfId="33932"/>
    <cellStyle name="Suma 2 41 3" xfId="33933"/>
    <cellStyle name="Suma 2 41 4" xfId="33934"/>
    <cellStyle name="Suma 2 42" xfId="33935"/>
    <cellStyle name="Suma 2 42 2" xfId="33936"/>
    <cellStyle name="Suma 2 42 3" xfId="33937"/>
    <cellStyle name="Suma 2 42 4" xfId="33938"/>
    <cellStyle name="Suma 2 43" xfId="33939"/>
    <cellStyle name="Suma 2 43 2" xfId="33940"/>
    <cellStyle name="Suma 2 43 3" xfId="33941"/>
    <cellStyle name="Suma 2 43 4" xfId="33942"/>
    <cellStyle name="Suma 2 44" xfId="33943"/>
    <cellStyle name="Suma 2 44 2" xfId="33944"/>
    <cellStyle name="Suma 2 44 3" xfId="33945"/>
    <cellStyle name="Suma 2 44 4" xfId="33946"/>
    <cellStyle name="Suma 2 45" xfId="33947"/>
    <cellStyle name="Suma 2 45 2" xfId="33948"/>
    <cellStyle name="Suma 2 45 3" xfId="33949"/>
    <cellStyle name="Suma 2 45 4" xfId="33950"/>
    <cellStyle name="Suma 2 46" xfId="33951"/>
    <cellStyle name="Suma 2 46 2" xfId="33952"/>
    <cellStyle name="Suma 2 46 3" xfId="33953"/>
    <cellStyle name="Suma 2 46 4" xfId="33954"/>
    <cellStyle name="Suma 2 47" xfId="33955"/>
    <cellStyle name="Suma 2 47 2" xfId="33956"/>
    <cellStyle name="Suma 2 47 3" xfId="33957"/>
    <cellStyle name="Suma 2 47 4" xfId="33958"/>
    <cellStyle name="Suma 2 48" xfId="33959"/>
    <cellStyle name="Suma 2 48 2" xfId="33960"/>
    <cellStyle name="Suma 2 48 3" xfId="33961"/>
    <cellStyle name="Suma 2 48 4" xfId="33962"/>
    <cellStyle name="Suma 2 49" xfId="33963"/>
    <cellStyle name="Suma 2 49 2" xfId="33964"/>
    <cellStyle name="Suma 2 49 3" xfId="33965"/>
    <cellStyle name="Suma 2 49 4" xfId="33966"/>
    <cellStyle name="Suma 2 5" xfId="33967"/>
    <cellStyle name="Suma 2 5 10" xfId="33968"/>
    <cellStyle name="Suma 2 5 10 2" xfId="33969"/>
    <cellStyle name="Suma 2 5 10 3" xfId="33970"/>
    <cellStyle name="Suma 2 5 10 4" xfId="33971"/>
    <cellStyle name="Suma 2 5 11" xfId="33972"/>
    <cellStyle name="Suma 2 5 11 2" xfId="33973"/>
    <cellStyle name="Suma 2 5 11 3" xfId="33974"/>
    <cellStyle name="Suma 2 5 11 4" xfId="33975"/>
    <cellStyle name="Suma 2 5 12" xfId="33976"/>
    <cellStyle name="Suma 2 5 12 2" xfId="33977"/>
    <cellStyle name="Suma 2 5 12 3" xfId="33978"/>
    <cellStyle name="Suma 2 5 12 4" xfId="33979"/>
    <cellStyle name="Suma 2 5 13" xfId="33980"/>
    <cellStyle name="Suma 2 5 13 2" xfId="33981"/>
    <cellStyle name="Suma 2 5 13 3" xfId="33982"/>
    <cellStyle name="Suma 2 5 13 4" xfId="33983"/>
    <cellStyle name="Suma 2 5 14" xfId="33984"/>
    <cellStyle name="Suma 2 5 14 2" xfId="33985"/>
    <cellStyle name="Suma 2 5 14 3" xfId="33986"/>
    <cellStyle name="Suma 2 5 14 4" xfId="33987"/>
    <cellStyle name="Suma 2 5 15" xfId="33988"/>
    <cellStyle name="Suma 2 5 15 2" xfId="33989"/>
    <cellStyle name="Suma 2 5 15 3" xfId="33990"/>
    <cellStyle name="Suma 2 5 15 4" xfId="33991"/>
    <cellStyle name="Suma 2 5 16" xfId="33992"/>
    <cellStyle name="Suma 2 5 16 2" xfId="33993"/>
    <cellStyle name="Suma 2 5 16 3" xfId="33994"/>
    <cellStyle name="Suma 2 5 16 4" xfId="33995"/>
    <cellStyle name="Suma 2 5 17" xfId="33996"/>
    <cellStyle name="Suma 2 5 17 2" xfId="33997"/>
    <cellStyle name="Suma 2 5 17 3" xfId="33998"/>
    <cellStyle name="Suma 2 5 17 4" xfId="33999"/>
    <cellStyle name="Suma 2 5 18" xfId="34000"/>
    <cellStyle name="Suma 2 5 18 2" xfId="34001"/>
    <cellStyle name="Suma 2 5 18 3" xfId="34002"/>
    <cellStyle name="Suma 2 5 18 4" xfId="34003"/>
    <cellStyle name="Suma 2 5 19" xfId="34004"/>
    <cellStyle name="Suma 2 5 19 2" xfId="34005"/>
    <cellStyle name="Suma 2 5 19 3" xfId="34006"/>
    <cellStyle name="Suma 2 5 19 4" xfId="34007"/>
    <cellStyle name="Suma 2 5 2" xfId="34008"/>
    <cellStyle name="Suma 2 5 2 2" xfId="34009"/>
    <cellStyle name="Suma 2 5 2 3" xfId="34010"/>
    <cellStyle name="Suma 2 5 2 4" xfId="34011"/>
    <cellStyle name="Suma 2 5 20" xfId="34012"/>
    <cellStyle name="Suma 2 5 20 2" xfId="34013"/>
    <cellStyle name="Suma 2 5 20 3" xfId="34014"/>
    <cellStyle name="Suma 2 5 20 4" xfId="34015"/>
    <cellStyle name="Suma 2 5 21" xfId="34016"/>
    <cellStyle name="Suma 2 5 21 2" xfId="34017"/>
    <cellStyle name="Suma 2 5 21 3" xfId="34018"/>
    <cellStyle name="Suma 2 5 22" xfId="34019"/>
    <cellStyle name="Suma 2 5 22 2" xfId="34020"/>
    <cellStyle name="Suma 2 5 22 3" xfId="34021"/>
    <cellStyle name="Suma 2 5 23" xfId="34022"/>
    <cellStyle name="Suma 2 5 23 2" xfId="34023"/>
    <cellStyle name="Suma 2 5 23 3" xfId="34024"/>
    <cellStyle name="Suma 2 5 24" xfId="34025"/>
    <cellStyle name="Suma 2 5 24 2" xfId="34026"/>
    <cellStyle name="Suma 2 5 24 3" xfId="34027"/>
    <cellStyle name="Suma 2 5 25" xfId="34028"/>
    <cellStyle name="Suma 2 5 25 2" xfId="34029"/>
    <cellStyle name="Suma 2 5 25 3" xfId="34030"/>
    <cellStyle name="Suma 2 5 26" xfId="34031"/>
    <cellStyle name="Suma 2 5 26 2" xfId="34032"/>
    <cellStyle name="Suma 2 5 26 3" xfId="34033"/>
    <cellStyle name="Suma 2 5 27" xfId="34034"/>
    <cellStyle name="Suma 2 5 27 2" xfId="34035"/>
    <cellStyle name="Suma 2 5 27 3" xfId="34036"/>
    <cellStyle name="Suma 2 5 28" xfId="34037"/>
    <cellStyle name="Suma 2 5 28 2" xfId="34038"/>
    <cellStyle name="Suma 2 5 28 3" xfId="34039"/>
    <cellStyle name="Suma 2 5 29" xfId="34040"/>
    <cellStyle name="Suma 2 5 29 2" xfId="34041"/>
    <cellStyle name="Suma 2 5 29 3" xfId="34042"/>
    <cellStyle name="Suma 2 5 3" xfId="34043"/>
    <cellStyle name="Suma 2 5 3 2" xfId="34044"/>
    <cellStyle name="Suma 2 5 3 3" xfId="34045"/>
    <cellStyle name="Suma 2 5 3 4" xfId="34046"/>
    <cellStyle name="Suma 2 5 30" xfId="34047"/>
    <cellStyle name="Suma 2 5 30 2" xfId="34048"/>
    <cellStyle name="Suma 2 5 30 3" xfId="34049"/>
    <cellStyle name="Suma 2 5 31" xfId="34050"/>
    <cellStyle name="Suma 2 5 31 2" xfId="34051"/>
    <cellStyle name="Suma 2 5 31 3" xfId="34052"/>
    <cellStyle name="Suma 2 5 32" xfId="34053"/>
    <cellStyle name="Suma 2 5 32 2" xfId="34054"/>
    <cellStyle name="Suma 2 5 32 3" xfId="34055"/>
    <cellStyle name="Suma 2 5 33" xfId="34056"/>
    <cellStyle name="Suma 2 5 33 2" xfId="34057"/>
    <cellStyle name="Suma 2 5 33 3" xfId="34058"/>
    <cellStyle name="Suma 2 5 34" xfId="34059"/>
    <cellStyle name="Suma 2 5 34 2" xfId="34060"/>
    <cellStyle name="Suma 2 5 34 3" xfId="34061"/>
    <cellStyle name="Suma 2 5 35" xfId="34062"/>
    <cellStyle name="Suma 2 5 35 2" xfId="34063"/>
    <cellStyle name="Suma 2 5 35 3" xfId="34064"/>
    <cellStyle name="Suma 2 5 36" xfId="34065"/>
    <cellStyle name="Suma 2 5 36 2" xfId="34066"/>
    <cellStyle name="Suma 2 5 36 3" xfId="34067"/>
    <cellStyle name="Suma 2 5 37" xfId="34068"/>
    <cellStyle name="Suma 2 5 37 2" xfId="34069"/>
    <cellStyle name="Suma 2 5 37 3" xfId="34070"/>
    <cellStyle name="Suma 2 5 38" xfId="34071"/>
    <cellStyle name="Suma 2 5 38 2" xfId="34072"/>
    <cellStyle name="Suma 2 5 38 3" xfId="34073"/>
    <cellStyle name="Suma 2 5 39" xfId="34074"/>
    <cellStyle name="Suma 2 5 39 2" xfId="34075"/>
    <cellStyle name="Suma 2 5 39 3" xfId="34076"/>
    <cellStyle name="Suma 2 5 4" xfId="34077"/>
    <cellStyle name="Suma 2 5 4 2" xfId="34078"/>
    <cellStyle name="Suma 2 5 4 3" xfId="34079"/>
    <cellStyle name="Suma 2 5 4 4" xfId="34080"/>
    <cellStyle name="Suma 2 5 40" xfId="34081"/>
    <cellStyle name="Suma 2 5 40 2" xfId="34082"/>
    <cellStyle name="Suma 2 5 40 3" xfId="34083"/>
    <cellStyle name="Suma 2 5 41" xfId="34084"/>
    <cellStyle name="Suma 2 5 41 2" xfId="34085"/>
    <cellStyle name="Suma 2 5 41 3" xfId="34086"/>
    <cellStyle name="Suma 2 5 42" xfId="34087"/>
    <cellStyle name="Suma 2 5 42 2" xfId="34088"/>
    <cellStyle name="Suma 2 5 42 3" xfId="34089"/>
    <cellStyle name="Suma 2 5 43" xfId="34090"/>
    <cellStyle name="Suma 2 5 43 2" xfId="34091"/>
    <cellStyle name="Suma 2 5 43 3" xfId="34092"/>
    <cellStyle name="Suma 2 5 44" xfId="34093"/>
    <cellStyle name="Suma 2 5 44 2" xfId="34094"/>
    <cellStyle name="Suma 2 5 44 3" xfId="34095"/>
    <cellStyle name="Suma 2 5 45" xfId="34096"/>
    <cellStyle name="Suma 2 5 45 2" xfId="34097"/>
    <cellStyle name="Suma 2 5 45 3" xfId="34098"/>
    <cellStyle name="Suma 2 5 46" xfId="34099"/>
    <cellStyle name="Suma 2 5 46 2" xfId="34100"/>
    <cellStyle name="Suma 2 5 46 3" xfId="34101"/>
    <cellStyle name="Suma 2 5 47" xfId="34102"/>
    <cellStyle name="Suma 2 5 47 2" xfId="34103"/>
    <cellStyle name="Suma 2 5 47 3" xfId="34104"/>
    <cellStyle name="Suma 2 5 48" xfId="34105"/>
    <cellStyle name="Suma 2 5 48 2" xfId="34106"/>
    <cellStyle name="Suma 2 5 48 3" xfId="34107"/>
    <cellStyle name="Suma 2 5 49" xfId="34108"/>
    <cellStyle name="Suma 2 5 49 2" xfId="34109"/>
    <cellStyle name="Suma 2 5 49 3" xfId="34110"/>
    <cellStyle name="Suma 2 5 5" xfId="34111"/>
    <cellStyle name="Suma 2 5 5 2" xfId="34112"/>
    <cellStyle name="Suma 2 5 5 3" xfId="34113"/>
    <cellStyle name="Suma 2 5 5 4" xfId="34114"/>
    <cellStyle name="Suma 2 5 50" xfId="34115"/>
    <cellStyle name="Suma 2 5 50 2" xfId="34116"/>
    <cellStyle name="Suma 2 5 50 3" xfId="34117"/>
    <cellStyle name="Suma 2 5 51" xfId="34118"/>
    <cellStyle name="Suma 2 5 51 2" xfId="34119"/>
    <cellStyle name="Suma 2 5 51 3" xfId="34120"/>
    <cellStyle name="Suma 2 5 52" xfId="34121"/>
    <cellStyle name="Suma 2 5 52 2" xfId="34122"/>
    <cellStyle name="Suma 2 5 52 3" xfId="34123"/>
    <cellStyle name="Suma 2 5 53" xfId="34124"/>
    <cellStyle name="Suma 2 5 53 2" xfId="34125"/>
    <cellStyle name="Suma 2 5 53 3" xfId="34126"/>
    <cellStyle name="Suma 2 5 54" xfId="34127"/>
    <cellStyle name="Suma 2 5 54 2" xfId="34128"/>
    <cellStyle name="Suma 2 5 54 3" xfId="34129"/>
    <cellStyle name="Suma 2 5 55" xfId="34130"/>
    <cellStyle name="Suma 2 5 55 2" xfId="34131"/>
    <cellStyle name="Suma 2 5 55 3" xfId="34132"/>
    <cellStyle name="Suma 2 5 56" xfId="34133"/>
    <cellStyle name="Suma 2 5 56 2" xfId="34134"/>
    <cellStyle name="Suma 2 5 56 3" xfId="34135"/>
    <cellStyle name="Suma 2 5 57" xfId="34136"/>
    <cellStyle name="Suma 2 5 58" xfId="34137"/>
    <cellStyle name="Suma 2 5 6" xfId="34138"/>
    <cellStyle name="Suma 2 5 6 2" xfId="34139"/>
    <cellStyle name="Suma 2 5 6 3" xfId="34140"/>
    <cellStyle name="Suma 2 5 6 4" xfId="34141"/>
    <cellStyle name="Suma 2 5 7" xfId="34142"/>
    <cellStyle name="Suma 2 5 7 2" xfId="34143"/>
    <cellStyle name="Suma 2 5 7 3" xfId="34144"/>
    <cellStyle name="Suma 2 5 7 4" xfId="34145"/>
    <cellStyle name="Suma 2 5 8" xfId="34146"/>
    <cellStyle name="Suma 2 5 8 2" xfId="34147"/>
    <cellStyle name="Suma 2 5 8 3" xfId="34148"/>
    <cellStyle name="Suma 2 5 8 4" xfId="34149"/>
    <cellStyle name="Suma 2 5 9" xfId="34150"/>
    <cellStyle name="Suma 2 5 9 2" xfId="34151"/>
    <cellStyle name="Suma 2 5 9 3" xfId="34152"/>
    <cellStyle name="Suma 2 5 9 4" xfId="34153"/>
    <cellStyle name="Suma 2 50" xfId="34154"/>
    <cellStyle name="Suma 2 50 2" xfId="34155"/>
    <cellStyle name="Suma 2 50 3" xfId="34156"/>
    <cellStyle name="Suma 2 50 4" xfId="34157"/>
    <cellStyle name="Suma 2 51" xfId="34158"/>
    <cellStyle name="Suma 2 51 2" xfId="34159"/>
    <cellStyle name="Suma 2 51 3" xfId="34160"/>
    <cellStyle name="Suma 2 51 4" xfId="34161"/>
    <cellStyle name="Suma 2 52" xfId="34162"/>
    <cellStyle name="Suma 2 52 2" xfId="34163"/>
    <cellStyle name="Suma 2 52 3" xfId="34164"/>
    <cellStyle name="Suma 2 52 4" xfId="34165"/>
    <cellStyle name="Suma 2 53" xfId="34166"/>
    <cellStyle name="Suma 2 53 2" xfId="34167"/>
    <cellStyle name="Suma 2 53 3" xfId="34168"/>
    <cellStyle name="Suma 2 53 4" xfId="34169"/>
    <cellStyle name="Suma 2 54" xfId="34170"/>
    <cellStyle name="Suma 2 54 2" xfId="34171"/>
    <cellStyle name="Suma 2 54 3" xfId="34172"/>
    <cellStyle name="Suma 2 54 4" xfId="34173"/>
    <cellStyle name="Suma 2 55" xfId="34174"/>
    <cellStyle name="Suma 2 55 2" xfId="34175"/>
    <cellStyle name="Suma 2 55 3" xfId="34176"/>
    <cellStyle name="Suma 2 55 4" xfId="34177"/>
    <cellStyle name="Suma 2 56" xfId="34178"/>
    <cellStyle name="Suma 2 56 2" xfId="34179"/>
    <cellStyle name="Suma 2 56 3" xfId="34180"/>
    <cellStyle name="Suma 2 56 4" xfId="34181"/>
    <cellStyle name="Suma 2 57" xfId="34182"/>
    <cellStyle name="Suma 2 57 2" xfId="34183"/>
    <cellStyle name="Suma 2 57 3" xfId="34184"/>
    <cellStyle name="Suma 2 57 4" xfId="34185"/>
    <cellStyle name="Suma 2 58" xfId="34186"/>
    <cellStyle name="Suma 2 58 2" xfId="34187"/>
    <cellStyle name="Suma 2 58 3" xfId="34188"/>
    <cellStyle name="Suma 2 58 4" xfId="34189"/>
    <cellStyle name="Suma 2 59" xfId="34190"/>
    <cellStyle name="Suma 2 59 2" xfId="34191"/>
    <cellStyle name="Suma 2 59 3" xfId="34192"/>
    <cellStyle name="Suma 2 59 4" xfId="34193"/>
    <cellStyle name="Suma 2 6" xfId="34194"/>
    <cellStyle name="Suma 2 6 10" xfId="34195"/>
    <cellStyle name="Suma 2 6 10 2" xfId="34196"/>
    <cellStyle name="Suma 2 6 10 3" xfId="34197"/>
    <cellStyle name="Suma 2 6 10 4" xfId="34198"/>
    <cellStyle name="Suma 2 6 11" xfId="34199"/>
    <cellStyle name="Suma 2 6 11 2" xfId="34200"/>
    <cellStyle name="Suma 2 6 11 3" xfId="34201"/>
    <cellStyle name="Suma 2 6 11 4" xfId="34202"/>
    <cellStyle name="Suma 2 6 12" xfId="34203"/>
    <cellStyle name="Suma 2 6 12 2" xfId="34204"/>
    <cellStyle name="Suma 2 6 12 3" xfId="34205"/>
    <cellStyle name="Suma 2 6 12 4" xfId="34206"/>
    <cellStyle name="Suma 2 6 13" xfId="34207"/>
    <cellStyle name="Suma 2 6 13 2" xfId="34208"/>
    <cellStyle name="Suma 2 6 13 3" xfId="34209"/>
    <cellStyle name="Suma 2 6 13 4" xfId="34210"/>
    <cellStyle name="Suma 2 6 14" xfId="34211"/>
    <cellStyle name="Suma 2 6 14 2" xfId="34212"/>
    <cellStyle name="Suma 2 6 14 3" xfId="34213"/>
    <cellStyle name="Suma 2 6 14 4" xfId="34214"/>
    <cellStyle name="Suma 2 6 15" xfId="34215"/>
    <cellStyle name="Suma 2 6 15 2" xfId="34216"/>
    <cellStyle name="Suma 2 6 15 3" xfId="34217"/>
    <cellStyle name="Suma 2 6 15 4" xfId="34218"/>
    <cellStyle name="Suma 2 6 16" xfId="34219"/>
    <cellStyle name="Suma 2 6 16 2" xfId="34220"/>
    <cellStyle name="Suma 2 6 16 3" xfId="34221"/>
    <cellStyle name="Suma 2 6 16 4" xfId="34222"/>
    <cellStyle name="Suma 2 6 17" xfId="34223"/>
    <cellStyle name="Suma 2 6 17 2" xfId="34224"/>
    <cellStyle name="Suma 2 6 17 3" xfId="34225"/>
    <cellStyle name="Suma 2 6 17 4" xfId="34226"/>
    <cellStyle name="Suma 2 6 18" xfId="34227"/>
    <cellStyle name="Suma 2 6 18 2" xfId="34228"/>
    <cellStyle name="Suma 2 6 18 3" xfId="34229"/>
    <cellStyle name="Suma 2 6 18 4" xfId="34230"/>
    <cellStyle name="Suma 2 6 19" xfId="34231"/>
    <cellStyle name="Suma 2 6 19 2" xfId="34232"/>
    <cellStyle name="Suma 2 6 19 3" xfId="34233"/>
    <cellStyle name="Suma 2 6 19 4" xfId="34234"/>
    <cellStyle name="Suma 2 6 2" xfId="34235"/>
    <cellStyle name="Suma 2 6 2 2" xfId="34236"/>
    <cellStyle name="Suma 2 6 2 3" xfId="34237"/>
    <cellStyle name="Suma 2 6 2 4" xfId="34238"/>
    <cellStyle name="Suma 2 6 20" xfId="34239"/>
    <cellStyle name="Suma 2 6 20 2" xfId="34240"/>
    <cellStyle name="Suma 2 6 20 3" xfId="34241"/>
    <cellStyle name="Suma 2 6 20 4" xfId="34242"/>
    <cellStyle name="Suma 2 6 21" xfId="34243"/>
    <cellStyle name="Suma 2 6 21 2" xfId="34244"/>
    <cellStyle name="Suma 2 6 21 3" xfId="34245"/>
    <cellStyle name="Suma 2 6 22" xfId="34246"/>
    <cellStyle name="Suma 2 6 22 2" xfId="34247"/>
    <cellStyle name="Suma 2 6 22 3" xfId="34248"/>
    <cellStyle name="Suma 2 6 23" xfId="34249"/>
    <cellStyle name="Suma 2 6 23 2" xfId="34250"/>
    <cellStyle name="Suma 2 6 23 3" xfId="34251"/>
    <cellStyle name="Suma 2 6 24" xfId="34252"/>
    <cellStyle name="Suma 2 6 24 2" xfId="34253"/>
    <cellStyle name="Suma 2 6 24 3" xfId="34254"/>
    <cellStyle name="Suma 2 6 25" xfId="34255"/>
    <cellStyle name="Suma 2 6 25 2" xfId="34256"/>
    <cellStyle name="Suma 2 6 25 3" xfId="34257"/>
    <cellStyle name="Suma 2 6 26" xfId="34258"/>
    <cellStyle name="Suma 2 6 26 2" xfId="34259"/>
    <cellStyle name="Suma 2 6 26 3" xfId="34260"/>
    <cellStyle name="Suma 2 6 27" xfId="34261"/>
    <cellStyle name="Suma 2 6 27 2" xfId="34262"/>
    <cellStyle name="Suma 2 6 27 3" xfId="34263"/>
    <cellStyle name="Suma 2 6 28" xfId="34264"/>
    <cellStyle name="Suma 2 6 28 2" xfId="34265"/>
    <cellStyle name="Suma 2 6 28 3" xfId="34266"/>
    <cellStyle name="Suma 2 6 29" xfId="34267"/>
    <cellStyle name="Suma 2 6 29 2" xfId="34268"/>
    <cellStyle name="Suma 2 6 29 3" xfId="34269"/>
    <cellStyle name="Suma 2 6 3" xfId="34270"/>
    <cellStyle name="Suma 2 6 3 2" xfId="34271"/>
    <cellStyle name="Suma 2 6 3 3" xfId="34272"/>
    <cellStyle name="Suma 2 6 3 4" xfId="34273"/>
    <cellStyle name="Suma 2 6 30" xfId="34274"/>
    <cellStyle name="Suma 2 6 30 2" xfId="34275"/>
    <cellStyle name="Suma 2 6 30 3" xfId="34276"/>
    <cellStyle name="Suma 2 6 31" xfId="34277"/>
    <cellStyle name="Suma 2 6 31 2" xfId="34278"/>
    <cellStyle name="Suma 2 6 31 3" xfId="34279"/>
    <cellStyle name="Suma 2 6 32" xfId="34280"/>
    <cellStyle name="Suma 2 6 32 2" xfId="34281"/>
    <cellStyle name="Suma 2 6 32 3" xfId="34282"/>
    <cellStyle name="Suma 2 6 33" xfId="34283"/>
    <cellStyle name="Suma 2 6 33 2" xfId="34284"/>
    <cellStyle name="Suma 2 6 33 3" xfId="34285"/>
    <cellStyle name="Suma 2 6 34" xfId="34286"/>
    <cellStyle name="Suma 2 6 34 2" xfId="34287"/>
    <cellStyle name="Suma 2 6 34 3" xfId="34288"/>
    <cellStyle name="Suma 2 6 35" xfId="34289"/>
    <cellStyle name="Suma 2 6 35 2" xfId="34290"/>
    <cellStyle name="Suma 2 6 35 3" xfId="34291"/>
    <cellStyle name="Suma 2 6 36" xfId="34292"/>
    <cellStyle name="Suma 2 6 36 2" xfId="34293"/>
    <cellStyle name="Suma 2 6 36 3" xfId="34294"/>
    <cellStyle name="Suma 2 6 37" xfId="34295"/>
    <cellStyle name="Suma 2 6 37 2" xfId="34296"/>
    <cellStyle name="Suma 2 6 37 3" xfId="34297"/>
    <cellStyle name="Suma 2 6 38" xfId="34298"/>
    <cellStyle name="Suma 2 6 38 2" xfId="34299"/>
    <cellStyle name="Suma 2 6 38 3" xfId="34300"/>
    <cellStyle name="Suma 2 6 39" xfId="34301"/>
    <cellStyle name="Suma 2 6 39 2" xfId="34302"/>
    <cellStyle name="Suma 2 6 39 3" xfId="34303"/>
    <cellStyle name="Suma 2 6 4" xfId="34304"/>
    <cellStyle name="Suma 2 6 4 2" xfId="34305"/>
    <cellStyle name="Suma 2 6 4 3" xfId="34306"/>
    <cellStyle name="Suma 2 6 4 4" xfId="34307"/>
    <cellStyle name="Suma 2 6 40" xfId="34308"/>
    <cellStyle name="Suma 2 6 40 2" xfId="34309"/>
    <cellStyle name="Suma 2 6 40 3" xfId="34310"/>
    <cellStyle name="Suma 2 6 41" xfId="34311"/>
    <cellStyle name="Suma 2 6 41 2" xfId="34312"/>
    <cellStyle name="Suma 2 6 41 3" xfId="34313"/>
    <cellStyle name="Suma 2 6 42" xfId="34314"/>
    <cellStyle name="Suma 2 6 42 2" xfId="34315"/>
    <cellStyle name="Suma 2 6 42 3" xfId="34316"/>
    <cellStyle name="Suma 2 6 43" xfId="34317"/>
    <cellStyle name="Suma 2 6 43 2" xfId="34318"/>
    <cellStyle name="Suma 2 6 43 3" xfId="34319"/>
    <cellStyle name="Suma 2 6 44" xfId="34320"/>
    <cellStyle name="Suma 2 6 44 2" xfId="34321"/>
    <cellStyle name="Suma 2 6 44 3" xfId="34322"/>
    <cellStyle name="Suma 2 6 45" xfId="34323"/>
    <cellStyle name="Suma 2 6 45 2" xfId="34324"/>
    <cellStyle name="Suma 2 6 45 3" xfId="34325"/>
    <cellStyle name="Suma 2 6 46" xfId="34326"/>
    <cellStyle name="Suma 2 6 46 2" xfId="34327"/>
    <cellStyle name="Suma 2 6 46 3" xfId="34328"/>
    <cellStyle name="Suma 2 6 47" xfId="34329"/>
    <cellStyle name="Suma 2 6 47 2" xfId="34330"/>
    <cellStyle name="Suma 2 6 47 3" xfId="34331"/>
    <cellStyle name="Suma 2 6 48" xfId="34332"/>
    <cellStyle name="Suma 2 6 48 2" xfId="34333"/>
    <cellStyle name="Suma 2 6 48 3" xfId="34334"/>
    <cellStyle name="Suma 2 6 49" xfId="34335"/>
    <cellStyle name="Suma 2 6 49 2" xfId="34336"/>
    <cellStyle name="Suma 2 6 49 3" xfId="34337"/>
    <cellStyle name="Suma 2 6 5" xfId="34338"/>
    <cellStyle name="Suma 2 6 5 2" xfId="34339"/>
    <cellStyle name="Suma 2 6 5 3" xfId="34340"/>
    <cellStyle name="Suma 2 6 5 4" xfId="34341"/>
    <cellStyle name="Suma 2 6 50" xfId="34342"/>
    <cellStyle name="Suma 2 6 50 2" xfId="34343"/>
    <cellStyle name="Suma 2 6 50 3" xfId="34344"/>
    <cellStyle name="Suma 2 6 51" xfId="34345"/>
    <cellStyle name="Suma 2 6 51 2" xfId="34346"/>
    <cellStyle name="Suma 2 6 51 3" xfId="34347"/>
    <cellStyle name="Suma 2 6 52" xfId="34348"/>
    <cellStyle name="Suma 2 6 52 2" xfId="34349"/>
    <cellStyle name="Suma 2 6 52 3" xfId="34350"/>
    <cellStyle name="Suma 2 6 53" xfId="34351"/>
    <cellStyle name="Suma 2 6 53 2" xfId="34352"/>
    <cellStyle name="Suma 2 6 53 3" xfId="34353"/>
    <cellStyle name="Suma 2 6 54" xfId="34354"/>
    <cellStyle name="Suma 2 6 54 2" xfId="34355"/>
    <cellStyle name="Suma 2 6 54 3" xfId="34356"/>
    <cellStyle name="Suma 2 6 55" xfId="34357"/>
    <cellStyle name="Suma 2 6 55 2" xfId="34358"/>
    <cellStyle name="Suma 2 6 55 3" xfId="34359"/>
    <cellStyle name="Suma 2 6 56" xfId="34360"/>
    <cellStyle name="Suma 2 6 56 2" xfId="34361"/>
    <cellStyle name="Suma 2 6 56 3" xfId="34362"/>
    <cellStyle name="Suma 2 6 57" xfId="34363"/>
    <cellStyle name="Suma 2 6 58" xfId="34364"/>
    <cellStyle name="Suma 2 6 6" xfId="34365"/>
    <cellStyle name="Suma 2 6 6 2" xfId="34366"/>
    <cellStyle name="Suma 2 6 6 3" xfId="34367"/>
    <cellStyle name="Suma 2 6 6 4" xfId="34368"/>
    <cellStyle name="Suma 2 6 7" xfId="34369"/>
    <cellStyle name="Suma 2 6 7 2" xfId="34370"/>
    <cellStyle name="Suma 2 6 7 3" xfId="34371"/>
    <cellStyle name="Suma 2 6 7 4" xfId="34372"/>
    <cellStyle name="Suma 2 6 8" xfId="34373"/>
    <cellStyle name="Suma 2 6 8 2" xfId="34374"/>
    <cellStyle name="Suma 2 6 8 3" xfId="34375"/>
    <cellStyle name="Suma 2 6 8 4" xfId="34376"/>
    <cellStyle name="Suma 2 6 9" xfId="34377"/>
    <cellStyle name="Suma 2 6 9 2" xfId="34378"/>
    <cellStyle name="Suma 2 6 9 3" xfId="34379"/>
    <cellStyle name="Suma 2 6 9 4" xfId="34380"/>
    <cellStyle name="Suma 2 60" xfId="34381"/>
    <cellStyle name="Suma 2 60 2" xfId="34382"/>
    <cellStyle name="Suma 2 60 3" xfId="34383"/>
    <cellStyle name="Suma 2 60 4" xfId="34384"/>
    <cellStyle name="Suma 2 61" xfId="34385"/>
    <cellStyle name="Suma 2 61 2" xfId="34386"/>
    <cellStyle name="Suma 2 61 3" xfId="34387"/>
    <cellStyle name="Suma 2 61 4" xfId="34388"/>
    <cellStyle name="Suma 2 62" xfId="34389"/>
    <cellStyle name="Suma 2 62 2" xfId="34390"/>
    <cellStyle name="Suma 2 62 3" xfId="34391"/>
    <cellStyle name="Suma 2 62 4" xfId="34392"/>
    <cellStyle name="Suma 2 63" xfId="34393"/>
    <cellStyle name="Suma 2 63 2" xfId="34394"/>
    <cellStyle name="Suma 2 63 3" xfId="34395"/>
    <cellStyle name="Suma 2 63 4" xfId="34396"/>
    <cellStyle name="Suma 2 64" xfId="34397"/>
    <cellStyle name="Suma 2 64 2" xfId="34398"/>
    <cellStyle name="Suma 2 64 3" xfId="34399"/>
    <cellStyle name="Suma 2 64 4" xfId="34400"/>
    <cellStyle name="Suma 2 65" xfId="34401"/>
    <cellStyle name="Suma 2 65 2" xfId="34402"/>
    <cellStyle name="Suma 2 65 3" xfId="34403"/>
    <cellStyle name="Suma 2 65 4" xfId="34404"/>
    <cellStyle name="Suma 2 66" xfId="34405"/>
    <cellStyle name="Suma 2 66 2" xfId="34406"/>
    <cellStyle name="Suma 2 66 3" xfId="34407"/>
    <cellStyle name="Suma 2 66 4" xfId="34408"/>
    <cellStyle name="Suma 2 67" xfId="34409"/>
    <cellStyle name="Suma 2 67 2" xfId="34410"/>
    <cellStyle name="Suma 2 67 3" xfId="34411"/>
    <cellStyle name="Suma 2 68" xfId="34412"/>
    <cellStyle name="Suma 2 68 2" xfId="34413"/>
    <cellStyle name="Suma 2 68 3" xfId="34414"/>
    <cellStyle name="Suma 2 69" xfId="34415"/>
    <cellStyle name="Suma 2 69 2" xfId="34416"/>
    <cellStyle name="Suma 2 69 3" xfId="34417"/>
    <cellStyle name="Suma 2 7" xfId="34418"/>
    <cellStyle name="Suma 2 7 10" xfId="34419"/>
    <cellStyle name="Suma 2 7 10 2" xfId="34420"/>
    <cellStyle name="Suma 2 7 10 3" xfId="34421"/>
    <cellStyle name="Suma 2 7 10 4" xfId="34422"/>
    <cellStyle name="Suma 2 7 11" xfId="34423"/>
    <cellStyle name="Suma 2 7 11 2" xfId="34424"/>
    <cellStyle name="Suma 2 7 11 3" xfId="34425"/>
    <cellStyle name="Suma 2 7 11 4" xfId="34426"/>
    <cellStyle name="Suma 2 7 12" xfId="34427"/>
    <cellStyle name="Suma 2 7 12 2" xfId="34428"/>
    <cellStyle name="Suma 2 7 12 3" xfId="34429"/>
    <cellStyle name="Suma 2 7 12 4" xfId="34430"/>
    <cellStyle name="Suma 2 7 13" xfId="34431"/>
    <cellStyle name="Suma 2 7 13 2" xfId="34432"/>
    <cellStyle name="Suma 2 7 13 3" xfId="34433"/>
    <cellStyle name="Suma 2 7 13 4" xfId="34434"/>
    <cellStyle name="Suma 2 7 14" xfId="34435"/>
    <cellStyle name="Suma 2 7 14 2" xfId="34436"/>
    <cellStyle name="Suma 2 7 14 3" xfId="34437"/>
    <cellStyle name="Suma 2 7 14 4" xfId="34438"/>
    <cellStyle name="Suma 2 7 15" xfId="34439"/>
    <cellStyle name="Suma 2 7 15 2" xfId="34440"/>
    <cellStyle name="Suma 2 7 15 3" xfId="34441"/>
    <cellStyle name="Suma 2 7 15 4" xfId="34442"/>
    <cellStyle name="Suma 2 7 16" xfId="34443"/>
    <cellStyle name="Suma 2 7 16 2" xfId="34444"/>
    <cellStyle name="Suma 2 7 16 3" xfId="34445"/>
    <cellStyle name="Suma 2 7 16 4" xfId="34446"/>
    <cellStyle name="Suma 2 7 17" xfId="34447"/>
    <cellStyle name="Suma 2 7 17 2" xfId="34448"/>
    <cellStyle name="Suma 2 7 17 3" xfId="34449"/>
    <cellStyle name="Suma 2 7 17 4" xfId="34450"/>
    <cellStyle name="Suma 2 7 18" xfId="34451"/>
    <cellStyle name="Suma 2 7 18 2" xfId="34452"/>
    <cellStyle name="Suma 2 7 18 3" xfId="34453"/>
    <cellStyle name="Suma 2 7 18 4" xfId="34454"/>
    <cellStyle name="Suma 2 7 19" xfId="34455"/>
    <cellStyle name="Suma 2 7 19 2" xfId="34456"/>
    <cellStyle name="Suma 2 7 19 3" xfId="34457"/>
    <cellStyle name="Suma 2 7 19 4" xfId="34458"/>
    <cellStyle name="Suma 2 7 2" xfId="34459"/>
    <cellStyle name="Suma 2 7 2 2" xfId="34460"/>
    <cellStyle name="Suma 2 7 2 3" xfId="34461"/>
    <cellStyle name="Suma 2 7 2 4" xfId="34462"/>
    <cellStyle name="Suma 2 7 20" xfId="34463"/>
    <cellStyle name="Suma 2 7 20 2" xfId="34464"/>
    <cellStyle name="Suma 2 7 20 3" xfId="34465"/>
    <cellStyle name="Suma 2 7 20 4" xfId="34466"/>
    <cellStyle name="Suma 2 7 21" xfId="34467"/>
    <cellStyle name="Suma 2 7 21 2" xfId="34468"/>
    <cellStyle name="Suma 2 7 21 3" xfId="34469"/>
    <cellStyle name="Suma 2 7 22" xfId="34470"/>
    <cellStyle name="Suma 2 7 22 2" xfId="34471"/>
    <cellStyle name="Suma 2 7 22 3" xfId="34472"/>
    <cellStyle name="Suma 2 7 23" xfId="34473"/>
    <cellStyle name="Suma 2 7 23 2" xfId="34474"/>
    <cellStyle name="Suma 2 7 23 3" xfId="34475"/>
    <cellStyle name="Suma 2 7 24" xfId="34476"/>
    <cellStyle name="Suma 2 7 24 2" xfId="34477"/>
    <cellStyle name="Suma 2 7 24 3" xfId="34478"/>
    <cellStyle name="Suma 2 7 25" xfId="34479"/>
    <cellStyle name="Suma 2 7 25 2" xfId="34480"/>
    <cellStyle name="Suma 2 7 25 3" xfId="34481"/>
    <cellStyle name="Suma 2 7 26" xfId="34482"/>
    <cellStyle name="Suma 2 7 26 2" xfId="34483"/>
    <cellStyle name="Suma 2 7 26 3" xfId="34484"/>
    <cellStyle name="Suma 2 7 27" xfId="34485"/>
    <cellStyle name="Suma 2 7 27 2" xfId="34486"/>
    <cellStyle name="Suma 2 7 27 3" xfId="34487"/>
    <cellStyle name="Suma 2 7 28" xfId="34488"/>
    <cellStyle name="Suma 2 7 28 2" xfId="34489"/>
    <cellStyle name="Suma 2 7 28 3" xfId="34490"/>
    <cellStyle name="Suma 2 7 29" xfId="34491"/>
    <cellStyle name="Suma 2 7 29 2" xfId="34492"/>
    <cellStyle name="Suma 2 7 29 3" xfId="34493"/>
    <cellStyle name="Suma 2 7 3" xfId="34494"/>
    <cellStyle name="Suma 2 7 3 2" xfId="34495"/>
    <cellStyle name="Suma 2 7 3 3" xfId="34496"/>
    <cellStyle name="Suma 2 7 3 4" xfId="34497"/>
    <cellStyle name="Suma 2 7 30" xfId="34498"/>
    <cellStyle name="Suma 2 7 30 2" xfId="34499"/>
    <cellStyle name="Suma 2 7 30 3" xfId="34500"/>
    <cellStyle name="Suma 2 7 31" xfId="34501"/>
    <cellStyle name="Suma 2 7 31 2" xfId="34502"/>
    <cellStyle name="Suma 2 7 31 3" xfId="34503"/>
    <cellStyle name="Suma 2 7 32" xfId="34504"/>
    <cellStyle name="Suma 2 7 32 2" xfId="34505"/>
    <cellStyle name="Suma 2 7 32 3" xfId="34506"/>
    <cellStyle name="Suma 2 7 33" xfId="34507"/>
    <cellStyle name="Suma 2 7 33 2" xfId="34508"/>
    <cellStyle name="Suma 2 7 33 3" xfId="34509"/>
    <cellStyle name="Suma 2 7 34" xfId="34510"/>
    <cellStyle name="Suma 2 7 34 2" xfId="34511"/>
    <cellStyle name="Suma 2 7 34 3" xfId="34512"/>
    <cellStyle name="Suma 2 7 35" xfId="34513"/>
    <cellStyle name="Suma 2 7 35 2" xfId="34514"/>
    <cellStyle name="Suma 2 7 35 3" xfId="34515"/>
    <cellStyle name="Suma 2 7 36" xfId="34516"/>
    <cellStyle name="Suma 2 7 36 2" xfId="34517"/>
    <cellStyle name="Suma 2 7 36 3" xfId="34518"/>
    <cellStyle name="Suma 2 7 37" xfId="34519"/>
    <cellStyle name="Suma 2 7 37 2" xfId="34520"/>
    <cellStyle name="Suma 2 7 37 3" xfId="34521"/>
    <cellStyle name="Suma 2 7 38" xfId="34522"/>
    <cellStyle name="Suma 2 7 38 2" xfId="34523"/>
    <cellStyle name="Suma 2 7 38 3" xfId="34524"/>
    <cellStyle name="Suma 2 7 39" xfId="34525"/>
    <cellStyle name="Suma 2 7 39 2" xfId="34526"/>
    <cellStyle name="Suma 2 7 39 3" xfId="34527"/>
    <cellStyle name="Suma 2 7 4" xfId="34528"/>
    <cellStyle name="Suma 2 7 4 2" xfId="34529"/>
    <cellStyle name="Suma 2 7 4 3" xfId="34530"/>
    <cellStyle name="Suma 2 7 4 4" xfId="34531"/>
    <cellStyle name="Suma 2 7 40" xfId="34532"/>
    <cellStyle name="Suma 2 7 40 2" xfId="34533"/>
    <cellStyle name="Suma 2 7 40 3" xfId="34534"/>
    <cellStyle name="Suma 2 7 41" xfId="34535"/>
    <cellStyle name="Suma 2 7 41 2" xfId="34536"/>
    <cellStyle name="Suma 2 7 41 3" xfId="34537"/>
    <cellStyle name="Suma 2 7 42" xfId="34538"/>
    <cellStyle name="Suma 2 7 42 2" xfId="34539"/>
    <cellStyle name="Suma 2 7 42 3" xfId="34540"/>
    <cellStyle name="Suma 2 7 43" xfId="34541"/>
    <cellStyle name="Suma 2 7 43 2" xfId="34542"/>
    <cellStyle name="Suma 2 7 43 3" xfId="34543"/>
    <cellStyle name="Suma 2 7 44" xfId="34544"/>
    <cellStyle name="Suma 2 7 44 2" xfId="34545"/>
    <cellStyle name="Suma 2 7 44 3" xfId="34546"/>
    <cellStyle name="Suma 2 7 45" xfId="34547"/>
    <cellStyle name="Suma 2 7 45 2" xfId="34548"/>
    <cellStyle name="Suma 2 7 45 3" xfId="34549"/>
    <cellStyle name="Suma 2 7 46" xfId="34550"/>
    <cellStyle name="Suma 2 7 46 2" xfId="34551"/>
    <cellStyle name="Suma 2 7 46 3" xfId="34552"/>
    <cellStyle name="Suma 2 7 47" xfId="34553"/>
    <cellStyle name="Suma 2 7 47 2" xfId="34554"/>
    <cellStyle name="Suma 2 7 47 3" xfId="34555"/>
    <cellStyle name="Suma 2 7 48" xfId="34556"/>
    <cellStyle name="Suma 2 7 48 2" xfId="34557"/>
    <cellStyle name="Suma 2 7 48 3" xfId="34558"/>
    <cellStyle name="Suma 2 7 49" xfId="34559"/>
    <cellStyle name="Suma 2 7 49 2" xfId="34560"/>
    <cellStyle name="Suma 2 7 49 3" xfId="34561"/>
    <cellStyle name="Suma 2 7 5" xfId="34562"/>
    <cellStyle name="Suma 2 7 5 2" xfId="34563"/>
    <cellStyle name="Suma 2 7 5 3" xfId="34564"/>
    <cellStyle name="Suma 2 7 5 4" xfId="34565"/>
    <cellStyle name="Suma 2 7 50" xfId="34566"/>
    <cellStyle name="Suma 2 7 50 2" xfId="34567"/>
    <cellStyle name="Suma 2 7 50 3" xfId="34568"/>
    <cellStyle name="Suma 2 7 51" xfId="34569"/>
    <cellStyle name="Suma 2 7 51 2" xfId="34570"/>
    <cellStyle name="Suma 2 7 51 3" xfId="34571"/>
    <cellStyle name="Suma 2 7 52" xfId="34572"/>
    <cellStyle name="Suma 2 7 52 2" xfId="34573"/>
    <cellStyle name="Suma 2 7 52 3" xfId="34574"/>
    <cellStyle name="Suma 2 7 53" xfId="34575"/>
    <cellStyle name="Suma 2 7 53 2" xfId="34576"/>
    <cellStyle name="Suma 2 7 53 3" xfId="34577"/>
    <cellStyle name="Suma 2 7 54" xfId="34578"/>
    <cellStyle name="Suma 2 7 54 2" xfId="34579"/>
    <cellStyle name="Suma 2 7 54 3" xfId="34580"/>
    <cellStyle name="Suma 2 7 55" xfId="34581"/>
    <cellStyle name="Suma 2 7 55 2" xfId="34582"/>
    <cellStyle name="Suma 2 7 55 3" xfId="34583"/>
    <cellStyle name="Suma 2 7 56" xfId="34584"/>
    <cellStyle name="Suma 2 7 56 2" xfId="34585"/>
    <cellStyle name="Suma 2 7 56 3" xfId="34586"/>
    <cellStyle name="Suma 2 7 57" xfId="34587"/>
    <cellStyle name="Suma 2 7 58" xfId="34588"/>
    <cellStyle name="Suma 2 7 6" xfId="34589"/>
    <cellStyle name="Suma 2 7 6 2" xfId="34590"/>
    <cellStyle name="Suma 2 7 6 3" xfId="34591"/>
    <cellStyle name="Suma 2 7 6 4" xfId="34592"/>
    <cellStyle name="Suma 2 7 7" xfId="34593"/>
    <cellStyle name="Suma 2 7 7 2" xfId="34594"/>
    <cellStyle name="Suma 2 7 7 3" xfId="34595"/>
    <cellStyle name="Suma 2 7 7 4" xfId="34596"/>
    <cellStyle name="Suma 2 7 8" xfId="34597"/>
    <cellStyle name="Suma 2 7 8 2" xfId="34598"/>
    <cellStyle name="Suma 2 7 8 3" xfId="34599"/>
    <cellStyle name="Suma 2 7 8 4" xfId="34600"/>
    <cellStyle name="Suma 2 7 9" xfId="34601"/>
    <cellStyle name="Suma 2 7 9 2" xfId="34602"/>
    <cellStyle name="Suma 2 7 9 3" xfId="34603"/>
    <cellStyle name="Suma 2 7 9 4" xfId="34604"/>
    <cellStyle name="Suma 2 70" xfId="34605"/>
    <cellStyle name="Suma 2 70 2" xfId="34606"/>
    <cellStyle name="Suma 2 70 3" xfId="34607"/>
    <cellStyle name="Suma 2 71" xfId="34608"/>
    <cellStyle name="Suma 2 71 2" xfId="34609"/>
    <cellStyle name="Suma 2 71 3" xfId="34610"/>
    <cellStyle name="Suma 2 72" xfId="34611"/>
    <cellStyle name="Suma 2 72 2" xfId="34612"/>
    <cellStyle name="Suma 2 72 3" xfId="34613"/>
    <cellStyle name="Suma 2 73" xfId="34614"/>
    <cellStyle name="Suma 2 73 2" xfId="34615"/>
    <cellStyle name="Suma 2 73 3" xfId="34616"/>
    <cellStyle name="Suma 2 74" xfId="34617"/>
    <cellStyle name="Suma 2 74 2" xfId="34618"/>
    <cellStyle name="Suma 2 74 3" xfId="34619"/>
    <cellStyle name="Suma 2 75" xfId="34620"/>
    <cellStyle name="Suma 2 75 2" xfId="34621"/>
    <cellStyle name="Suma 2 75 3" xfId="34622"/>
    <cellStyle name="Suma 2 76" xfId="34623"/>
    <cellStyle name="Suma 2 76 2" xfId="34624"/>
    <cellStyle name="Suma 2 76 3" xfId="34625"/>
    <cellStyle name="Suma 2 77" xfId="34626"/>
    <cellStyle name="Suma 2 77 2" xfId="34627"/>
    <cellStyle name="Suma 2 77 3" xfId="34628"/>
    <cellStyle name="Suma 2 78" xfId="34629"/>
    <cellStyle name="Suma 2 78 2" xfId="34630"/>
    <cellStyle name="Suma 2 78 3" xfId="34631"/>
    <cellStyle name="Suma 2 79" xfId="34632"/>
    <cellStyle name="Suma 2 79 2" xfId="34633"/>
    <cellStyle name="Suma 2 79 3" xfId="34634"/>
    <cellStyle name="Suma 2 8" xfId="34635"/>
    <cellStyle name="Suma 2 8 10" xfId="34636"/>
    <cellStyle name="Suma 2 8 10 2" xfId="34637"/>
    <cellStyle name="Suma 2 8 10 3" xfId="34638"/>
    <cellStyle name="Suma 2 8 10 4" xfId="34639"/>
    <cellStyle name="Suma 2 8 11" xfId="34640"/>
    <cellStyle name="Suma 2 8 11 2" xfId="34641"/>
    <cellStyle name="Suma 2 8 11 3" xfId="34642"/>
    <cellStyle name="Suma 2 8 11 4" xfId="34643"/>
    <cellStyle name="Suma 2 8 12" xfId="34644"/>
    <cellStyle name="Suma 2 8 12 2" xfId="34645"/>
    <cellStyle name="Suma 2 8 12 3" xfId="34646"/>
    <cellStyle name="Suma 2 8 12 4" xfId="34647"/>
    <cellStyle name="Suma 2 8 13" xfId="34648"/>
    <cellStyle name="Suma 2 8 13 2" xfId="34649"/>
    <cellStyle name="Suma 2 8 13 3" xfId="34650"/>
    <cellStyle name="Suma 2 8 13 4" xfId="34651"/>
    <cellStyle name="Suma 2 8 14" xfId="34652"/>
    <cellStyle name="Suma 2 8 14 2" xfId="34653"/>
    <cellStyle name="Suma 2 8 14 3" xfId="34654"/>
    <cellStyle name="Suma 2 8 14 4" xfId="34655"/>
    <cellStyle name="Suma 2 8 15" xfId="34656"/>
    <cellStyle name="Suma 2 8 15 2" xfId="34657"/>
    <cellStyle name="Suma 2 8 15 3" xfId="34658"/>
    <cellStyle name="Suma 2 8 15 4" xfId="34659"/>
    <cellStyle name="Suma 2 8 16" xfId="34660"/>
    <cellStyle name="Suma 2 8 16 2" xfId="34661"/>
    <cellStyle name="Suma 2 8 16 3" xfId="34662"/>
    <cellStyle name="Suma 2 8 16 4" xfId="34663"/>
    <cellStyle name="Suma 2 8 17" xfId="34664"/>
    <cellStyle name="Suma 2 8 17 2" xfId="34665"/>
    <cellStyle name="Suma 2 8 17 3" xfId="34666"/>
    <cellStyle name="Suma 2 8 17 4" xfId="34667"/>
    <cellStyle name="Suma 2 8 18" xfId="34668"/>
    <cellStyle name="Suma 2 8 18 2" xfId="34669"/>
    <cellStyle name="Suma 2 8 18 3" xfId="34670"/>
    <cellStyle name="Suma 2 8 18 4" xfId="34671"/>
    <cellStyle name="Suma 2 8 19" xfId="34672"/>
    <cellStyle name="Suma 2 8 19 2" xfId="34673"/>
    <cellStyle name="Suma 2 8 19 3" xfId="34674"/>
    <cellStyle name="Suma 2 8 19 4" xfId="34675"/>
    <cellStyle name="Suma 2 8 2" xfId="34676"/>
    <cellStyle name="Suma 2 8 2 2" xfId="34677"/>
    <cellStyle name="Suma 2 8 2 3" xfId="34678"/>
    <cellStyle name="Suma 2 8 2 4" xfId="34679"/>
    <cellStyle name="Suma 2 8 20" xfId="34680"/>
    <cellStyle name="Suma 2 8 20 2" xfId="34681"/>
    <cellStyle name="Suma 2 8 20 3" xfId="34682"/>
    <cellStyle name="Suma 2 8 20 4" xfId="34683"/>
    <cellStyle name="Suma 2 8 21" xfId="34684"/>
    <cellStyle name="Suma 2 8 21 2" xfId="34685"/>
    <cellStyle name="Suma 2 8 21 3" xfId="34686"/>
    <cellStyle name="Suma 2 8 22" xfId="34687"/>
    <cellStyle name="Suma 2 8 22 2" xfId="34688"/>
    <cellStyle name="Suma 2 8 22 3" xfId="34689"/>
    <cellStyle name="Suma 2 8 23" xfId="34690"/>
    <cellStyle name="Suma 2 8 23 2" xfId="34691"/>
    <cellStyle name="Suma 2 8 23 3" xfId="34692"/>
    <cellStyle name="Suma 2 8 24" xfId="34693"/>
    <cellStyle name="Suma 2 8 24 2" xfId="34694"/>
    <cellStyle name="Suma 2 8 24 3" xfId="34695"/>
    <cellStyle name="Suma 2 8 25" xfId="34696"/>
    <cellStyle name="Suma 2 8 25 2" xfId="34697"/>
    <cellStyle name="Suma 2 8 25 3" xfId="34698"/>
    <cellStyle name="Suma 2 8 26" xfId="34699"/>
    <cellStyle name="Suma 2 8 26 2" xfId="34700"/>
    <cellStyle name="Suma 2 8 26 3" xfId="34701"/>
    <cellStyle name="Suma 2 8 27" xfId="34702"/>
    <cellStyle name="Suma 2 8 27 2" xfId="34703"/>
    <cellStyle name="Suma 2 8 27 3" xfId="34704"/>
    <cellStyle name="Suma 2 8 28" xfId="34705"/>
    <cellStyle name="Suma 2 8 28 2" xfId="34706"/>
    <cellStyle name="Suma 2 8 28 3" xfId="34707"/>
    <cellStyle name="Suma 2 8 29" xfId="34708"/>
    <cellStyle name="Suma 2 8 29 2" xfId="34709"/>
    <cellStyle name="Suma 2 8 29 3" xfId="34710"/>
    <cellStyle name="Suma 2 8 3" xfId="34711"/>
    <cellStyle name="Suma 2 8 3 2" xfId="34712"/>
    <cellStyle name="Suma 2 8 3 3" xfId="34713"/>
    <cellStyle name="Suma 2 8 3 4" xfId="34714"/>
    <cellStyle name="Suma 2 8 30" xfId="34715"/>
    <cellStyle name="Suma 2 8 30 2" xfId="34716"/>
    <cellStyle name="Suma 2 8 30 3" xfId="34717"/>
    <cellStyle name="Suma 2 8 31" xfId="34718"/>
    <cellStyle name="Suma 2 8 31 2" xfId="34719"/>
    <cellStyle name="Suma 2 8 31 3" xfId="34720"/>
    <cellStyle name="Suma 2 8 32" xfId="34721"/>
    <cellStyle name="Suma 2 8 32 2" xfId="34722"/>
    <cellStyle name="Suma 2 8 32 3" xfId="34723"/>
    <cellStyle name="Suma 2 8 33" xfId="34724"/>
    <cellStyle name="Suma 2 8 33 2" xfId="34725"/>
    <cellStyle name="Suma 2 8 33 3" xfId="34726"/>
    <cellStyle name="Suma 2 8 34" xfId="34727"/>
    <cellStyle name="Suma 2 8 34 2" xfId="34728"/>
    <cellStyle name="Suma 2 8 34 3" xfId="34729"/>
    <cellStyle name="Suma 2 8 35" xfId="34730"/>
    <cellStyle name="Suma 2 8 35 2" xfId="34731"/>
    <cellStyle name="Suma 2 8 35 3" xfId="34732"/>
    <cellStyle name="Suma 2 8 36" xfId="34733"/>
    <cellStyle name="Suma 2 8 36 2" xfId="34734"/>
    <cellStyle name="Suma 2 8 36 3" xfId="34735"/>
    <cellStyle name="Suma 2 8 37" xfId="34736"/>
    <cellStyle name="Suma 2 8 37 2" xfId="34737"/>
    <cellStyle name="Suma 2 8 37 3" xfId="34738"/>
    <cellStyle name="Suma 2 8 38" xfId="34739"/>
    <cellStyle name="Suma 2 8 38 2" xfId="34740"/>
    <cellStyle name="Suma 2 8 38 3" xfId="34741"/>
    <cellStyle name="Suma 2 8 39" xfId="34742"/>
    <cellStyle name="Suma 2 8 39 2" xfId="34743"/>
    <cellStyle name="Suma 2 8 39 3" xfId="34744"/>
    <cellStyle name="Suma 2 8 4" xfId="34745"/>
    <cellStyle name="Suma 2 8 4 2" xfId="34746"/>
    <cellStyle name="Suma 2 8 4 3" xfId="34747"/>
    <cellStyle name="Suma 2 8 4 4" xfId="34748"/>
    <cellStyle name="Suma 2 8 40" xfId="34749"/>
    <cellStyle name="Suma 2 8 40 2" xfId="34750"/>
    <cellStyle name="Suma 2 8 40 3" xfId="34751"/>
    <cellStyle name="Suma 2 8 41" xfId="34752"/>
    <cellStyle name="Suma 2 8 41 2" xfId="34753"/>
    <cellStyle name="Suma 2 8 41 3" xfId="34754"/>
    <cellStyle name="Suma 2 8 42" xfId="34755"/>
    <cellStyle name="Suma 2 8 42 2" xfId="34756"/>
    <cellStyle name="Suma 2 8 42 3" xfId="34757"/>
    <cellStyle name="Suma 2 8 43" xfId="34758"/>
    <cellStyle name="Suma 2 8 43 2" xfId="34759"/>
    <cellStyle name="Suma 2 8 43 3" xfId="34760"/>
    <cellStyle name="Suma 2 8 44" xfId="34761"/>
    <cellStyle name="Suma 2 8 44 2" xfId="34762"/>
    <cellStyle name="Suma 2 8 44 3" xfId="34763"/>
    <cellStyle name="Suma 2 8 45" xfId="34764"/>
    <cellStyle name="Suma 2 8 45 2" xfId="34765"/>
    <cellStyle name="Suma 2 8 45 3" xfId="34766"/>
    <cellStyle name="Suma 2 8 46" xfId="34767"/>
    <cellStyle name="Suma 2 8 46 2" xfId="34768"/>
    <cellStyle name="Suma 2 8 46 3" xfId="34769"/>
    <cellStyle name="Suma 2 8 47" xfId="34770"/>
    <cellStyle name="Suma 2 8 47 2" xfId="34771"/>
    <cellStyle name="Suma 2 8 47 3" xfId="34772"/>
    <cellStyle name="Suma 2 8 48" xfId="34773"/>
    <cellStyle name="Suma 2 8 48 2" xfId="34774"/>
    <cellStyle name="Suma 2 8 48 3" xfId="34775"/>
    <cellStyle name="Suma 2 8 49" xfId="34776"/>
    <cellStyle name="Suma 2 8 49 2" xfId="34777"/>
    <cellStyle name="Suma 2 8 49 3" xfId="34778"/>
    <cellStyle name="Suma 2 8 5" xfId="34779"/>
    <cellStyle name="Suma 2 8 5 2" xfId="34780"/>
    <cellStyle name="Suma 2 8 5 3" xfId="34781"/>
    <cellStyle name="Suma 2 8 5 4" xfId="34782"/>
    <cellStyle name="Suma 2 8 50" xfId="34783"/>
    <cellStyle name="Suma 2 8 50 2" xfId="34784"/>
    <cellStyle name="Suma 2 8 50 3" xfId="34785"/>
    <cellStyle name="Suma 2 8 51" xfId="34786"/>
    <cellStyle name="Suma 2 8 51 2" xfId="34787"/>
    <cellStyle name="Suma 2 8 51 3" xfId="34788"/>
    <cellStyle name="Suma 2 8 52" xfId="34789"/>
    <cellStyle name="Suma 2 8 52 2" xfId="34790"/>
    <cellStyle name="Suma 2 8 52 3" xfId="34791"/>
    <cellStyle name="Suma 2 8 53" xfId="34792"/>
    <cellStyle name="Suma 2 8 53 2" xfId="34793"/>
    <cellStyle name="Suma 2 8 53 3" xfId="34794"/>
    <cellStyle name="Suma 2 8 54" xfId="34795"/>
    <cellStyle name="Suma 2 8 54 2" xfId="34796"/>
    <cellStyle name="Suma 2 8 54 3" xfId="34797"/>
    <cellStyle name="Suma 2 8 55" xfId="34798"/>
    <cellStyle name="Suma 2 8 55 2" xfId="34799"/>
    <cellStyle name="Suma 2 8 55 3" xfId="34800"/>
    <cellStyle name="Suma 2 8 56" xfId="34801"/>
    <cellStyle name="Suma 2 8 56 2" xfId="34802"/>
    <cellStyle name="Suma 2 8 56 3" xfId="34803"/>
    <cellStyle name="Suma 2 8 57" xfId="34804"/>
    <cellStyle name="Suma 2 8 58" xfId="34805"/>
    <cellStyle name="Suma 2 8 6" xfId="34806"/>
    <cellStyle name="Suma 2 8 6 2" xfId="34807"/>
    <cellStyle name="Suma 2 8 6 3" xfId="34808"/>
    <cellStyle name="Suma 2 8 6 4" xfId="34809"/>
    <cellStyle name="Suma 2 8 7" xfId="34810"/>
    <cellStyle name="Suma 2 8 7 2" xfId="34811"/>
    <cellStyle name="Suma 2 8 7 3" xfId="34812"/>
    <cellStyle name="Suma 2 8 7 4" xfId="34813"/>
    <cellStyle name="Suma 2 8 8" xfId="34814"/>
    <cellStyle name="Suma 2 8 8 2" xfId="34815"/>
    <cellStyle name="Suma 2 8 8 3" xfId="34816"/>
    <cellStyle name="Suma 2 8 8 4" xfId="34817"/>
    <cellStyle name="Suma 2 8 9" xfId="34818"/>
    <cellStyle name="Suma 2 8 9 2" xfId="34819"/>
    <cellStyle name="Suma 2 8 9 3" xfId="34820"/>
    <cellStyle name="Suma 2 8 9 4" xfId="34821"/>
    <cellStyle name="Suma 2 80" xfId="34822"/>
    <cellStyle name="Suma 2 80 2" xfId="34823"/>
    <cellStyle name="Suma 2 80 3" xfId="34824"/>
    <cellStyle name="Suma 2 81" xfId="34825"/>
    <cellStyle name="Suma 2 81 2" xfId="34826"/>
    <cellStyle name="Suma 2 81 3" xfId="34827"/>
    <cellStyle name="Suma 2 82" xfId="34828"/>
    <cellStyle name="Suma 2 82 2" xfId="34829"/>
    <cellStyle name="Suma 2 82 3" xfId="34830"/>
    <cellStyle name="Suma 2 83" xfId="34831"/>
    <cellStyle name="Suma 2 83 2" xfId="34832"/>
    <cellStyle name="Suma 2 83 3" xfId="34833"/>
    <cellStyle name="Suma 2 84" xfId="34834"/>
    <cellStyle name="Suma 2 84 2" xfId="34835"/>
    <cellStyle name="Suma 2 84 3" xfId="34836"/>
    <cellStyle name="Suma 2 85" xfId="34837"/>
    <cellStyle name="Suma 2 85 2" xfId="34838"/>
    <cellStyle name="Suma 2 85 3" xfId="34839"/>
    <cellStyle name="Suma 2 86" xfId="34840"/>
    <cellStyle name="Suma 2 86 2" xfId="34841"/>
    <cellStyle name="Suma 2 86 3" xfId="34842"/>
    <cellStyle name="Suma 2 87" xfId="34843"/>
    <cellStyle name="Suma 2 87 2" xfId="34844"/>
    <cellStyle name="Suma 2 87 3" xfId="34845"/>
    <cellStyle name="Suma 2 88" xfId="34846"/>
    <cellStyle name="Suma 2 89" xfId="34847"/>
    <cellStyle name="Suma 2 9" xfId="34848"/>
    <cellStyle name="Suma 2 9 10" xfId="34849"/>
    <cellStyle name="Suma 2 9 10 2" xfId="34850"/>
    <cellStyle name="Suma 2 9 10 3" xfId="34851"/>
    <cellStyle name="Suma 2 9 10 4" xfId="34852"/>
    <cellStyle name="Suma 2 9 11" xfId="34853"/>
    <cellStyle name="Suma 2 9 11 2" xfId="34854"/>
    <cellStyle name="Suma 2 9 11 3" xfId="34855"/>
    <cellStyle name="Suma 2 9 11 4" xfId="34856"/>
    <cellStyle name="Suma 2 9 12" xfId="34857"/>
    <cellStyle name="Suma 2 9 12 2" xfId="34858"/>
    <cellStyle name="Suma 2 9 12 3" xfId="34859"/>
    <cellStyle name="Suma 2 9 12 4" xfId="34860"/>
    <cellStyle name="Suma 2 9 13" xfId="34861"/>
    <cellStyle name="Suma 2 9 13 2" xfId="34862"/>
    <cellStyle name="Suma 2 9 13 3" xfId="34863"/>
    <cellStyle name="Suma 2 9 13 4" xfId="34864"/>
    <cellStyle name="Suma 2 9 14" xfId="34865"/>
    <cellStyle name="Suma 2 9 14 2" xfId="34866"/>
    <cellStyle name="Suma 2 9 14 3" xfId="34867"/>
    <cellStyle name="Suma 2 9 14 4" xfId="34868"/>
    <cellStyle name="Suma 2 9 15" xfId="34869"/>
    <cellStyle name="Suma 2 9 15 2" xfId="34870"/>
    <cellStyle name="Suma 2 9 15 3" xfId="34871"/>
    <cellStyle name="Suma 2 9 15 4" xfId="34872"/>
    <cellStyle name="Suma 2 9 16" xfId="34873"/>
    <cellStyle name="Suma 2 9 16 2" xfId="34874"/>
    <cellStyle name="Suma 2 9 16 3" xfId="34875"/>
    <cellStyle name="Suma 2 9 16 4" xfId="34876"/>
    <cellStyle name="Suma 2 9 17" xfId="34877"/>
    <cellStyle name="Suma 2 9 17 2" xfId="34878"/>
    <cellStyle name="Suma 2 9 17 3" xfId="34879"/>
    <cellStyle name="Suma 2 9 17 4" xfId="34880"/>
    <cellStyle name="Suma 2 9 18" xfId="34881"/>
    <cellStyle name="Suma 2 9 18 2" xfId="34882"/>
    <cellStyle name="Suma 2 9 18 3" xfId="34883"/>
    <cellStyle name="Suma 2 9 18 4" xfId="34884"/>
    <cellStyle name="Suma 2 9 19" xfId="34885"/>
    <cellStyle name="Suma 2 9 19 2" xfId="34886"/>
    <cellStyle name="Suma 2 9 19 3" xfId="34887"/>
    <cellStyle name="Suma 2 9 19 4" xfId="34888"/>
    <cellStyle name="Suma 2 9 2" xfId="34889"/>
    <cellStyle name="Suma 2 9 2 2" xfId="34890"/>
    <cellStyle name="Suma 2 9 2 3" xfId="34891"/>
    <cellStyle name="Suma 2 9 2 4" xfId="34892"/>
    <cellStyle name="Suma 2 9 20" xfId="34893"/>
    <cellStyle name="Suma 2 9 20 2" xfId="34894"/>
    <cellStyle name="Suma 2 9 20 3" xfId="34895"/>
    <cellStyle name="Suma 2 9 20 4" xfId="34896"/>
    <cellStyle name="Suma 2 9 21" xfId="34897"/>
    <cellStyle name="Suma 2 9 21 2" xfId="34898"/>
    <cellStyle name="Suma 2 9 21 3" xfId="34899"/>
    <cellStyle name="Suma 2 9 22" xfId="34900"/>
    <cellStyle name="Suma 2 9 22 2" xfId="34901"/>
    <cellStyle name="Suma 2 9 22 3" xfId="34902"/>
    <cellStyle name="Suma 2 9 23" xfId="34903"/>
    <cellStyle name="Suma 2 9 23 2" xfId="34904"/>
    <cellStyle name="Suma 2 9 23 3" xfId="34905"/>
    <cellStyle name="Suma 2 9 24" xfId="34906"/>
    <cellStyle name="Suma 2 9 24 2" xfId="34907"/>
    <cellStyle name="Suma 2 9 24 3" xfId="34908"/>
    <cellStyle name="Suma 2 9 25" xfId="34909"/>
    <cellStyle name="Suma 2 9 25 2" xfId="34910"/>
    <cellStyle name="Suma 2 9 25 3" xfId="34911"/>
    <cellStyle name="Suma 2 9 26" xfId="34912"/>
    <cellStyle name="Suma 2 9 26 2" xfId="34913"/>
    <cellStyle name="Suma 2 9 26 3" xfId="34914"/>
    <cellStyle name="Suma 2 9 27" xfId="34915"/>
    <cellStyle name="Suma 2 9 27 2" xfId="34916"/>
    <cellStyle name="Suma 2 9 27 3" xfId="34917"/>
    <cellStyle name="Suma 2 9 28" xfId="34918"/>
    <cellStyle name="Suma 2 9 28 2" xfId="34919"/>
    <cellStyle name="Suma 2 9 28 3" xfId="34920"/>
    <cellStyle name="Suma 2 9 29" xfId="34921"/>
    <cellStyle name="Suma 2 9 29 2" xfId="34922"/>
    <cellStyle name="Suma 2 9 29 3" xfId="34923"/>
    <cellStyle name="Suma 2 9 3" xfId="34924"/>
    <cellStyle name="Suma 2 9 3 2" xfId="34925"/>
    <cellStyle name="Suma 2 9 3 3" xfId="34926"/>
    <cellStyle name="Suma 2 9 3 4" xfId="34927"/>
    <cellStyle name="Suma 2 9 30" xfId="34928"/>
    <cellStyle name="Suma 2 9 30 2" xfId="34929"/>
    <cellStyle name="Suma 2 9 30 3" xfId="34930"/>
    <cellStyle name="Suma 2 9 31" xfId="34931"/>
    <cellStyle name="Suma 2 9 31 2" xfId="34932"/>
    <cellStyle name="Suma 2 9 31 3" xfId="34933"/>
    <cellStyle name="Suma 2 9 32" xfId="34934"/>
    <cellStyle name="Suma 2 9 32 2" xfId="34935"/>
    <cellStyle name="Suma 2 9 32 3" xfId="34936"/>
    <cellStyle name="Suma 2 9 33" xfId="34937"/>
    <cellStyle name="Suma 2 9 33 2" xfId="34938"/>
    <cellStyle name="Suma 2 9 33 3" xfId="34939"/>
    <cellStyle name="Suma 2 9 34" xfId="34940"/>
    <cellStyle name="Suma 2 9 34 2" xfId="34941"/>
    <cellStyle name="Suma 2 9 34 3" xfId="34942"/>
    <cellStyle name="Suma 2 9 35" xfId="34943"/>
    <cellStyle name="Suma 2 9 35 2" xfId="34944"/>
    <cellStyle name="Suma 2 9 35 3" xfId="34945"/>
    <cellStyle name="Suma 2 9 36" xfId="34946"/>
    <cellStyle name="Suma 2 9 36 2" xfId="34947"/>
    <cellStyle name="Suma 2 9 36 3" xfId="34948"/>
    <cellStyle name="Suma 2 9 37" xfId="34949"/>
    <cellStyle name="Suma 2 9 37 2" xfId="34950"/>
    <cellStyle name="Suma 2 9 37 3" xfId="34951"/>
    <cellStyle name="Suma 2 9 38" xfId="34952"/>
    <cellStyle name="Suma 2 9 38 2" xfId="34953"/>
    <cellStyle name="Suma 2 9 38 3" xfId="34954"/>
    <cellStyle name="Suma 2 9 39" xfId="34955"/>
    <cellStyle name="Suma 2 9 39 2" xfId="34956"/>
    <cellStyle name="Suma 2 9 39 3" xfId="34957"/>
    <cellStyle name="Suma 2 9 4" xfId="34958"/>
    <cellStyle name="Suma 2 9 4 2" xfId="34959"/>
    <cellStyle name="Suma 2 9 4 3" xfId="34960"/>
    <cellStyle name="Suma 2 9 4 4" xfId="34961"/>
    <cellStyle name="Suma 2 9 40" xfId="34962"/>
    <cellStyle name="Suma 2 9 40 2" xfId="34963"/>
    <cellStyle name="Suma 2 9 40 3" xfId="34964"/>
    <cellStyle name="Suma 2 9 41" xfId="34965"/>
    <cellStyle name="Suma 2 9 41 2" xfId="34966"/>
    <cellStyle name="Suma 2 9 41 3" xfId="34967"/>
    <cellStyle name="Suma 2 9 42" xfId="34968"/>
    <cellStyle name="Suma 2 9 42 2" xfId="34969"/>
    <cellStyle name="Suma 2 9 42 3" xfId="34970"/>
    <cellStyle name="Suma 2 9 43" xfId="34971"/>
    <cellStyle name="Suma 2 9 43 2" xfId="34972"/>
    <cellStyle name="Suma 2 9 43 3" xfId="34973"/>
    <cellStyle name="Suma 2 9 44" xfId="34974"/>
    <cellStyle name="Suma 2 9 44 2" xfId="34975"/>
    <cellStyle name="Suma 2 9 44 3" xfId="34976"/>
    <cellStyle name="Suma 2 9 45" xfId="34977"/>
    <cellStyle name="Suma 2 9 45 2" xfId="34978"/>
    <cellStyle name="Suma 2 9 45 3" xfId="34979"/>
    <cellStyle name="Suma 2 9 46" xfId="34980"/>
    <cellStyle name="Suma 2 9 46 2" xfId="34981"/>
    <cellStyle name="Suma 2 9 46 3" xfId="34982"/>
    <cellStyle name="Suma 2 9 47" xfId="34983"/>
    <cellStyle name="Suma 2 9 47 2" xfId="34984"/>
    <cellStyle name="Suma 2 9 47 3" xfId="34985"/>
    <cellStyle name="Suma 2 9 48" xfId="34986"/>
    <cellStyle name="Suma 2 9 48 2" xfId="34987"/>
    <cellStyle name="Suma 2 9 48 3" xfId="34988"/>
    <cellStyle name="Suma 2 9 49" xfId="34989"/>
    <cellStyle name="Suma 2 9 49 2" xfId="34990"/>
    <cellStyle name="Suma 2 9 49 3" xfId="34991"/>
    <cellStyle name="Suma 2 9 5" xfId="34992"/>
    <cellStyle name="Suma 2 9 5 2" xfId="34993"/>
    <cellStyle name="Suma 2 9 5 3" xfId="34994"/>
    <cellStyle name="Suma 2 9 5 4" xfId="34995"/>
    <cellStyle name="Suma 2 9 50" xfId="34996"/>
    <cellStyle name="Suma 2 9 50 2" xfId="34997"/>
    <cellStyle name="Suma 2 9 50 3" xfId="34998"/>
    <cellStyle name="Suma 2 9 51" xfId="34999"/>
    <cellStyle name="Suma 2 9 51 2" xfId="35000"/>
    <cellStyle name="Suma 2 9 51 3" xfId="35001"/>
    <cellStyle name="Suma 2 9 52" xfId="35002"/>
    <cellStyle name="Suma 2 9 52 2" xfId="35003"/>
    <cellStyle name="Suma 2 9 52 3" xfId="35004"/>
    <cellStyle name="Suma 2 9 53" xfId="35005"/>
    <cellStyle name="Suma 2 9 53 2" xfId="35006"/>
    <cellStyle name="Suma 2 9 53 3" xfId="35007"/>
    <cellStyle name="Suma 2 9 54" xfId="35008"/>
    <cellStyle name="Suma 2 9 54 2" xfId="35009"/>
    <cellStyle name="Suma 2 9 54 3" xfId="35010"/>
    <cellStyle name="Suma 2 9 55" xfId="35011"/>
    <cellStyle name="Suma 2 9 55 2" xfId="35012"/>
    <cellStyle name="Suma 2 9 55 3" xfId="35013"/>
    <cellStyle name="Suma 2 9 56" xfId="35014"/>
    <cellStyle name="Suma 2 9 56 2" xfId="35015"/>
    <cellStyle name="Suma 2 9 56 3" xfId="35016"/>
    <cellStyle name="Suma 2 9 57" xfId="35017"/>
    <cellStyle name="Suma 2 9 58" xfId="35018"/>
    <cellStyle name="Suma 2 9 6" xfId="35019"/>
    <cellStyle name="Suma 2 9 6 2" xfId="35020"/>
    <cellStyle name="Suma 2 9 6 3" xfId="35021"/>
    <cellStyle name="Suma 2 9 6 4" xfId="35022"/>
    <cellStyle name="Suma 2 9 7" xfId="35023"/>
    <cellStyle name="Suma 2 9 7 2" xfId="35024"/>
    <cellStyle name="Suma 2 9 7 3" xfId="35025"/>
    <cellStyle name="Suma 2 9 7 4" xfId="35026"/>
    <cellStyle name="Suma 2 9 8" xfId="35027"/>
    <cellStyle name="Suma 2 9 8 2" xfId="35028"/>
    <cellStyle name="Suma 2 9 8 3" xfId="35029"/>
    <cellStyle name="Suma 2 9 8 4" xfId="35030"/>
    <cellStyle name="Suma 2 9 9" xfId="35031"/>
    <cellStyle name="Suma 2 9 9 2" xfId="35032"/>
    <cellStyle name="Suma 2 9 9 3" xfId="35033"/>
    <cellStyle name="Suma 2 9 9 4" xfId="35034"/>
    <cellStyle name="Suma 3" xfId="35035"/>
    <cellStyle name="Suma 3 2" xfId="35036"/>
    <cellStyle name="Suma 3 2 2" xfId="35037"/>
    <cellStyle name="Suma 3 3" xfId="35038"/>
    <cellStyle name="Suma 3 4" xfId="35039"/>
    <cellStyle name="Suma 3 5" xfId="35040"/>
    <cellStyle name="Suma 3 6" xfId="35041"/>
    <cellStyle name="Suma 3 7" xfId="35042"/>
    <cellStyle name="Suma 3 8" xfId="35043"/>
    <cellStyle name="Suma 3 9" xfId="35044"/>
    <cellStyle name="Suma 4" xfId="35045"/>
    <cellStyle name="Suma 4 2" xfId="35046"/>
    <cellStyle name="Suma 4 3" xfId="35047"/>
    <cellStyle name="Suma 4 4" xfId="35048"/>
    <cellStyle name="Suma 4 5" xfId="35049"/>
    <cellStyle name="Suma 4 6" xfId="35050"/>
    <cellStyle name="Suma 4 7" xfId="35051"/>
    <cellStyle name="Suma 4 8" xfId="35052"/>
    <cellStyle name="Suma 4 9" xfId="35053"/>
    <cellStyle name="Suma 5" xfId="35054"/>
    <cellStyle name="Suma 5 2" xfId="35055"/>
    <cellStyle name="Suma 5 3" xfId="35056"/>
    <cellStyle name="Suma 6" xfId="35057"/>
    <cellStyle name="Suma 6 2" xfId="35058"/>
    <cellStyle name="Suma 7" xfId="35059"/>
    <cellStyle name="Tekst objaśnienia 2" xfId="35060"/>
    <cellStyle name="Tekst objaśnienia 2 10" xfId="35061"/>
    <cellStyle name="Tekst objaśnienia 2 10 2" xfId="35062"/>
    <cellStyle name="Tekst objaśnienia 2 10 3" xfId="35063"/>
    <cellStyle name="Tekst objaśnienia 2 10 4" xfId="35064"/>
    <cellStyle name="Tekst objaśnienia 2 10 5" xfId="35065"/>
    <cellStyle name="Tekst objaśnienia 2 10 6" xfId="35066"/>
    <cellStyle name="Tekst objaśnienia 2 10 7" xfId="35067"/>
    <cellStyle name="Tekst objaśnienia 2 11" xfId="35068"/>
    <cellStyle name="Tekst objaśnienia 2 11 2" xfId="35069"/>
    <cellStyle name="Tekst objaśnienia 2 11 3" xfId="35070"/>
    <cellStyle name="Tekst objaśnienia 2 11 4" xfId="35071"/>
    <cellStyle name="Tekst objaśnienia 2 11 5" xfId="35072"/>
    <cellStyle name="Tekst objaśnienia 2 11 6" xfId="35073"/>
    <cellStyle name="Tekst objaśnienia 2 11 7" xfId="35074"/>
    <cellStyle name="Tekst objaśnienia 2 12" xfId="35075"/>
    <cellStyle name="Tekst objaśnienia 2 12 2" xfId="35076"/>
    <cellStyle name="Tekst objaśnienia 2 12 3" xfId="35077"/>
    <cellStyle name="Tekst objaśnienia 2 12 4" xfId="35078"/>
    <cellStyle name="Tekst objaśnienia 2 12 5" xfId="35079"/>
    <cellStyle name="Tekst objaśnienia 2 12 6" xfId="35080"/>
    <cellStyle name="Tekst objaśnienia 2 12 7" xfId="35081"/>
    <cellStyle name="Tekst objaśnienia 2 13" xfId="35082"/>
    <cellStyle name="Tekst objaśnienia 2 13 2" xfId="35083"/>
    <cellStyle name="Tekst objaśnienia 2 13 3" xfId="35084"/>
    <cellStyle name="Tekst objaśnienia 2 13 4" xfId="35085"/>
    <cellStyle name="Tekst objaśnienia 2 13 5" xfId="35086"/>
    <cellStyle name="Tekst objaśnienia 2 13 6" xfId="35087"/>
    <cellStyle name="Tekst objaśnienia 2 13 7" xfId="35088"/>
    <cellStyle name="Tekst objaśnienia 2 14" xfId="35089"/>
    <cellStyle name="Tekst objaśnienia 2 14 2" xfId="35090"/>
    <cellStyle name="Tekst objaśnienia 2 14 3" xfId="35091"/>
    <cellStyle name="Tekst objaśnienia 2 14 4" xfId="35092"/>
    <cellStyle name="Tekst objaśnienia 2 14 5" xfId="35093"/>
    <cellStyle name="Tekst objaśnienia 2 14 6" xfId="35094"/>
    <cellStyle name="Tekst objaśnienia 2 14 7" xfId="35095"/>
    <cellStyle name="Tekst objaśnienia 2 15" xfId="35096"/>
    <cellStyle name="Tekst objaśnienia 2 15 2" xfId="35097"/>
    <cellStyle name="Tekst objaśnienia 2 15 3" xfId="35098"/>
    <cellStyle name="Tekst objaśnienia 2 15 4" xfId="35099"/>
    <cellStyle name="Tekst objaśnienia 2 15 5" xfId="35100"/>
    <cellStyle name="Tekst objaśnienia 2 15 6" xfId="35101"/>
    <cellStyle name="Tekst objaśnienia 2 15 7" xfId="35102"/>
    <cellStyle name="Tekst objaśnienia 2 16" xfId="35103"/>
    <cellStyle name="Tekst objaśnienia 2 16 2" xfId="35104"/>
    <cellStyle name="Tekst objaśnienia 2 16 3" xfId="35105"/>
    <cellStyle name="Tekst objaśnienia 2 16 4" xfId="35106"/>
    <cellStyle name="Tekst objaśnienia 2 16 5" xfId="35107"/>
    <cellStyle name="Tekst objaśnienia 2 16 6" xfId="35108"/>
    <cellStyle name="Tekst objaśnienia 2 16 7" xfId="35109"/>
    <cellStyle name="Tekst objaśnienia 2 17" xfId="35110"/>
    <cellStyle name="Tekst objaśnienia 2 17 2" xfId="35111"/>
    <cellStyle name="Tekst objaśnienia 2 17 3" xfId="35112"/>
    <cellStyle name="Tekst objaśnienia 2 17 4" xfId="35113"/>
    <cellStyle name="Tekst objaśnienia 2 17 5" xfId="35114"/>
    <cellStyle name="Tekst objaśnienia 2 17 6" xfId="35115"/>
    <cellStyle name="Tekst objaśnienia 2 17 7" xfId="35116"/>
    <cellStyle name="Tekst objaśnienia 2 18" xfId="35117"/>
    <cellStyle name="Tekst objaśnienia 2 18 2" xfId="35118"/>
    <cellStyle name="Tekst objaśnienia 2 18 3" xfId="35119"/>
    <cellStyle name="Tekst objaśnienia 2 18 4" xfId="35120"/>
    <cellStyle name="Tekst objaśnienia 2 18 5" xfId="35121"/>
    <cellStyle name="Tekst objaśnienia 2 18 6" xfId="35122"/>
    <cellStyle name="Tekst objaśnienia 2 18 7" xfId="35123"/>
    <cellStyle name="Tekst objaśnienia 2 19" xfId="35124"/>
    <cellStyle name="Tekst objaśnienia 2 19 2" xfId="35125"/>
    <cellStyle name="Tekst objaśnienia 2 19 3" xfId="35126"/>
    <cellStyle name="Tekst objaśnienia 2 19 4" xfId="35127"/>
    <cellStyle name="Tekst objaśnienia 2 19 5" xfId="35128"/>
    <cellStyle name="Tekst objaśnienia 2 19 6" xfId="35129"/>
    <cellStyle name="Tekst objaśnienia 2 19 7" xfId="35130"/>
    <cellStyle name="Tekst objaśnienia 2 2" xfId="35131"/>
    <cellStyle name="Tekst objaśnienia 2 2 2" xfId="35132"/>
    <cellStyle name="Tekst objaśnienia 2 2 3" xfId="35133"/>
    <cellStyle name="Tekst objaśnienia 2 2 4" xfId="35134"/>
    <cellStyle name="Tekst objaśnienia 2 2 5" xfId="35135"/>
    <cellStyle name="Tekst objaśnienia 2 2 6" xfId="35136"/>
    <cellStyle name="Tekst objaśnienia 2 2 7" xfId="35137"/>
    <cellStyle name="Tekst objaśnienia 2 2 8" xfId="35138"/>
    <cellStyle name="Tekst objaśnienia 2 20" xfId="35139"/>
    <cellStyle name="Tekst objaśnienia 2 20 2" xfId="35140"/>
    <cellStyle name="Tekst objaśnienia 2 20 3" xfId="35141"/>
    <cellStyle name="Tekst objaśnienia 2 20 4" xfId="35142"/>
    <cellStyle name="Tekst objaśnienia 2 20 5" xfId="35143"/>
    <cellStyle name="Tekst objaśnienia 2 20 6" xfId="35144"/>
    <cellStyle name="Tekst objaśnienia 2 20 7" xfId="35145"/>
    <cellStyle name="Tekst objaśnienia 2 21" xfId="35146"/>
    <cellStyle name="Tekst objaśnienia 2 21 2" xfId="35147"/>
    <cellStyle name="Tekst objaśnienia 2 21 3" xfId="35148"/>
    <cellStyle name="Tekst objaśnienia 2 21 4" xfId="35149"/>
    <cellStyle name="Tekst objaśnienia 2 21 5" xfId="35150"/>
    <cellStyle name="Tekst objaśnienia 2 21 6" xfId="35151"/>
    <cellStyle name="Tekst objaśnienia 2 21 7" xfId="35152"/>
    <cellStyle name="Tekst objaśnienia 2 22" xfId="35153"/>
    <cellStyle name="Tekst objaśnienia 2 22 2" xfId="35154"/>
    <cellStyle name="Tekst objaśnienia 2 22 3" xfId="35155"/>
    <cellStyle name="Tekst objaśnienia 2 22 4" xfId="35156"/>
    <cellStyle name="Tekst objaśnienia 2 22 5" xfId="35157"/>
    <cellStyle name="Tekst objaśnienia 2 22 6" xfId="35158"/>
    <cellStyle name="Tekst objaśnienia 2 22 7" xfId="35159"/>
    <cellStyle name="Tekst objaśnienia 2 23" xfId="35160"/>
    <cellStyle name="Tekst objaśnienia 2 23 2" xfId="35161"/>
    <cellStyle name="Tekst objaśnienia 2 23 3" xfId="35162"/>
    <cellStyle name="Tekst objaśnienia 2 23 4" xfId="35163"/>
    <cellStyle name="Tekst objaśnienia 2 23 5" xfId="35164"/>
    <cellStyle name="Tekst objaśnienia 2 23 6" xfId="35165"/>
    <cellStyle name="Tekst objaśnienia 2 23 7" xfId="35166"/>
    <cellStyle name="Tekst objaśnienia 2 24" xfId="35167"/>
    <cellStyle name="Tekst objaśnienia 2 24 2" xfId="35168"/>
    <cellStyle name="Tekst objaśnienia 2 24 3" xfId="35169"/>
    <cellStyle name="Tekst objaśnienia 2 24 4" xfId="35170"/>
    <cellStyle name="Tekst objaśnienia 2 24 5" xfId="35171"/>
    <cellStyle name="Tekst objaśnienia 2 24 6" xfId="35172"/>
    <cellStyle name="Tekst objaśnienia 2 24 7" xfId="35173"/>
    <cellStyle name="Tekst objaśnienia 2 25" xfId="35174"/>
    <cellStyle name="Tekst objaśnienia 2 25 2" xfId="35175"/>
    <cellStyle name="Tekst objaśnienia 2 25 3" xfId="35176"/>
    <cellStyle name="Tekst objaśnienia 2 25 4" xfId="35177"/>
    <cellStyle name="Tekst objaśnienia 2 25 5" xfId="35178"/>
    <cellStyle name="Tekst objaśnienia 2 25 6" xfId="35179"/>
    <cellStyle name="Tekst objaśnienia 2 25 7" xfId="35180"/>
    <cellStyle name="Tekst objaśnienia 2 26" xfId="35181"/>
    <cellStyle name="Tekst objaśnienia 2 26 2" xfId="35182"/>
    <cellStyle name="Tekst objaśnienia 2 26 3" xfId="35183"/>
    <cellStyle name="Tekst objaśnienia 2 26 4" xfId="35184"/>
    <cellStyle name="Tekst objaśnienia 2 26 5" xfId="35185"/>
    <cellStyle name="Tekst objaśnienia 2 26 6" xfId="35186"/>
    <cellStyle name="Tekst objaśnienia 2 26 7" xfId="35187"/>
    <cellStyle name="Tekst objaśnienia 2 27" xfId="35188"/>
    <cellStyle name="Tekst objaśnienia 2 27 2" xfId="35189"/>
    <cellStyle name="Tekst objaśnienia 2 27 3" xfId="35190"/>
    <cellStyle name="Tekst objaśnienia 2 27 4" xfId="35191"/>
    <cellStyle name="Tekst objaśnienia 2 27 5" xfId="35192"/>
    <cellStyle name="Tekst objaśnienia 2 27 6" xfId="35193"/>
    <cellStyle name="Tekst objaśnienia 2 27 7" xfId="35194"/>
    <cellStyle name="Tekst objaśnienia 2 28" xfId="35195"/>
    <cellStyle name="Tekst objaśnienia 2 28 2" xfId="35196"/>
    <cellStyle name="Tekst objaśnienia 2 28 3" xfId="35197"/>
    <cellStyle name="Tekst objaśnienia 2 28 4" xfId="35198"/>
    <cellStyle name="Tekst objaśnienia 2 28 5" xfId="35199"/>
    <cellStyle name="Tekst objaśnienia 2 28 6" xfId="35200"/>
    <cellStyle name="Tekst objaśnienia 2 28 7" xfId="35201"/>
    <cellStyle name="Tekst objaśnienia 2 29" xfId="35202"/>
    <cellStyle name="Tekst objaśnienia 2 29 2" xfId="35203"/>
    <cellStyle name="Tekst objaśnienia 2 3" xfId="35204"/>
    <cellStyle name="Tekst objaśnienia 2 3 2" xfId="35205"/>
    <cellStyle name="Tekst objaśnienia 2 3 3" xfId="35206"/>
    <cellStyle name="Tekst objaśnienia 2 3 4" xfId="35207"/>
    <cellStyle name="Tekst objaśnienia 2 3 5" xfId="35208"/>
    <cellStyle name="Tekst objaśnienia 2 3 6" xfId="35209"/>
    <cellStyle name="Tekst objaśnienia 2 3 7" xfId="35210"/>
    <cellStyle name="Tekst objaśnienia 2 30" xfId="35211"/>
    <cellStyle name="Tekst objaśnienia 2 30 2" xfId="35212"/>
    <cellStyle name="Tekst objaśnienia 2 31" xfId="35213"/>
    <cellStyle name="Tekst objaśnienia 2 31 2" xfId="35214"/>
    <cellStyle name="Tekst objaśnienia 2 32" xfId="35215"/>
    <cellStyle name="Tekst objaśnienia 2 32 2" xfId="35216"/>
    <cellStyle name="Tekst objaśnienia 2 33" xfId="35217"/>
    <cellStyle name="Tekst objaśnienia 2 34" xfId="35218"/>
    <cellStyle name="Tekst objaśnienia 2 35" xfId="35219"/>
    <cellStyle name="Tekst objaśnienia 2 36" xfId="35220"/>
    <cellStyle name="Tekst objaśnienia 2 37" xfId="35221"/>
    <cellStyle name="Tekst objaśnienia 2 38" xfId="35222"/>
    <cellStyle name="Tekst objaśnienia 2 39" xfId="35223"/>
    <cellStyle name="Tekst objaśnienia 2 4" xfId="35224"/>
    <cellStyle name="Tekst objaśnienia 2 4 2" xfId="35225"/>
    <cellStyle name="Tekst objaśnienia 2 4 3" xfId="35226"/>
    <cellStyle name="Tekst objaśnienia 2 4 4" xfId="35227"/>
    <cellStyle name="Tekst objaśnienia 2 4 5" xfId="35228"/>
    <cellStyle name="Tekst objaśnienia 2 4 6" xfId="35229"/>
    <cellStyle name="Tekst objaśnienia 2 4 7" xfId="35230"/>
    <cellStyle name="Tekst objaśnienia 2 5" xfId="35231"/>
    <cellStyle name="Tekst objaśnienia 2 5 2" xfId="35232"/>
    <cellStyle name="Tekst objaśnienia 2 5 3" xfId="35233"/>
    <cellStyle name="Tekst objaśnienia 2 5 4" xfId="35234"/>
    <cellStyle name="Tekst objaśnienia 2 5 5" xfId="35235"/>
    <cellStyle name="Tekst objaśnienia 2 5 6" xfId="35236"/>
    <cellStyle name="Tekst objaśnienia 2 5 7" xfId="35237"/>
    <cellStyle name="Tekst objaśnienia 2 6" xfId="35238"/>
    <cellStyle name="Tekst objaśnienia 2 6 2" xfId="35239"/>
    <cellStyle name="Tekst objaśnienia 2 6 3" xfId="35240"/>
    <cellStyle name="Tekst objaśnienia 2 6 4" xfId="35241"/>
    <cellStyle name="Tekst objaśnienia 2 6 5" xfId="35242"/>
    <cellStyle name="Tekst objaśnienia 2 6 6" xfId="35243"/>
    <cellStyle name="Tekst objaśnienia 2 6 7" xfId="35244"/>
    <cellStyle name="Tekst objaśnienia 2 7" xfId="35245"/>
    <cellStyle name="Tekst objaśnienia 2 7 2" xfId="35246"/>
    <cellStyle name="Tekst objaśnienia 2 7 3" xfId="35247"/>
    <cellStyle name="Tekst objaśnienia 2 7 4" xfId="35248"/>
    <cellStyle name="Tekst objaśnienia 2 7 5" xfId="35249"/>
    <cellStyle name="Tekst objaśnienia 2 7 6" xfId="35250"/>
    <cellStyle name="Tekst objaśnienia 2 7 7" xfId="35251"/>
    <cellStyle name="Tekst objaśnienia 2 8" xfId="35252"/>
    <cellStyle name="Tekst objaśnienia 2 8 2" xfId="35253"/>
    <cellStyle name="Tekst objaśnienia 2 8 3" xfId="35254"/>
    <cellStyle name="Tekst objaśnienia 2 8 4" xfId="35255"/>
    <cellStyle name="Tekst objaśnienia 2 8 5" xfId="35256"/>
    <cellStyle name="Tekst objaśnienia 2 8 6" xfId="35257"/>
    <cellStyle name="Tekst objaśnienia 2 8 7" xfId="35258"/>
    <cellStyle name="Tekst objaśnienia 2 9" xfId="35259"/>
    <cellStyle name="Tekst objaśnienia 2 9 2" xfId="35260"/>
    <cellStyle name="Tekst objaśnienia 2 9 3" xfId="35261"/>
    <cellStyle name="Tekst objaśnienia 2 9 4" xfId="35262"/>
    <cellStyle name="Tekst objaśnienia 2 9 5" xfId="35263"/>
    <cellStyle name="Tekst objaśnienia 2 9 6" xfId="35264"/>
    <cellStyle name="Tekst objaśnienia 2 9 7" xfId="35265"/>
    <cellStyle name="Tekst objaśnienia 3" xfId="35266"/>
    <cellStyle name="Tekst objaśnienia 3 2" xfId="35267"/>
    <cellStyle name="Tekst objaśnienia 3 2 2" xfId="35268"/>
    <cellStyle name="Tekst objaśnienia 3 3" xfId="35269"/>
    <cellStyle name="Tekst objaśnienia 3 4" xfId="35270"/>
    <cellStyle name="Tekst objaśnienia 3 5" xfId="35271"/>
    <cellStyle name="Tekst objaśnienia 3 6" xfId="35272"/>
    <cellStyle name="Tekst objaśnienia 3 7" xfId="35273"/>
    <cellStyle name="Tekst objaśnienia 3 8" xfId="35274"/>
    <cellStyle name="Tekst objaśnienia 3 9" xfId="35275"/>
    <cellStyle name="Tekst objaśnienia 4" xfId="35276"/>
    <cellStyle name="Tekst objaśnienia 4 2" xfId="35277"/>
    <cellStyle name="Tekst objaśnienia 4 3" xfId="35278"/>
    <cellStyle name="Tekst objaśnienia 4 4" xfId="35279"/>
    <cellStyle name="Tekst objaśnienia 4 5" xfId="35280"/>
    <cellStyle name="Tekst objaśnienia 4 6" xfId="35281"/>
    <cellStyle name="Tekst objaśnienia 4 7" xfId="35282"/>
    <cellStyle name="Tekst objaśnienia 4 8" xfId="35283"/>
    <cellStyle name="Tekst objaśnienia 4 9" xfId="35284"/>
    <cellStyle name="Tekst objaśnienia 5" xfId="35285"/>
    <cellStyle name="Tekst objaśnienia 5 2" xfId="35286"/>
    <cellStyle name="Tekst objaśnienia 5 3" xfId="35287"/>
    <cellStyle name="Tekst objaśnienia 6" xfId="35288"/>
    <cellStyle name="Tekst objaśnienia 6 2" xfId="35289"/>
    <cellStyle name="Tekst objaśnienia 7" xfId="35290"/>
    <cellStyle name="Tekst ostrzeżenia 2" xfId="35291"/>
    <cellStyle name="Tekst ostrzeżenia 2 10" xfId="35292"/>
    <cellStyle name="Tekst ostrzeżenia 2 10 2" xfId="35293"/>
    <cellStyle name="Tekst ostrzeżenia 2 10 3" xfId="35294"/>
    <cellStyle name="Tekst ostrzeżenia 2 10 4" xfId="35295"/>
    <cellStyle name="Tekst ostrzeżenia 2 10 5" xfId="35296"/>
    <cellStyle name="Tekst ostrzeżenia 2 10 6" xfId="35297"/>
    <cellStyle name="Tekst ostrzeżenia 2 10 7" xfId="35298"/>
    <cellStyle name="Tekst ostrzeżenia 2 11" xfId="35299"/>
    <cellStyle name="Tekst ostrzeżenia 2 11 2" xfId="35300"/>
    <cellStyle name="Tekst ostrzeżenia 2 11 3" xfId="35301"/>
    <cellStyle name="Tekst ostrzeżenia 2 11 4" xfId="35302"/>
    <cellStyle name="Tekst ostrzeżenia 2 11 5" xfId="35303"/>
    <cellStyle name="Tekst ostrzeżenia 2 11 6" xfId="35304"/>
    <cellStyle name="Tekst ostrzeżenia 2 11 7" xfId="35305"/>
    <cellStyle name="Tekst ostrzeżenia 2 12" xfId="35306"/>
    <cellStyle name="Tekst ostrzeżenia 2 12 2" xfId="35307"/>
    <cellStyle name="Tekst ostrzeżenia 2 12 3" xfId="35308"/>
    <cellStyle name="Tekst ostrzeżenia 2 12 4" xfId="35309"/>
    <cellStyle name="Tekst ostrzeżenia 2 12 5" xfId="35310"/>
    <cellStyle name="Tekst ostrzeżenia 2 12 6" xfId="35311"/>
    <cellStyle name="Tekst ostrzeżenia 2 12 7" xfId="35312"/>
    <cellStyle name="Tekst ostrzeżenia 2 13" xfId="35313"/>
    <cellStyle name="Tekst ostrzeżenia 2 13 2" xfId="35314"/>
    <cellStyle name="Tekst ostrzeżenia 2 13 3" xfId="35315"/>
    <cellStyle name="Tekst ostrzeżenia 2 13 4" xfId="35316"/>
    <cellStyle name="Tekst ostrzeżenia 2 13 5" xfId="35317"/>
    <cellStyle name="Tekst ostrzeżenia 2 13 6" xfId="35318"/>
    <cellStyle name="Tekst ostrzeżenia 2 13 7" xfId="35319"/>
    <cellStyle name="Tekst ostrzeżenia 2 14" xfId="35320"/>
    <cellStyle name="Tekst ostrzeżenia 2 14 2" xfId="35321"/>
    <cellStyle name="Tekst ostrzeżenia 2 14 3" xfId="35322"/>
    <cellStyle name="Tekst ostrzeżenia 2 14 4" xfId="35323"/>
    <cellStyle name="Tekst ostrzeżenia 2 14 5" xfId="35324"/>
    <cellStyle name="Tekst ostrzeżenia 2 14 6" xfId="35325"/>
    <cellStyle name="Tekst ostrzeżenia 2 14 7" xfId="35326"/>
    <cellStyle name="Tekst ostrzeżenia 2 15" xfId="35327"/>
    <cellStyle name="Tekst ostrzeżenia 2 15 2" xfId="35328"/>
    <cellStyle name="Tekst ostrzeżenia 2 15 3" xfId="35329"/>
    <cellStyle name="Tekst ostrzeżenia 2 15 4" xfId="35330"/>
    <cellStyle name="Tekst ostrzeżenia 2 15 5" xfId="35331"/>
    <cellStyle name="Tekst ostrzeżenia 2 15 6" xfId="35332"/>
    <cellStyle name="Tekst ostrzeżenia 2 15 7" xfId="35333"/>
    <cellStyle name="Tekst ostrzeżenia 2 16" xfId="35334"/>
    <cellStyle name="Tekst ostrzeżenia 2 16 2" xfId="35335"/>
    <cellStyle name="Tekst ostrzeżenia 2 16 3" xfId="35336"/>
    <cellStyle name="Tekst ostrzeżenia 2 16 4" xfId="35337"/>
    <cellStyle name="Tekst ostrzeżenia 2 16 5" xfId="35338"/>
    <cellStyle name="Tekst ostrzeżenia 2 16 6" xfId="35339"/>
    <cellStyle name="Tekst ostrzeżenia 2 16 7" xfId="35340"/>
    <cellStyle name="Tekst ostrzeżenia 2 17" xfId="35341"/>
    <cellStyle name="Tekst ostrzeżenia 2 17 2" xfId="35342"/>
    <cellStyle name="Tekst ostrzeżenia 2 17 3" xfId="35343"/>
    <cellStyle name="Tekst ostrzeżenia 2 17 4" xfId="35344"/>
    <cellStyle name="Tekst ostrzeżenia 2 17 5" xfId="35345"/>
    <cellStyle name="Tekst ostrzeżenia 2 17 6" xfId="35346"/>
    <cellStyle name="Tekst ostrzeżenia 2 17 7" xfId="35347"/>
    <cellStyle name="Tekst ostrzeżenia 2 18" xfId="35348"/>
    <cellStyle name="Tekst ostrzeżenia 2 18 2" xfId="35349"/>
    <cellStyle name="Tekst ostrzeżenia 2 18 3" xfId="35350"/>
    <cellStyle name="Tekst ostrzeżenia 2 18 4" xfId="35351"/>
    <cellStyle name="Tekst ostrzeżenia 2 18 5" xfId="35352"/>
    <cellStyle name="Tekst ostrzeżenia 2 18 6" xfId="35353"/>
    <cellStyle name="Tekst ostrzeżenia 2 18 7" xfId="35354"/>
    <cellStyle name="Tekst ostrzeżenia 2 19" xfId="35355"/>
    <cellStyle name="Tekst ostrzeżenia 2 19 2" xfId="35356"/>
    <cellStyle name="Tekst ostrzeżenia 2 19 3" xfId="35357"/>
    <cellStyle name="Tekst ostrzeżenia 2 19 4" xfId="35358"/>
    <cellStyle name="Tekst ostrzeżenia 2 19 5" xfId="35359"/>
    <cellStyle name="Tekst ostrzeżenia 2 19 6" xfId="35360"/>
    <cellStyle name="Tekst ostrzeżenia 2 19 7" xfId="35361"/>
    <cellStyle name="Tekst ostrzeżenia 2 2" xfId="35362"/>
    <cellStyle name="Tekst ostrzeżenia 2 2 2" xfId="35363"/>
    <cellStyle name="Tekst ostrzeżenia 2 2 3" xfId="35364"/>
    <cellStyle name="Tekst ostrzeżenia 2 2 4" xfId="35365"/>
    <cellStyle name="Tekst ostrzeżenia 2 2 5" xfId="35366"/>
    <cellStyle name="Tekst ostrzeżenia 2 2 6" xfId="35367"/>
    <cellStyle name="Tekst ostrzeżenia 2 2 7" xfId="35368"/>
    <cellStyle name="Tekst ostrzeżenia 2 2 8" xfId="35369"/>
    <cellStyle name="Tekst ostrzeżenia 2 20" xfId="35370"/>
    <cellStyle name="Tekst ostrzeżenia 2 20 2" xfId="35371"/>
    <cellStyle name="Tekst ostrzeżenia 2 20 3" xfId="35372"/>
    <cellStyle name="Tekst ostrzeżenia 2 20 4" xfId="35373"/>
    <cellStyle name="Tekst ostrzeżenia 2 20 5" xfId="35374"/>
    <cellStyle name="Tekst ostrzeżenia 2 20 6" xfId="35375"/>
    <cellStyle name="Tekst ostrzeżenia 2 20 7" xfId="35376"/>
    <cellStyle name="Tekst ostrzeżenia 2 21" xfId="35377"/>
    <cellStyle name="Tekst ostrzeżenia 2 21 2" xfId="35378"/>
    <cellStyle name="Tekst ostrzeżenia 2 21 3" xfId="35379"/>
    <cellStyle name="Tekst ostrzeżenia 2 21 4" xfId="35380"/>
    <cellStyle name="Tekst ostrzeżenia 2 21 5" xfId="35381"/>
    <cellStyle name="Tekst ostrzeżenia 2 21 6" xfId="35382"/>
    <cellStyle name="Tekst ostrzeżenia 2 21 7" xfId="35383"/>
    <cellStyle name="Tekst ostrzeżenia 2 22" xfId="35384"/>
    <cellStyle name="Tekst ostrzeżenia 2 22 2" xfId="35385"/>
    <cellStyle name="Tekst ostrzeżenia 2 22 3" xfId="35386"/>
    <cellStyle name="Tekst ostrzeżenia 2 22 4" xfId="35387"/>
    <cellStyle name="Tekst ostrzeżenia 2 22 5" xfId="35388"/>
    <cellStyle name="Tekst ostrzeżenia 2 22 6" xfId="35389"/>
    <cellStyle name="Tekst ostrzeżenia 2 22 7" xfId="35390"/>
    <cellStyle name="Tekst ostrzeżenia 2 23" xfId="35391"/>
    <cellStyle name="Tekst ostrzeżenia 2 23 2" xfId="35392"/>
    <cellStyle name="Tekst ostrzeżenia 2 23 3" xfId="35393"/>
    <cellStyle name="Tekst ostrzeżenia 2 23 4" xfId="35394"/>
    <cellStyle name="Tekst ostrzeżenia 2 23 5" xfId="35395"/>
    <cellStyle name="Tekst ostrzeżenia 2 23 6" xfId="35396"/>
    <cellStyle name="Tekst ostrzeżenia 2 23 7" xfId="35397"/>
    <cellStyle name="Tekst ostrzeżenia 2 24" xfId="35398"/>
    <cellStyle name="Tekst ostrzeżenia 2 24 2" xfId="35399"/>
    <cellStyle name="Tekst ostrzeżenia 2 24 3" xfId="35400"/>
    <cellStyle name="Tekst ostrzeżenia 2 24 4" xfId="35401"/>
    <cellStyle name="Tekst ostrzeżenia 2 24 5" xfId="35402"/>
    <cellStyle name="Tekst ostrzeżenia 2 24 6" xfId="35403"/>
    <cellStyle name="Tekst ostrzeżenia 2 24 7" xfId="35404"/>
    <cellStyle name="Tekst ostrzeżenia 2 25" xfId="35405"/>
    <cellStyle name="Tekst ostrzeżenia 2 25 2" xfId="35406"/>
    <cellStyle name="Tekst ostrzeżenia 2 25 3" xfId="35407"/>
    <cellStyle name="Tekst ostrzeżenia 2 25 4" xfId="35408"/>
    <cellStyle name="Tekst ostrzeżenia 2 25 5" xfId="35409"/>
    <cellStyle name="Tekst ostrzeżenia 2 25 6" xfId="35410"/>
    <cellStyle name="Tekst ostrzeżenia 2 25 7" xfId="35411"/>
    <cellStyle name="Tekst ostrzeżenia 2 26" xfId="35412"/>
    <cellStyle name="Tekst ostrzeżenia 2 26 2" xfId="35413"/>
    <cellStyle name="Tekst ostrzeżenia 2 26 3" xfId="35414"/>
    <cellStyle name="Tekst ostrzeżenia 2 26 4" xfId="35415"/>
    <cellStyle name="Tekst ostrzeżenia 2 26 5" xfId="35416"/>
    <cellStyle name="Tekst ostrzeżenia 2 26 6" xfId="35417"/>
    <cellStyle name="Tekst ostrzeżenia 2 26 7" xfId="35418"/>
    <cellStyle name="Tekst ostrzeżenia 2 27" xfId="35419"/>
    <cellStyle name="Tekst ostrzeżenia 2 27 2" xfId="35420"/>
    <cellStyle name="Tekst ostrzeżenia 2 27 3" xfId="35421"/>
    <cellStyle name="Tekst ostrzeżenia 2 27 4" xfId="35422"/>
    <cellStyle name="Tekst ostrzeżenia 2 27 5" xfId="35423"/>
    <cellStyle name="Tekst ostrzeżenia 2 27 6" xfId="35424"/>
    <cellStyle name="Tekst ostrzeżenia 2 27 7" xfId="35425"/>
    <cellStyle name="Tekst ostrzeżenia 2 28" xfId="35426"/>
    <cellStyle name="Tekst ostrzeżenia 2 28 2" xfId="35427"/>
    <cellStyle name="Tekst ostrzeżenia 2 28 3" xfId="35428"/>
    <cellStyle name="Tekst ostrzeżenia 2 28 4" xfId="35429"/>
    <cellStyle name="Tekst ostrzeżenia 2 28 5" xfId="35430"/>
    <cellStyle name="Tekst ostrzeżenia 2 28 6" xfId="35431"/>
    <cellStyle name="Tekst ostrzeżenia 2 28 7" xfId="35432"/>
    <cellStyle name="Tekst ostrzeżenia 2 29" xfId="35433"/>
    <cellStyle name="Tekst ostrzeżenia 2 29 2" xfId="35434"/>
    <cellStyle name="Tekst ostrzeżenia 2 3" xfId="35435"/>
    <cellStyle name="Tekst ostrzeżenia 2 3 2" xfId="35436"/>
    <cellStyle name="Tekst ostrzeżenia 2 3 3" xfId="35437"/>
    <cellStyle name="Tekst ostrzeżenia 2 3 4" xfId="35438"/>
    <cellStyle name="Tekst ostrzeżenia 2 3 5" xfId="35439"/>
    <cellStyle name="Tekst ostrzeżenia 2 3 6" xfId="35440"/>
    <cellStyle name="Tekst ostrzeżenia 2 3 7" xfId="35441"/>
    <cellStyle name="Tekst ostrzeżenia 2 30" xfId="35442"/>
    <cellStyle name="Tekst ostrzeżenia 2 30 2" xfId="35443"/>
    <cellStyle name="Tekst ostrzeżenia 2 31" xfId="35444"/>
    <cellStyle name="Tekst ostrzeżenia 2 31 2" xfId="35445"/>
    <cellStyle name="Tekst ostrzeżenia 2 32" xfId="35446"/>
    <cellStyle name="Tekst ostrzeżenia 2 32 2" xfId="35447"/>
    <cellStyle name="Tekst ostrzeżenia 2 33" xfId="35448"/>
    <cellStyle name="Tekst ostrzeżenia 2 34" xfId="35449"/>
    <cellStyle name="Tekst ostrzeżenia 2 35" xfId="35450"/>
    <cellStyle name="Tekst ostrzeżenia 2 36" xfId="35451"/>
    <cellStyle name="Tekst ostrzeżenia 2 37" xfId="35452"/>
    <cellStyle name="Tekst ostrzeżenia 2 38" xfId="35453"/>
    <cellStyle name="Tekst ostrzeżenia 2 39" xfId="35454"/>
    <cellStyle name="Tekst ostrzeżenia 2 4" xfId="35455"/>
    <cellStyle name="Tekst ostrzeżenia 2 4 2" xfId="35456"/>
    <cellStyle name="Tekst ostrzeżenia 2 4 3" xfId="35457"/>
    <cellStyle name="Tekst ostrzeżenia 2 4 4" xfId="35458"/>
    <cellStyle name="Tekst ostrzeżenia 2 4 5" xfId="35459"/>
    <cellStyle name="Tekst ostrzeżenia 2 4 6" xfId="35460"/>
    <cellStyle name="Tekst ostrzeżenia 2 4 7" xfId="35461"/>
    <cellStyle name="Tekst ostrzeżenia 2 40" xfId="35462"/>
    <cellStyle name="Tekst ostrzeżenia 2 41" xfId="35463"/>
    <cellStyle name="Tekst ostrzeżenia 2 42" xfId="35464"/>
    <cellStyle name="Tekst ostrzeżenia 2 43" xfId="35465"/>
    <cellStyle name="Tekst ostrzeżenia 2 44" xfId="35466"/>
    <cellStyle name="Tekst ostrzeżenia 2 45" xfId="35467"/>
    <cellStyle name="Tekst ostrzeżenia 2 46" xfId="35468"/>
    <cellStyle name="Tekst ostrzeżenia 2 47" xfId="35469"/>
    <cellStyle name="Tekst ostrzeżenia 2 48" xfId="35470"/>
    <cellStyle name="Tekst ostrzeżenia 2 49" xfId="35471"/>
    <cellStyle name="Tekst ostrzeżenia 2 5" xfId="35472"/>
    <cellStyle name="Tekst ostrzeżenia 2 5 2" xfId="35473"/>
    <cellStyle name="Tekst ostrzeżenia 2 5 3" xfId="35474"/>
    <cellStyle name="Tekst ostrzeżenia 2 5 4" xfId="35475"/>
    <cellStyle name="Tekst ostrzeżenia 2 5 5" xfId="35476"/>
    <cellStyle name="Tekst ostrzeżenia 2 5 6" xfId="35477"/>
    <cellStyle name="Tekst ostrzeżenia 2 5 7" xfId="35478"/>
    <cellStyle name="Tekst ostrzeżenia 2 50" xfId="35479"/>
    <cellStyle name="Tekst ostrzeżenia 2 51" xfId="35480"/>
    <cellStyle name="Tekst ostrzeżenia 2 52" xfId="35481"/>
    <cellStyle name="Tekst ostrzeżenia 2 6" xfId="35482"/>
    <cellStyle name="Tekst ostrzeżenia 2 6 2" xfId="35483"/>
    <cellStyle name="Tekst ostrzeżenia 2 6 3" xfId="35484"/>
    <cellStyle name="Tekst ostrzeżenia 2 6 4" xfId="35485"/>
    <cellStyle name="Tekst ostrzeżenia 2 6 5" xfId="35486"/>
    <cellStyle name="Tekst ostrzeżenia 2 6 6" xfId="35487"/>
    <cellStyle name="Tekst ostrzeżenia 2 6 7" xfId="35488"/>
    <cellStyle name="Tekst ostrzeżenia 2 7" xfId="35489"/>
    <cellStyle name="Tekst ostrzeżenia 2 7 2" xfId="35490"/>
    <cellStyle name="Tekst ostrzeżenia 2 7 3" xfId="35491"/>
    <cellStyle name="Tekst ostrzeżenia 2 7 4" xfId="35492"/>
    <cellStyle name="Tekst ostrzeżenia 2 7 5" xfId="35493"/>
    <cellStyle name="Tekst ostrzeżenia 2 7 6" xfId="35494"/>
    <cellStyle name="Tekst ostrzeżenia 2 7 7" xfId="35495"/>
    <cellStyle name="Tekst ostrzeżenia 2 8" xfId="35496"/>
    <cellStyle name="Tekst ostrzeżenia 2 8 2" xfId="35497"/>
    <cellStyle name="Tekst ostrzeżenia 2 8 3" xfId="35498"/>
    <cellStyle name="Tekst ostrzeżenia 2 8 4" xfId="35499"/>
    <cellStyle name="Tekst ostrzeżenia 2 8 5" xfId="35500"/>
    <cellStyle name="Tekst ostrzeżenia 2 8 6" xfId="35501"/>
    <cellStyle name="Tekst ostrzeżenia 2 8 7" xfId="35502"/>
    <cellStyle name="Tekst ostrzeżenia 2 9" xfId="35503"/>
    <cellStyle name="Tekst ostrzeżenia 2 9 2" xfId="35504"/>
    <cellStyle name="Tekst ostrzeżenia 2 9 3" xfId="35505"/>
    <cellStyle name="Tekst ostrzeżenia 2 9 4" xfId="35506"/>
    <cellStyle name="Tekst ostrzeżenia 2 9 5" xfId="35507"/>
    <cellStyle name="Tekst ostrzeżenia 2 9 6" xfId="35508"/>
    <cellStyle name="Tekst ostrzeżenia 2 9 7" xfId="35509"/>
    <cellStyle name="Tekst ostrzeżenia 3" xfId="35510"/>
    <cellStyle name="Tekst ostrzeżenia 3 2" xfId="35511"/>
    <cellStyle name="Tekst ostrzeżenia 3 2 2" xfId="35512"/>
    <cellStyle name="Tekst ostrzeżenia 3 3" xfId="35513"/>
    <cellStyle name="Tekst ostrzeżenia 3 4" xfId="35514"/>
    <cellStyle name="Tekst ostrzeżenia 3 5" xfId="35515"/>
    <cellStyle name="Tekst ostrzeżenia 3 6" xfId="35516"/>
    <cellStyle name="Tekst ostrzeżenia 3 7" xfId="35517"/>
    <cellStyle name="Tekst ostrzeżenia 3 8" xfId="35518"/>
    <cellStyle name="Tekst ostrzeżenia 3 9" xfId="35519"/>
    <cellStyle name="Tekst ostrzeżenia 4" xfId="35520"/>
    <cellStyle name="Tekst ostrzeżenia 4 2" xfId="35521"/>
    <cellStyle name="Tekst ostrzeżenia 4 3" xfId="35522"/>
    <cellStyle name="Tekst ostrzeżenia 4 4" xfId="35523"/>
    <cellStyle name="Tekst ostrzeżenia 4 5" xfId="35524"/>
    <cellStyle name="Tekst ostrzeżenia 4 6" xfId="35525"/>
    <cellStyle name="Tekst ostrzeżenia 4 7" xfId="35526"/>
    <cellStyle name="Tekst ostrzeżenia 4 8" xfId="35527"/>
    <cellStyle name="Tekst ostrzeżenia 4 9" xfId="35528"/>
    <cellStyle name="Tekst ostrzeżenia 5" xfId="35529"/>
    <cellStyle name="Tekst ostrzeżenia 5 2" xfId="35530"/>
    <cellStyle name="Tekst ostrzeżenia 6" xfId="35531"/>
    <cellStyle name="Tekst ostrzeżenia 7" xfId="35532"/>
    <cellStyle name="Tytuł 2" xfId="35533"/>
    <cellStyle name="Tytuł 2 10" xfId="35534"/>
    <cellStyle name="Tytuł 2 10 2" xfId="35535"/>
    <cellStyle name="Tytuł 2 10 3" xfId="35536"/>
    <cellStyle name="Tytuł 2 10 4" xfId="35537"/>
    <cellStyle name="Tytuł 2 10 5" xfId="35538"/>
    <cellStyle name="Tytuł 2 10 6" xfId="35539"/>
    <cellStyle name="Tytuł 2 10 7" xfId="35540"/>
    <cellStyle name="Tytuł 2 11" xfId="35541"/>
    <cellStyle name="Tytuł 2 11 2" xfId="35542"/>
    <cellStyle name="Tytuł 2 11 3" xfId="35543"/>
    <cellStyle name="Tytuł 2 11 4" xfId="35544"/>
    <cellStyle name="Tytuł 2 11 5" xfId="35545"/>
    <cellStyle name="Tytuł 2 11 6" xfId="35546"/>
    <cellStyle name="Tytuł 2 11 7" xfId="35547"/>
    <cellStyle name="Tytuł 2 12" xfId="35548"/>
    <cellStyle name="Tytuł 2 12 2" xfId="35549"/>
    <cellStyle name="Tytuł 2 12 3" xfId="35550"/>
    <cellStyle name="Tytuł 2 12 4" xfId="35551"/>
    <cellStyle name="Tytuł 2 12 5" xfId="35552"/>
    <cellStyle name="Tytuł 2 12 6" xfId="35553"/>
    <cellStyle name="Tytuł 2 12 7" xfId="35554"/>
    <cellStyle name="Tytuł 2 13" xfId="35555"/>
    <cellStyle name="Tytuł 2 13 2" xfId="35556"/>
    <cellStyle name="Tytuł 2 13 3" xfId="35557"/>
    <cellStyle name="Tytuł 2 13 4" xfId="35558"/>
    <cellStyle name="Tytuł 2 13 5" xfId="35559"/>
    <cellStyle name="Tytuł 2 13 6" xfId="35560"/>
    <cellStyle name="Tytuł 2 13 7" xfId="35561"/>
    <cellStyle name="Tytuł 2 14" xfId="35562"/>
    <cellStyle name="Tytuł 2 14 2" xfId="35563"/>
    <cellStyle name="Tytuł 2 14 3" xfId="35564"/>
    <cellStyle name="Tytuł 2 14 4" xfId="35565"/>
    <cellStyle name="Tytuł 2 14 5" xfId="35566"/>
    <cellStyle name="Tytuł 2 14 6" xfId="35567"/>
    <cellStyle name="Tytuł 2 14 7" xfId="35568"/>
    <cellStyle name="Tytuł 2 15" xfId="35569"/>
    <cellStyle name="Tytuł 2 15 2" xfId="35570"/>
    <cellStyle name="Tytuł 2 15 3" xfId="35571"/>
    <cellStyle name="Tytuł 2 15 4" xfId="35572"/>
    <cellStyle name="Tytuł 2 15 5" xfId="35573"/>
    <cellStyle name="Tytuł 2 15 6" xfId="35574"/>
    <cellStyle name="Tytuł 2 15 7" xfId="35575"/>
    <cellStyle name="Tytuł 2 16" xfId="35576"/>
    <cellStyle name="Tytuł 2 16 2" xfId="35577"/>
    <cellStyle name="Tytuł 2 16 3" xfId="35578"/>
    <cellStyle name="Tytuł 2 16 4" xfId="35579"/>
    <cellStyle name="Tytuł 2 16 5" xfId="35580"/>
    <cellStyle name="Tytuł 2 16 6" xfId="35581"/>
    <cellStyle name="Tytuł 2 16 7" xfId="35582"/>
    <cellStyle name="Tytuł 2 17" xfId="35583"/>
    <cellStyle name="Tytuł 2 17 2" xfId="35584"/>
    <cellStyle name="Tytuł 2 17 3" xfId="35585"/>
    <cellStyle name="Tytuł 2 17 4" xfId="35586"/>
    <cellStyle name="Tytuł 2 17 5" xfId="35587"/>
    <cellStyle name="Tytuł 2 17 6" xfId="35588"/>
    <cellStyle name="Tytuł 2 17 7" xfId="35589"/>
    <cellStyle name="Tytuł 2 18" xfId="35590"/>
    <cellStyle name="Tytuł 2 18 2" xfId="35591"/>
    <cellStyle name="Tytuł 2 18 3" xfId="35592"/>
    <cellStyle name="Tytuł 2 18 4" xfId="35593"/>
    <cellStyle name="Tytuł 2 18 5" xfId="35594"/>
    <cellStyle name="Tytuł 2 18 6" xfId="35595"/>
    <cellStyle name="Tytuł 2 18 7" xfId="35596"/>
    <cellStyle name="Tytuł 2 19" xfId="35597"/>
    <cellStyle name="Tytuł 2 19 2" xfId="35598"/>
    <cellStyle name="Tytuł 2 19 3" xfId="35599"/>
    <cellStyle name="Tytuł 2 19 4" xfId="35600"/>
    <cellStyle name="Tytuł 2 19 5" xfId="35601"/>
    <cellStyle name="Tytuł 2 19 6" xfId="35602"/>
    <cellStyle name="Tytuł 2 19 7" xfId="35603"/>
    <cellStyle name="Tytuł 2 2" xfId="35604"/>
    <cellStyle name="Tytuł 2 2 2" xfId="35605"/>
    <cellStyle name="Tytuł 2 2 3" xfId="35606"/>
    <cellStyle name="Tytuł 2 2 4" xfId="35607"/>
    <cellStyle name="Tytuł 2 2 5" xfId="35608"/>
    <cellStyle name="Tytuł 2 2 6" xfId="35609"/>
    <cellStyle name="Tytuł 2 2 7" xfId="35610"/>
    <cellStyle name="Tytuł 2 2 8" xfId="35611"/>
    <cellStyle name="Tytuł 2 20" xfId="35612"/>
    <cellStyle name="Tytuł 2 20 2" xfId="35613"/>
    <cellStyle name="Tytuł 2 20 3" xfId="35614"/>
    <cellStyle name="Tytuł 2 20 4" xfId="35615"/>
    <cellStyle name="Tytuł 2 20 5" xfId="35616"/>
    <cellStyle name="Tytuł 2 20 6" xfId="35617"/>
    <cellStyle name="Tytuł 2 20 7" xfId="35618"/>
    <cellStyle name="Tytuł 2 21" xfId="35619"/>
    <cellStyle name="Tytuł 2 21 2" xfId="35620"/>
    <cellStyle name="Tytuł 2 21 3" xfId="35621"/>
    <cellStyle name="Tytuł 2 21 4" xfId="35622"/>
    <cellStyle name="Tytuł 2 21 5" xfId="35623"/>
    <cellStyle name="Tytuł 2 21 6" xfId="35624"/>
    <cellStyle name="Tytuł 2 21 7" xfId="35625"/>
    <cellStyle name="Tytuł 2 22" xfId="35626"/>
    <cellStyle name="Tytuł 2 22 2" xfId="35627"/>
    <cellStyle name="Tytuł 2 22 3" xfId="35628"/>
    <cellStyle name="Tytuł 2 22 4" xfId="35629"/>
    <cellStyle name="Tytuł 2 22 5" xfId="35630"/>
    <cellStyle name="Tytuł 2 22 6" xfId="35631"/>
    <cellStyle name="Tytuł 2 22 7" xfId="35632"/>
    <cellStyle name="Tytuł 2 23" xfId="35633"/>
    <cellStyle name="Tytuł 2 23 2" xfId="35634"/>
    <cellStyle name="Tytuł 2 23 3" xfId="35635"/>
    <cellStyle name="Tytuł 2 23 4" xfId="35636"/>
    <cellStyle name="Tytuł 2 23 5" xfId="35637"/>
    <cellStyle name="Tytuł 2 23 6" xfId="35638"/>
    <cellStyle name="Tytuł 2 23 7" xfId="35639"/>
    <cellStyle name="Tytuł 2 24" xfId="35640"/>
    <cellStyle name="Tytuł 2 24 2" xfId="35641"/>
    <cellStyle name="Tytuł 2 24 3" xfId="35642"/>
    <cellStyle name="Tytuł 2 24 4" xfId="35643"/>
    <cellStyle name="Tytuł 2 24 5" xfId="35644"/>
    <cellStyle name="Tytuł 2 24 6" xfId="35645"/>
    <cellStyle name="Tytuł 2 24 7" xfId="35646"/>
    <cellStyle name="Tytuł 2 25" xfId="35647"/>
    <cellStyle name="Tytuł 2 25 2" xfId="35648"/>
    <cellStyle name="Tytuł 2 25 3" xfId="35649"/>
    <cellStyle name="Tytuł 2 25 4" xfId="35650"/>
    <cellStyle name="Tytuł 2 25 5" xfId="35651"/>
    <cellStyle name="Tytuł 2 25 6" xfId="35652"/>
    <cellStyle name="Tytuł 2 25 7" xfId="35653"/>
    <cellStyle name="Tytuł 2 26" xfId="35654"/>
    <cellStyle name="Tytuł 2 26 2" xfId="35655"/>
    <cellStyle name="Tytuł 2 26 3" xfId="35656"/>
    <cellStyle name="Tytuł 2 26 4" xfId="35657"/>
    <cellStyle name="Tytuł 2 26 5" xfId="35658"/>
    <cellStyle name="Tytuł 2 26 6" xfId="35659"/>
    <cellStyle name="Tytuł 2 26 7" xfId="35660"/>
    <cellStyle name="Tytuł 2 27" xfId="35661"/>
    <cellStyle name="Tytuł 2 27 2" xfId="35662"/>
    <cellStyle name="Tytuł 2 27 3" xfId="35663"/>
    <cellStyle name="Tytuł 2 27 4" xfId="35664"/>
    <cellStyle name="Tytuł 2 27 5" xfId="35665"/>
    <cellStyle name="Tytuł 2 27 6" xfId="35666"/>
    <cellStyle name="Tytuł 2 27 7" xfId="35667"/>
    <cellStyle name="Tytuł 2 28" xfId="35668"/>
    <cellStyle name="Tytuł 2 28 2" xfId="35669"/>
    <cellStyle name="Tytuł 2 28 3" xfId="35670"/>
    <cellStyle name="Tytuł 2 28 4" xfId="35671"/>
    <cellStyle name="Tytuł 2 28 5" xfId="35672"/>
    <cellStyle name="Tytuł 2 28 6" xfId="35673"/>
    <cellStyle name="Tytuł 2 28 7" xfId="35674"/>
    <cellStyle name="Tytuł 2 29" xfId="35675"/>
    <cellStyle name="Tytuł 2 3" xfId="35676"/>
    <cellStyle name="Tytuł 2 3 2" xfId="35677"/>
    <cellStyle name="Tytuł 2 3 3" xfId="35678"/>
    <cellStyle name="Tytuł 2 3 4" xfId="35679"/>
    <cellStyle name="Tytuł 2 3 5" xfId="35680"/>
    <cellStyle name="Tytuł 2 3 6" xfId="35681"/>
    <cellStyle name="Tytuł 2 3 7" xfId="35682"/>
    <cellStyle name="Tytuł 2 30" xfId="35683"/>
    <cellStyle name="Tytuł 2 31" xfId="35684"/>
    <cellStyle name="Tytuł 2 32" xfId="35685"/>
    <cellStyle name="Tytuł 2 33" xfId="35686"/>
    <cellStyle name="Tytuł 2 34" xfId="35687"/>
    <cellStyle name="Tytuł 2 35" xfId="35688"/>
    <cellStyle name="Tytuł 2 36" xfId="35689"/>
    <cellStyle name="Tytuł 2 37" xfId="35690"/>
    <cellStyle name="Tytuł 2 38" xfId="35691"/>
    <cellStyle name="Tytuł 2 39" xfId="35692"/>
    <cellStyle name="Tytuł 2 4" xfId="35693"/>
    <cellStyle name="Tytuł 2 4 2" xfId="35694"/>
    <cellStyle name="Tytuł 2 4 3" xfId="35695"/>
    <cellStyle name="Tytuł 2 4 4" xfId="35696"/>
    <cellStyle name="Tytuł 2 4 5" xfId="35697"/>
    <cellStyle name="Tytuł 2 4 6" xfId="35698"/>
    <cellStyle name="Tytuł 2 4 7" xfId="35699"/>
    <cellStyle name="Tytuł 2 40" xfId="35700"/>
    <cellStyle name="Tytuł 2 41" xfId="35701"/>
    <cellStyle name="Tytuł 2 42" xfId="35702"/>
    <cellStyle name="Tytuł 2 43" xfId="35703"/>
    <cellStyle name="Tytuł 2 44" xfId="35704"/>
    <cellStyle name="Tytuł 2 45" xfId="35705"/>
    <cellStyle name="Tytuł 2 46" xfId="35706"/>
    <cellStyle name="Tytuł 2 47" xfId="35707"/>
    <cellStyle name="Tytuł 2 48" xfId="35708"/>
    <cellStyle name="Tytuł 2 49" xfId="35709"/>
    <cellStyle name="Tytuł 2 5" xfId="35710"/>
    <cellStyle name="Tytuł 2 5 2" xfId="35711"/>
    <cellStyle name="Tytuł 2 5 3" xfId="35712"/>
    <cellStyle name="Tytuł 2 5 4" xfId="35713"/>
    <cellStyle name="Tytuł 2 5 5" xfId="35714"/>
    <cellStyle name="Tytuł 2 5 6" xfId="35715"/>
    <cellStyle name="Tytuł 2 5 7" xfId="35716"/>
    <cellStyle name="Tytuł 2 50" xfId="35717"/>
    <cellStyle name="Tytuł 2 51" xfId="35718"/>
    <cellStyle name="Tytuł 2 52" xfId="35719"/>
    <cellStyle name="Tytuł 2 6" xfId="35720"/>
    <cellStyle name="Tytuł 2 6 2" xfId="35721"/>
    <cellStyle name="Tytuł 2 6 3" xfId="35722"/>
    <cellStyle name="Tytuł 2 6 4" xfId="35723"/>
    <cellStyle name="Tytuł 2 6 5" xfId="35724"/>
    <cellStyle name="Tytuł 2 6 6" xfId="35725"/>
    <cellStyle name="Tytuł 2 6 7" xfId="35726"/>
    <cellStyle name="Tytuł 2 7" xfId="35727"/>
    <cellStyle name="Tytuł 2 7 2" xfId="35728"/>
    <cellStyle name="Tytuł 2 7 3" xfId="35729"/>
    <cellStyle name="Tytuł 2 7 4" xfId="35730"/>
    <cellStyle name="Tytuł 2 7 5" xfId="35731"/>
    <cellStyle name="Tytuł 2 7 6" xfId="35732"/>
    <cellStyle name="Tytuł 2 7 7" xfId="35733"/>
    <cellStyle name="Tytuł 2 8" xfId="35734"/>
    <cellStyle name="Tytuł 2 8 2" xfId="35735"/>
    <cellStyle name="Tytuł 2 8 3" xfId="35736"/>
    <cellStyle name="Tytuł 2 8 4" xfId="35737"/>
    <cellStyle name="Tytuł 2 8 5" xfId="35738"/>
    <cellStyle name="Tytuł 2 8 6" xfId="35739"/>
    <cellStyle name="Tytuł 2 8 7" xfId="35740"/>
    <cellStyle name="Tytuł 2 9" xfId="35741"/>
    <cellStyle name="Tytuł 2 9 2" xfId="35742"/>
    <cellStyle name="Tytuł 2 9 3" xfId="35743"/>
    <cellStyle name="Tytuł 2 9 4" xfId="35744"/>
    <cellStyle name="Tytuł 2 9 5" xfId="35745"/>
    <cellStyle name="Tytuł 2 9 6" xfId="35746"/>
    <cellStyle name="Tytuł 2 9 7" xfId="35747"/>
    <cellStyle name="Tytuł 3" xfId="35748"/>
    <cellStyle name="Tytuł 3 2" xfId="35749"/>
    <cellStyle name="Tytuł 3 2 2" xfId="35750"/>
    <cellStyle name="Tytuł 3 3" xfId="35751"/>
    <cellStyle name="Tytuł 3 4" xfId="35752"/>
    <cellStyle name="Tytuł 3 5" xfId="35753"/>
    <cellStyle name="Tytuł 3 6" xfId="35754"/>
    <cellStyle name="Tytuł 3 7" xfId="35755"/>
    <cellStyle name="Tytuł 3 8" xfId="35756"/>
    <cellStyle name="Tytuł 4" xfId="35757"/>
    <cellStyle name="Tytuł 4 2" xfId="35758"/>
    <cellStyle name="Tytuł 4 3" xfId="35759"/>
    <cellStyle name="Tytuł 4 4" xfId="35760"/>
    <cellStyle name="Tytuł 4 5" xfId="35761"/>
    <cellStyle name="Tytuł 4 6" xfId="35762"/>
    <cellStyle name="Tytuł 4 7" xfId="35763"/>
    <cellStyle name="Tytuł 4 8" xfId="35764"/>
    <cellStyle name="Tytuł 5" xfId="35765"/>
    <cellStyle name="Tytuł 6" xfId="35766"/>
    <cellStyle name="Tytuł 7" xfId="35767"/>
    <cellStyle name="Tytuł 8" xfId="35768"/>
    <cellStyle name="über" xfId="35769"/>
    <cellStyle name="Unit" xfId="35770"/>
    <cellStyle name="Uwaga 10" xfId="35771"/>
    <cellStyle name="Uwaga 100" xfId="35772"/>
    <cellStyle name="Uwaga 100 2" xfId="35773"/>
    <cellStyle name="Uwaga 101" xfId="35774"/>
    <cellStyle name="Uwaga 101 2" xfId="35775"/>
    <cellStyle name="Uwaga 102" xfId="35776"/>
    <cellStyle name="Uwaga 102 2" xfId="35777"/>
    <cellStyle name="Uwaga 103" xfId="35778"/>
    <cellStyle name="Uwaga 103 2" xfId="35779"/>
    <cellStyle name="Uwaga 104" xfId="35780"/>
    <cellStyle name="Uwaga 104 2" xfId="35781"/>
    <cellStyle name="Uwaga 105" xfId="35782"/>
    <cellStyle name="Uwaga 105 2" xfId="35783"/>
    <cellStyle name="Uwaga 106" xfId="35784"/>
    <cellStyle name="Uwaga 106 2" xfId="35785"/>
    <cellStyle name="Uwaga 107" xfId="35786"/>
    <cellStyle name="Uwaga 107 2" xfId="35787"/>
    <cellStyle name="Uwaga 108" xfId="35788"/>
    <cellStyle name="Uwaga 108 2" xfId="35789"/>
    <cellStyle name="Uwaga 109" xfId="35790"/>
    <cellStyle name="Uwaga 109 2" xfId="35791"/>
    <cellStyle name="Uwaga 11" xfId="35792"/>
    <cellStyle name="Uwaga 110" xfId="35793"/>
    <cellStyle name="Uwaga 110 2" xfId="35794"/>
    <cellStyle name="Uwaga 111" xfId="35795"/>
    <cellStyle name="Uwaga 111 2" xfId="35796"/>
    <cellStyle name="Uwaga 112" xfId="35797"/>
    <cellStyle name="Uwaga 112 2" xfId="35798"/>
    <cellStyle name="Uwaga 113" xfId="35799"/>
    <cellStyle name="Uwaga 113 2" xfId="35800"/>
    <cellStyle name="Uwaga 114" xfId="35801"/>
    <cellStyle name="Uwaga 114 2" xfId="35802"/>
    <cellStyle name="Uwaga 115" xfId="35803"/>
    <cellStyle name="Uwaga 115 2" xfId="35804"/>
    <cellStyle name="Uwaga 116" xfId="35805"/>
    <cellStyle name="Uwaga 116 2" xfId="35806"/>
    <cellStyle name="Uwaga 117" xfId="35807"/>
    <cellStyle name="Uwaga 117 2" xfId="35808"/>
    <cellStyle name="Uwaga 118" xfId="35809"/>
    <cellStyle name="Uwaga 118 2" xfId="35810"/>
    <cellStyle name="Uwaga 119" xfId="35811"/>
    <cellStyle name="Uwaga 119 2" xfId="35812"/>
    <cellStyle name="Uwaga 12" xfId="35813"/>
    <cellStyle name="Uwaga 120" xfId="35814"/>
    <cellStyle name="Uwaga 120 2" xfId="35815"/>
    <cellStyle name="Uwaga 121" xfId="35816"/>
    <cellStyle name="Uwaga 121 2" xfId="35817"/>
    <cellStyle name="Uwaga 122" xfId="35818"/>
    <cellStyle name="Uwaga 122 2" xfId="35819"/>
    <cellStyle name="Uwaga 123" xfId="35820"/>
    <cellStyle name="Uwaga 123 2" xfId="35821"/>
    <cellStyle name="Uwaga 124" xfId="35822"/>
    <cellStyle name="Uwaga 124 2" xfId="35823"/>
    <cellStyle name="Uwaga 125" xfId="35824"/>
    <cellStyle name="Uwaga 13" xfId="35825"/>
    <cellStyle name="Uwaga 14" xfId="35826"/>
    <cellStyle name="Uwaga 15" xfId="35827"/>
    <cellStyle name="Uwaga 16" xfId="35828"/>
    <cellStyle name="Uwaga 17" xfId="35829"/>
    <cellStyle name="Uwaga 18" xfId="35830"/>
    <cellStyle name="Uwaga 19" xfId="35831"/>
    <cellStyle name="Uwaga 2" xfId="35832"/>
    <cellStyle name="Uwaga 2 10" xfId="35833"/>
    <cellStyle name="Uwaga 2 10 10" xfId="35834"/>
    <cellStyle name="Uwaga 2 10 10 2" xfId="35835"/>
    <cellStyle name="Uwaga 2 10 10 3" xfId="35836"/>
    <cellStyle name="Uwaga 2 10 10 4" xfId="35837"/>
    <cellStyle name="Uwaga 2 10 11" xfId="35838"/>
    <cellStyle name="Uwaga 2 10 11 2" xfId="35839"/>
    <cellStyle name="Uwaga 2 10 11 3" xfId="35840"/>
    <cellStyle name="Uwaga 2 10 11 4" xfId="35841"/>
    <cellStyle name="Uwaga 2 10 12" xfId="35842"/>
    <cellStyle name="Uwaga 2 10 12 2" xfId="35843"/>
    <cellStyle name="Uwaga 2 10 12 3" xfId="35844"/>
    <cellStyle name="Uwaga 2 10 12 4" xfId="35845"/>
    <cellStyle name="Uwaga 2 10 13" xfId="35846"/>
    <cellStyle name="Uwaga 2 10 13 2" xfId="35847"/>
    <cellStyle name="Uwaga 2 10 13 3" xfId="35848"/>
    <cellStyle name="Uwaga 2 10 13 4" xfId="35849"/>
    <cellStyle name="Uwaga 2 10 14" xfId="35850"/>
    <cellStyle name="Uwaga 2 10 14 2" xfId="35851"/>
    <cellStyle name="Uwaga 2 10 14 3" xfId="35852"/>
    <cellStyle name="Uwaga 2 10 14 4" xfId="35853"/>
    <cellStyle name="Uwaga 2 10 15" xfId="35854"/>
    <cellStyle name="Uwaga 2 10 15 2" xfId="35855"/>
    <cellStyle name="Uwaga 2 10 15 3" xfId="35856"/>
    <cellStyle name="Uwaga 2 10 15 4" xfId="35857"/>
    <cellStyle name="Uwaga 2 10 16" xfId="35858"/>
    <cellStyle name="Uwaga 2 10 16 2" xfId="35859"/>
    <cellStyle name="Uwaga 2 10 16 3" xfId="35860"/>
    <cellStyle name="Uwaga 2 10 16 4" xfId="35861"/>
    <cellStyle name="Uwaga 2 10 17" xfId="35862"/>
    <cellStyle name="Uwaga 2 10 17 2" xfId="35863"/>
    <cellStyle name="Uwaga 2 10 17 3" xfId="35864"/>
    <cellStyle name="Uwaga 2 10 17 4" xfId="35865"/>
    <cellStyle name="Uwaga 2 10 18" xfId="35866"/>
    <cellStyle name="Uwaga 2 10 18 2" xfId="35867"/>
    <cellStyle name="Uwaga 2 10 18 3" xfId="35868"/>
    <cellStyle name="Uwaga 2 10 18 4" xfId="35869"/>
    <cellStyle name="Uwaga 2 10 19" xfId="35870"/>
    <cellStyle name="Uwaga 2 10 19 2" xfId="35871"/>
    <cellStyle name="Uwaga 2 10 19 3" xfId="35872"/>
    <cellStyle name="Uwaga 2 10 19 4" xfId="35873"/>
    <cellStyle name="Uwaga 2 10 2" xfId="35874"/>
    <cellStyle name="Uwaga 2 10 2 2" xfId="35875"/>
    <cellStyle name="Uwaga 2 10 2 3" xfId="35876"/>
    <cellStyle name="Uwaga 2 10 2 4" xfId="35877"/>
    <cellStyle name="Uwaga 2 10 20" xfId="35878"/>
    <cellStyle name="Uwaga 2 10 20 2" xfId="35879"/>
    <cellStyle name="Uwaga 2 10 20 3" xfId="35880"/>
    <cellStyle name="Uwaga 2 10 20 4" xfId="35881"/>
    <cellStyle name="Uwaga 2 10 21" xfId="35882"/>
    <cellStyle name="Uwaga 2 10 21 2" xfId="35883"/>
    <cellStyle name="Uwaga 2 10 21 3" xfId="35884"/>
    <cellStyle name="Uwaga 2 10 22" xfId="35885"/>
    <cellStyle name="Uwaga 2 10 22 2" xfId="35886"/>
    <cellStyle name="Uwaga 2 10 22 3" xfId="35887"/>
    <cellStyle name="Uwaga 2 10 23" xfId="35888"/>
    <cellStyle name="Uwaga 2 10 23 2" xfId="35889"/>
    <cellStyle name="Uwaga 2 10 23 3" xfId="35890"/>
    <cellStyle name="Uwaga 2 10 24" xfId="35891"/>
    <cellStyle name="Uwaga 2 10 24 2" xfId="35892"/>
    <cellStyle name="Uwaga 2 10 24 3" xfId="35893"/>
    <cellStyle name="Uwaga 2 10 25" xfId="35894"/>
    <cellStyle name="Uwaga 2 10 25 2" xfId="35895"/>
    <cellStyle name="Uwaga 2 10 25 3" xfId="35896"/>
    <cellStyle name="Uwaga 2 10 26" xfId="35897"/>
    <cellStyle name="Uwaga 2 10 26 2" xfId="35898"/>
    <cellStyle name="Uwaga 2 10 26 3" xfId="35899"/>
    <cellStyle name="Uwaga 2 10 27" xfId="35900"/>
    <cellStyle name="Uwaga 2 10 27 2" xfId="35901"/>
    <cellStyle name="Uwaga 2 10 27 3" xfId="35902"/>
    <cellStyle name="Uwaga 2 10 28" xfId="35903"/>
    <cellStyle name="Uwaga 2 10 28 2" xfId="35904"/>
    <cellStyle name="Uwaga 2 10 28 3" xfId="35905"/>
    <cellStyle name="Uwaga 2 10 29" xfId="35906"/>
    <cellStyle name="Uwaga 2 10 29 2" xfId="35907"/>
    <cellStyle name="Uwaga 2 10 29 3" xfId="35908"/>
    <cellStyle name="Uwaga 2 10 3" xfId="35909"/>
    <cellStyle name="Uwaga 2 10 3 2" xfId="35910"/>
    <cellStyle name="Uwaga 2 10 3 3" xfId="35911"/>
    <cellStyle name="Uwaga 2 10 3 4" xfId="35912"/>
    <cellStyle name="Uwaga 2 10 30" xfId="35913"/>
    <cellStyle name="Uwaga 2 10 30 2" xfId="35914"/>
    <cellStyle name="Uwaga 2 10 30 3" xfId="35915"/>
    <cellStyle name="Uwaga 2 10 31" xfId="35916"/>
    <cellStyle name="Uwaga 2 10 31 2" xfId="35917"/>
    <cellStyle name="Uwaga 2 10 31 3" xfId="35918"/>
    <cellStyle name="Uwaga 2 10 32" xfId="35919"/>
    <cellStyle name="Uwaga 2 10 32 2" xfId="35920"/>
    <cellStyle name="Uwaga 2 10 32 3" xfId="35921"/>
    <cellStyle name="Uwaga 2 10 33" xfId="35922"/>
    <cellStyle name="Uwaga 2 10 33 2" xfId="35923"/>
    <cellStyle name="Uwaga 2 10 33 3" xfId="35924"/>
    <cellStyle name="Uwaga 2 10 34" xfId="35925"/>
    <cellStyle name="Uwaga 2 10 34 2" xfId="35926"/>
    <cellStyle name="Uwaga 2 10 34 3" xfId="35927"/>
    <cellStyle name="Uwaga 2 10 35" xfId="35928"/>
    <cellStyle name="Uwaga 2 10 35 2" xfId="35929"/>
    <cellStyle name="Uwaga 2 10 35 3" xfId="35930"/>
    <cellStyle name="Uwaga 2 10 36" xfId="35931"/>
    <cellStyle name="Uwaga 2 10 36 2" xfId="35932"/>
    <cellStyle name="Uwaga 2 10 36 3" xfId="35933"/>
    <cellStyle name="Uwaga 2 10 37" xfId="35934"/>
    <cellStyle name="Uwaga 2 10 37 2" xfId="35935"/>
    <cellStyle name="Uwaga 2 10 37 3" xfId="35936"/>
    <cellStyle name="Uwaga 2 10 38" xfId="35937"/>
    <cellStyle name="Uwaga 2 10 38 2" xfId="35938"/>
    <cellStyle name="Uwaga 2 10 38 3" xfId="35939"/>
    <cellStyle name="Uwaga 2 10 39" xfId="35940"/>
    <cellStyle name="Uwaga 2 10 39 2" xfId="35941"/>
    <cellStyle name="Uwaga 2 10 39 3" xfId="35942"/>
    <cellStyle name="Uwaga 2 10 4" xfId="35943"/>
    <cellStyle name="Uwaga 2 10 4 2" xfId="35944"/>
    <cellStyle name="Uwaga 2 10 4 3" xfId="35945"/>
    <cellStyle name="Uwaga 2 10 4 4" xfId="35946"/>
    <cellStyle name="Uwaga 2 10 40" xfId="35947"/>
    <cellStyle name="Uwaga 2 10 40 2" xfId="35948"/>
    <cellStyle name="Uwaga 2 10 40 3" xfId="35949"/>
    <cellStyle name="Uwaga 2 10 41" xfId="35950"/>
    <cellStyle name="Uwaga 2 10 41 2" xfId="35951"/>
    <cellStyle name="Uwaga 2 10 41 3" xfId="35952"/>
    <cellStyle name="Uwaga 2 10 42" xfId="35953"/>
    <cellStyle name="Uwaga 2 10 42 2" xfId="35954"/>
    <cellStyle name="Uwaga 2 10 42 3" xfId="35955"/>
    <cellStyle name="Uwaga 2 10 43" xfId="35956"/>
    <cellStyle name="Uwaga 2 10 43 2" xfId="35957"/>
    <cellStyle name="Uwaga 2 10 43 3" xfId="35958"/>
    <cellStyle name="Uwaga 2 10 44" xfId="35959"/>
    <cellStyle name="Uwaga 2 10 44 2" xfId="35960"/>
    <cellStyle name="Uwaga 2 10 44 3" xfId="35961"/>
    <cellStyle name="Uwaga 2 10 45" xfId="35962"/>
    <cellStyle name="Uwaga 2 10 45 2" xfId="35963"/>
    <cellStyle name="Uwaga 2 10 45 3" xfId="35964"/>
    <cellStyle name="Uwaga 2 10 46" xfId="35965"/>
    <cellStyle name="Uwaga 2 10 46 2" xfId="35966"/>
    <cellStyle name="Uwaga 2 10 46 3" xfId="35967"/>
    <cellStyle name="Uwaga 2 10 47" xfId="35968"/>
    <cellStyle name="Uwaga 2 10 47 2" xfId="35969"/>
    <cellStyle name="Uwaga 2 10 47 3" xfId="35970"/>
    <cellStyle name="Uwaga 2 10 48" xfId="35971"/>
    <cellStyle name="Uwaga 2 10 48 2" xfId="35972"/>
    <cellStyle name="Uwaga 2 10 48 3" xfId="35973"/>
    <cellStyle name="Uwaga 2 10 49" xfId="35974"/>
    <cellStyle name="Uwaga 2 10 49 2" xfId="35975"/>
    <cellStyle name="Uwaga 2 10 49 3" xfId="35976"/>
    <cellStyle name="Uwaga 2 10 5" xfId="35977"/>
    <cellStyle name="Uwaga 2 10 5 2" xfId="35978"/>
    <cellStyle name="Uwaga 2 10 5 3" xfId="35979"/>
    <cellStyle name="Uwaga 2 10 5 4" xfId="35980"/>
    <cellStyle name="Uwaga 2 10 50" xfId="35981"/>
    <cellStyle name="Uwaga 2 10 50 2" xfId="35982"/>
    <cellStyle name="Uwaga 2 10 50 3" xfId="35983"/>
    <cellStyle name="Uwaga 2 10 51" xfId="35984"/>
    <cellStyle name="Uwaga 2 10 51 2" xfId="35985"/>
    <cellStyle name="Uwaga 2 10 51 3" xfId="35986"/>
    <cellStyle name="Uwaga 2 10 52" xfId="35987"/>
    <cellStyle name="Uwaga 2 10 52 2" xfId="35988"/>
    <cellStyle name="Uwaga 2 10 52 3" xfId="35989"/>
    <cellStyle name="Uwaga 2 10 53" xfId="35990"/>
    <cellStyle name="Uwaga 2 10 53 2" xfId="35991"/>
    <cellStyle name="Uwaga 2 10 53 3" xfId="35992"/>
    <cellStyle name="Uwaga 2 10 54" xfId="35993"/>
    <cellStyle name="Uwaga 2 10 54 2" xfId="35994"/>
    <cellStyle name="Uwaga 2 10 54 3" xfId="35995"/>
    <cellStyle name="Uwaga 2 10 55" xfId="35996"/>
    <cellStyle name="Uwaga 2 10 55 2" xfId="35997"/>
    <cellStyle name="Uwaga 2 10 55 3" xfId="35998"/>
    <cellStyle name="Uwaga 2 10 56" xfId="35999"/>
    <cellStyle name="Uwaga 2 10 56 2" xfId="36000"/>
    <cellStyle name="Uwaga 2 10 56 3" xfId="36001"/>
    <cellStyle name="Uwaga 2 10 57" xfId="36002"/>
    <cellStyle name="Uwaga 2 10 58" xfId="36003"/>
    <cellStyle name="Uwaga 2 10 6" xfId="36004"/>
    <cellStyle name="Uwaga 2 10 6 2" xfId="36005"/>
    <cellStyle name="Uwaga 2 10 6 3" xfId="36006"/>
    <cellStyle name="Uwaga 2 10 6 4" xfId="36007"/>
    <cellStyle name="Uwaga 2 10 7" xfId="36008"/>
    <cellStyle name="Uwaga 2 10 7 2" xfId="36009"/>
    <cellStyle name="Uwaga 2 10 7 3" xfId="36010"/>
    <cellStyle name="Uwaga 2 10 7 4" xfId="36011"/>
    <cellStyle name="Uwaga 2 10 8" xfId="36012"/>
    <cellStyle name="Uwaga 2 10 8 2" xfId="36013"/>
    <cellStyle name="Uwaga 2 10 8 3" xfId="36014"/>
    <cellStyle name="Uwaga 2 10 8 4" xfId="36015"/>
    <cellStyle name="Uwaga 2 10 9" xfId="36016"/>
    <cellStyle name="Uwaga 2 10 9 2" xfId="36017"/>
    <cellStyle name="Uwaga 2 10 9 3" xfId="36018"/>
    <cellStyle name="Uwaga 2 10 9 4" xfId="36019"/>
    <cellStyle name="Uwaga 2 11" xfId="36020"/>
    <cellStyle name="Uwaga 2 11 10" xfId="36021"/>
    <cellStyle name="Uwaga 2 11 10 2" xfId="36022"/>
    <cellStyle name="Uwaga 2 11 10 3" xfId="36023"/>
    <cellStyle name="Uwaga 2 11 10 4" xfId="36024"/>
    <cellStyle name="Uwaga 2 11 11" xfId="36025"/>
    <cellStyle name="Uwaga 2 11 11 2" xfId="36026"/>
    <cellStyle name="Uwaga 2 11 11 3" xfId="36027"/>
    <cellStyle name="Uwaga 2 11 11 4" xfId="36028"/>
    <cellStyle name="Uwaga 2 11 12" xfId="36029"/>
    <cellStyle name="Uwaga 2 11 12 2" xfId="36030"/>
    <cellStyle name="Uwaga 2 11 12 3" xfId="36031"/>
    <cellStyle name="Uwaga 2 11 12 4" xfId="36032"/>
    <cellStyle name="Uwaga 2 11 13" xfId="36033"/>
    <cellStyle name="Uwaga 2 11 13 2" xfId="36034"/>
    <cellStyle name="Uwaga 2 11 13 3" xfId="36035"/>
    <cellStyle name="Uwaga 2 11 13 4" xfId="36036"/>
    <cellStyle name="Uwaga 2 11 14" xfId="36037"/>
    <cellStyle name="Uwaga 2 11 14 2" xfId="36038"/>
    <cellStyle name="Uwaga 2 11 14 3" xfId="36039"/>
    <cellStyle name="Uwaga 2 11 14 4" xfId="36040"/>
    <cellStyle name="Uwaga 2 11 15" xfId="36041"/>
    <cellStyle name="Uwaga 2 11 15 2" xfId="36042"/>
    <cellStyle name="Uwaga 2 11 15 3" xfId="36043"/>
    <cellStyle name="Uwaga 2 11 15 4" xfId="36044"/>
    <cellStyle name="Uwaga 2 11 16" xfId="36045"/>
    <cellStyle name="Uwaga 2 11 16 2" xfId="36046"/>
    <cellStyle name="Uwaga 2 11 16 3" xfId="36047"/>
    <cellStyle name="Uwaga 2 11 16 4" xfId="36048"/>
    <cellStyle name="Uwaga 2 11 17" xfId="36049"/>
    <cellStyle name="Uwaga 2 11 17 2" xfId="36050"/>
    <cellStyle name="Uwaga 2 11 17 3" xfId="36051"/>
    <cellStyle name="Uwaga 2 11 17 4" xfId="36052"/>
    <cellStyle name="Uwaga 2 11 18" xfId="36053"/>
    <cellStyle name="Uwaga 2 11 18 2" xfId="36054"/>
    <cellStyle name="Uwaga 2 11 18 3" xfId="36055"/>
    <cellStyle name="Uwaga 2 11 18 4" xfId="36056"/>
    <cellStyle name="Uwaga 2 11 19" xfId="36057"/>
    <cellStyle name="Uwaga 2 11 19 2" xfId="36058"/>
    <cellStyle name="Uwaga 2 11 19 3" xfId="36059"/>
    <cellStyle name="Uwaga 2 11 19 4" xfId="36060"/>
    <cellStyle name="Uwaga 2 11 2" xfId="36061"/>
    <cellStyle name="Uwaga 2 11 2 2" xfId="36062"/>
    <cellStyle name="Uwaga 2 11 2 3" xfId="36063"/>
    <cellStyle name="Uwaga 2 11 2 4" xfId="36064"/>
    <cellStyle name="Uwaga 2 11 20" xfId="36065"/>
    <cellStyle name="Uwaga 2 11 20 2" xfId="36066"/>
    <cellStyle name="Uwaga 2 11 20 3" xfId="36067"/>
    <cellStyle name="Uwaga 2 11 20 4" xfId="36068"/>
    <cellStyle name="Uwaga 2 11 21" xfId="36069"/>
    <cellStyle name="Uwaga 2 11 21 2" xfId="36070"/>
    <cellStyle name="Uwaga 2 11 21 3" xfId="36071"/>
    <cellStyle name="Uwaga 2 11 22" xfId="36072"/>
    <cellStyle name="Uwaga 2 11 22 2" xfId="36073"/>
    <cellStyle name="Uwaga 2 11 22 3" xfId="36074"/>
    <cellStyle name="Uwaga 2 11 23" xfId="36075"/>
    <cellStyle name="Uwaga 2 11 23 2" xfId="36076"/>
    <cellStyle name="Uwaga 2 11 23 3" xfId="36077"/>
    <cellStyle name="Uwaga 2 11 24" xfId="36078"/>
    <cellStyle name="Uwaga 2 11 24 2" xfId="36079"/>
    <cellStyle name="Uwaga 2 11 24 3" xfId="36080"/>
    <cellStyle name="Uwaga 2 11 25" xfId="36081"/>
    <cellStyle name="Uwaga 2 11 25 2" xfId="36082"/>
    <cellStyle name="Uwaga 2 11 25 3" xfId="36083"/>
    <cellStyle name="Uwaga 2 11 26" xfId="36084"/>
    <cellStyle name="Uwaga 2 11 26 2" xfId="36085"/>
    <cellStyle name="Uwaga 2 11 26 3" xfId="36086"/>
    <cellStyle name="Uwaga 2 11 27" xfId="36087"/>
    <cellStyle name="Uwaga 2 11 27 2" xfId="36088"/>
    <cellStyle name="Uwaga 2 11 27 3" xfId="36089"/>
    <cellStyle name="Uwaga 2 11 28" xfId="36090"/>
    <cellStyle name="Uwaga 2 11 28 2" xfId="36091"/>
    <cellStyle name="Uwaga 2 11 28 3" xfId="36092"/>
    <cellStyle name="Uwaga 2 11 29" xfId="36093"/>
    <cellStyle name="Uwaga 2 11 29 2" xfId="36094"/>
    <cellStyle name="Uwaga 2 11 29 3" xfId="36095"/>
    <cellStyle name="Uwaga 2 11 3" xfId="36096"/>
    <cellStyle name="Uwaga 2 11 3 2" xfId="36097"/>
    <cellStyle name="Uwaga 2 11 3 3" xfId="36098"/>
    <cellStyle name="Uwaga 2 11 3 4" xfId="36099"/>
    <cellStyle name="Uwaga 2 11 30" xfId="36100"/>
    <cellStyle name="Uwaga 2 11 30 2" xfId="36101"/>
    <cellStyle name="Uwaga 2 11 30 3" xfId="36102"/>
    <cellStyle name="Uwaga 2 11 31" xfId="36103"/>
    <cellStyle name="Uwaga 2 11 31 2" xfId="36104"/>
    <cellStyle name="Uwaga 2 11 31 3" xfId="36105"/>
    <cellStyle name="Uwaga 2 11 32" xfId="36106"/>
    <cellStyle name="Uwaga 2 11 32 2" xfId="36107"/>
    <cellStyle name="Uwaga 2 11 32 3" xfId="36108"/>
    <cellStyle name="Uwaga 2 11 33" xfId="36109"/>
    <cellStyle name="Uwaga 2 11 33 2" xfId="36110"/>
    <cellStyle name="Uwaga 2 11 33 3" xfId="36111"/>
    <cellStyle name="Uwaga 2 11 34" xfId="36112"/>
    <cellStyle name="Uwaga 2 11 34 2" xfId="36113"/>
    <cellStyle name="Uwaga 2 11 34 3" xfId="36114"/>
    <cellStyle name="Uwaga 2 11 35" xfId="36115"/>
    <cellStyle name="Uwaga 2 11 35 2" xfId="36116"/>
    <cellStyle name="Uwaga 2 11 35 3" xfId="36117"/>
    <cellStyle name="Uwaga 2 11 36" xfId="36118"/>
    <cellStyle name="Uwaga 2 11 36 2" xfId="36119"/>
    <cellStyle name="Uwaga 2 11 36 3" xfId="36120"/>
    <cellStyle name="Uwaga 2 11 37" xfId="36121"/>
    <cellStyle name="Uwaga 2 11 37 2" xfId="36122"/>
    <cellStyle name="Uwaga 2 11 37 3" xfId="36123"/>
    <cellStyle name="Uwaga 2 11 38" xfId="36124"/>
    <cellStyle name="Uwaga 2 11 38 2" xfId="36125"/>
    <cellStyle name="Uwaga 2 11 38 3" xfId="36126"/>
    <cellStyle name="Uwaga 2 11 39" xfId="36127"/>
    <cellStyle name="Uwaga 2 11 39 2" xfId="36128"/>
    <cellStyle name="Uwaga 2 11 39 3" xfId="36129"/>
    <cellStyle name="Uwaga 2 11 4" xfId="36130"/>
    <cellStyle name="Uwaga 2 11 4 2" xfId="36131"/>
    <cellStyle name="Uwaga 2 11 4 3" xfId="36132"/>
    <cellStyle name="Uwaga 2 11 4 4" xfId="36133"/>
    <cellStyle name="Uwaga 2 11 40" xfId="36134"/>
    <cellStyle name="Uwaga 2 11 40 2" xfId="36135"/>
    <cellStyle name="Uwaga 2 11 40 3" xfId="36136"/>
    <cellStyle name="Uwaga 2 11 41" xfId="36137"/>
    <cellStyle name="Uwaga 2 11 41 2" xfId="36138"/>
    <cellStyle name="Uwaga 2 11 41 3" xfId="36139"/>
    <cellStyle name="Uwaga 2 11 42" xfId="36140"/>
    <cellStyle name="Uwaga 2 11 42 2" xfId="36141"/>
    <cellStyle name="Uwaga 2 11 42 3" xfId="36142"/>
    <cellStyle name="Uwaga 2 11 43" xfId="36143"/>
    <cellStyle name="Uwaga 2 11 43 2" xfId="36144"/>
    <cellStyle name="Uwaga 2 11 43 3" xfId="36145"/>
    <cellStyle name="Uwaga 2 11 44" xfId="36146"/>
    <cellStyle name="Uwaga 2 11 44 2" xfId="36147"/>
    <cellStyle name="Uwaga 2 11 44 3" xfId="36148"/>
    <cellStyle name="Uwaga 2 11 45" xfId="36149"/>
    <cellStyle name="Uwaga 2 11 45 2" xfId="36150"/>
    <cellStyle name="Uwaga 2 11 45 3" xfId="36151"/>
    <cellStyle name="Uwaga 2 11 46" xfId="36152"/>
    <cellStyle name="Uwaga 2 11 46 2" xfId="36153"/>
    <cellStyle name="Uwaga 2 11 46 3" xfId="36154"/>
    <cellStyle name="Uwaga 2 11 47" xfId="36155"/>
    <cellStyle name="Uwaga 2 11 47 2" xfId="36156"/>
    <cellStyle name="Uwaga 2 11 47 3" xfId="36157"/>
    <cellStyle name="Uwaga 2 11 48" xfId="36158"/>
    <cellStyle name="Uwaga 2 11 48 2" xfId="36159"/>
    <cellStyle name="Uwaga 2 11 48 3" xfId="36160"/>
    <cellStyle name="Uwaga 2 11 49" xfId="36161"/>
    <cellStyle name="Uwaga 2 11 49 2" xfId="36162"/>
    <cellStyle name="Uwaga 2 11 49 3" xfId="36163"/>
    <cellStyle name="Uwaga 2 11 5" xfId="36164"/>
    <cellStyle name="Uwaga 2 11 5 2" xfId="36165"/>
    <cellStyle name="Uwaga 2 11 5 3" xfId="36166"/>
    <cellStyle name="Uwaga 2 11 5 4" xfId="36167"/>
    <cellStyle name="Uwaga 2 11 50" xfId="36168"/>
    <cellStyle name="Uwaga 2 11 50 2" xfId="36169"/>
    <cellStyle name="Uwaga 2 11 50 3" xfId="36170"/>
    <cellStyle name="Uwaga 2 11 51" xfId="36171"/>
    <cellStyle name="Uwaga 2 11 51 2" xfId="36172"/>
    <cellStyle name="Uwaga 2 11 51 3" xfId="36173"/>
    <cellStyle name="Uwaga 2 11 52" xfId="36174"/>
    <cellStyle name="Uwaga 2 11 52 2" xfId="36175"/>
    <cellStyle name="Uwaga 2 11 52 3" xfId="36176"/>
    <cellStyle name="Uwaga 2 11 53" xfId="36177"/>
    <cellStyle name="Uwaga 2 11 53 2" xfId="36178"/>
    <cellStyle name="Uwaga 2 11 53 3" xfId="36179"/>
    <cellStyle name="Uwaga 2 11 54" xfId="36180"/>
    <cellStyle name="Uwaga 2 11 54 2" xfId="36181"/>
    <cellStyle name="Uwaga 2 11 54 3" xfId="36182"/>
    <cellStyle name="Uwaga 2 11 55" xfId="36183"/>
    <cellStyle name="Uwaga 2 11 55 2" xfId="36184"/>
    <cellStyle name="Uwaga 2 11 55 3" xfId="36185"/>
    <cellStyle name="Uwaga 2 11 56" xfId="36186"/>
    <cellStyle name="Uwaga 2 11 56 2" xfId="36187"/>
    <cellStyle name="Uwaga 2 11 56 3" xfId="36188"/>
    <cellStyle name="Uwaga 2 11 57" xfId="36189"/>
    <cellStyle name="Uwaga 2 11 58" xfId="36190"/>
    <cellStyle name="Uwaga 2 11 6" xfId="36191"/>
    <cellStyle name="Uwaga 2 11 6 2" xfId="36192"/>
    <cellStyle name="Uwaga 2 11 6 3" xfId="36193"/>
    <cellStyle name="Uwaga 2 11 6 4" xfId="36194"/>
    <cellStyle name="Uwaga 2 11 7" xfId="36195"/>
    <cellStyle name="Uwaga 2 11 7 2" xfId="36196"/>
    <cellStyle name="Uwaga 2 11 7 3" xfId="36197"/>
    <cellStyle name="Uwaga 2 11 7 4" xfId="36198"/>
    <cellStyle name="Uwaga 2 11 8" xfId="36199"/>
    <cellStyle name="Uwaga 2 11 8 2" xfId="36200"/>
    <cellStyle name="Uwaga 2 11 8 3" xfId="36201"/>
    <cellStyle name="Uwaga 2 11 8 4" xfId="36202"/>
    <cellStyle name="Uwaga 2 11 9" xfId="36203"/>
    <cellStyle name="Uwaga 2 11 9 2" xfId="36204"/>
    <cellStyle name="Uwaga 2 11 9 3" xfId="36205"/>
    <cellStyle name="Uwaga 2 11 9 4" xfId="36206"/>
    <cellStyle name="Uwaga 2 12" xfId="36207"/>
    <cellStyle name="Uwaga 2 12 10" xfId="36208"/>
    <cellStyle name="Uwaga 2 12 10 2" xfId="36209"/>
    <cellStyle name="Uwaga 2 12 10 3" xfId="36210"/>
    <cellStyle name="Uwaga 2 12 10 4" xfId="36211"/>
    <cellStyle name="Uwaga 2 12 11" xfId="36212"/>
    <cellStyle name="Uwaga 2 12 11 2" xfId="36213"/>
    <cellStyle name="Uwaga 2 12 11 3" xfId="36214"/>
    <cellStyle name="Uwaga 2 12 11 4" xfId="36215"/>
    <cellStyle name="Uwaga 2 12 12" xfId="36216"/>
    <cellStyle name="Uwaga 2 12 12 2" xfId="36217"/>
    <cellStyle name="Uwaga 2 12 12 3" xfId="36218"/>
    <cellStyle name="Uwaga 2 12 12 4" xfId="36219"/>
    <cellStyle name="Uwaga 2 12 13" xfId="36220"/>
    <cellStyle name="Uwaga 2 12 13 2" xfId="36221"/>
    <cellStyle name="Uwaga 2 12 13 3" xfId="36222"/>
    <cellStyle name="Uwaga 2 12 13 4" xfId="36223"/>
    <cellStyle name="Uwaga 2 12 14" xfId="36224"/>
    <cellStyle name="Uwaga 2 12 14 2" xfId="36225"/>
    <cellStyle name="Uwaga 2 12 14 3" xfId="36226"/>
    <cellStyle name="Uwaga 2 12 14 4" xfId="36227"/>
    <cellStyle name="Uwaga 2 12 15" xfId="36228"/>
    <cellStyle name="Uwaga 2 12 15 2" xfId="36229"/>
    <cellStyle name="Uwaga 2 12 15 3" xfId="36230"/>
    <cellStyle name="Uwaga 2 12 15 4" xfId="36231"/>
    <cellStyle name="Uwaga 2 12 16" xfId="36232"/>
    <cellStyle name="Uwaga 2 12 16 2" xfId="36233"/>
    <cellStyle name="Uwaga 2 12 16 3" xfId="36234"/>
    <cellStyle name="Uwaga 2 12 16 4" xfId="36235"/>
    <cellStyle name="Uwaga 2 12 17" xfId="36236"/>
    <cellStyle name="Uwaga 2 12 17 2" xfId="36237"/>
    <cellStyle name="Uwaga 2 12 17 3" xfId="36238"/>
    <cellStyle name="Uwaga 2 12 17 4" xfId="36239"/>
    <cellStyle name="Uwaga 2 12 18" xfId="36240"/>
    <cellStyle name="Uwaga 2 12 18 2" xfId="36241"/>
    <cellStyle name="Uwaga 2 12 18 3" xfId="36242"/>
    <cellStyle name="Uwaga 2 12 18 4" xfId="36243"/>
    <cellStyle name="Uwaga 2 12 19" xfId="36244"/>
    <cellStyle name="Uwaga 2 12 19 2" xfId="36245"/>
    <cellStyle name="Uwaga 2 12 19 3" xfId="36246"/>
    <cellStyle name="Uwaga 2 12 19 4" xfId="36247"/>
    <cellStyle name="Uwaga 2 12 2" xfId="36248"/>
    <cellStyle name="Uwaga 2 12 2 2" xfId="36249"/>
    <cellStyle name="Uwaga 2 12 2 3" xfId="36250"/>
    <cellStyle name="Uwaga 2 12 2 4" xfId="36251"/>
    <cellStyle name="Uwaga 2 12 20" xfId="36252"/>
    <cellStyle name="Uwaga 2 12 20 2" xfId="36253"/>
    <cellStyle name="Uwaga 2 12 20 3" xfId="36254"/>
    <cellStyle name="Uwaga 2 12 20 4" xfId="36255"/>
    <cellStyle name="Uwaga 2 12 21" xfId="36256"/>
    <cellStyle name="Uwaga 2 12 21 2" xfId="36257"/>
    <cellStyle name="Uwaga 2 12 21 3" xfId="36258"/>
    <cellStyle name="Uwaga 2 12 22" xfId="36259"/>
    <cellStyle name="Uwaga 2 12 22 2" xfId="36260"/>
    <cellStyle name="Uwaga 2 12 22 3" xfId="36261"/>
    <cellStyle name="Uwaga 2 12 23" xfId="36262"/>
    <cellStyle name="Uwaga 2 12 23 2" xfId="36263"/>
    <cellStyle name="Uwaga 2 12 23 3" xfId="36264"/>
    <cellStyle name="Uwaga 2 12 24" xfId="36265"/>
    <cellStyle name="Uwaga 2 12 24 2" xfId="36266"/>
    <cellStyle name="Uwaga 2 12 24 3" xfId="36267"/>
    <cellStyle name="Uwaga 2 12 25" xfId="36268"/>
    <cellStyle name="Uwaga 2 12 25 2" xfId="36269"/>
    <cellStyle name="Uwaga 2 12 25 3" xfId="36270"/>
    <cellStyle name="Uwaga 2 12 26" xfId="36271"/>
    <cellStyle name="Uwaga 2 12 26 2" xfId="36272"/>
    <cellStyle name="Uwaga 2 12 26 3" xfId="36273"/>
    <cellStyle name="Uwaga 2 12 27" xfId="36274"/>
    <cellStyle name="Uwaga 2 12 27 2" xfId="36275"/>
    <cellStyle name="Uwaga 2 12 27 3" xfId="36276"/>
    <cellStyle name="Uwaga 2 12 28" xfId="36277"/>
    <cellStyle name="Uwaga 2 12 28 2" xfId="36278"/>
    <cellStyle name="Uwaga 2 12 28 3" xfId="36279"/>
    <cellStyle name="Uwaga 2 12 29" xfId="36280"/>
    <cellStyle name="Uwaga 2 12 29 2" xfId="36281"/>
    <cellStyle name="Uwaga 2 12 29 3" xfId="36282"/>
    <cellStyle name="Uwaga 2 12 3" xfId="36283"/>
    <cellStyle name="Uwaga 2 12 3 2" xfId="36284"/>
    <cellStyle name="Uwaga 2 12 3 3" xfId="36285"/>
    <cellStyle name="Uwaga 2 12 3 4" xfId="36286"/>
    <cellStyle name="Uwaga 2 12 30" xfId="36287"/>
    <cellStyle name="Uwaga 2 12 30 2" xfId="36288"/>
    <cellStyle name="Uwaga 2 12 30 3" xfId="36289"/>
    <cellStyle name="Uwaga 2 12 31" xfId="36290"/>
    <cellStyle name="Uwaga 2 12 31 2" xfId="36291"/>
    <cellStyle name="Uwaga 2 12 31 3" xfId="36292"/>
    <cellStyle name="Uwaga 2 12 32" xfId="36293"/>
    <cellStyle name="Uwaga 2 12 32 2" xfId="36294"/>
    <cellStyle name="Uwaga 2 12 32 3" xfId="36295"/>
    <cellStyle name="Uwaga 2 12 33" xfId="36296"/>
    <cellStyle name="Uwaga 2 12 33 2" xfId="36297"/>
    <cellStyle name="Uwaga 2 12 33 3" xfId="36298"/>
    <cellStyle name="Uwaga 2 12 34" xfId="36299"/>
    <cellStyle name="Uwaga 2 12 34 2" xfId="36300"/>
    <cellStyle name="Uwaga 2 12 34 3" xfId="36301"/>
    <cellStyle name="Uwaga 2 12 35" xfId="36302"/>
    <cellStyle name="Uwaga 2 12 35 2" xfId="36303"/>
    <cellStyle name="Uwaga 2 12 35 3" xfId="36304"/>
    <cellStyle name="Uwaga 2 12 36" xfId="36305"/>
    <cellStyle name="Uwaga 2 12 36 2" xfId="36306"/>
    <cellStyle name="Uwaga 2 12 36 3" xfId="36307"/>
    <cellStyle name="Uwaga 2 12 37" xfId="36308"/>
    <cellStyle name="Uwaga 2 12 37 2" xfId="36309"/>
    <cellStyle name="Uwaga 2 12 37 3" xfId="36310"/>
    <cellStyle name="Uwaga 2 12 38" xfId="36311"/>
    <cellStyle name="Uwaga 2 12 38 2" xfId="36312"/>
    <cellStyle name="Uwaga 2 12 38 3" xfId="36313"/>
    <cellStyle name="Uwaga 2 12 39" xfId="36314"/>
    <cellStyle name="Uwaga 2 12 39 2" xfId="36315"/>
    <cellStyle name="Uwaga 2 12 39 3" xfId="36316"/>
    <cellStyle name="Uwaga 2 12 4" xfId="36317"/>
    <cellStyle name="Uwaga 2 12 4 2" xfId="36318"/>
    <cellStyle name="Uwaga 2 12 4 3" xfId="36319"/>
    <cellStyle name="Uwaga 2 12 4 4" xfId="36320"/>
    <cellStyle name="Uwaga 2 12 40" xfId="36321"/>
    <cellStyle name="Uwaga 2 12 40 2" xfId="36322"/>
    <cellStyle name="Uwaga 2 12 40 3" xfId="36323"/>
    <cellStyle name="Uwaga 2 12 41" xfId="36324"/>
    <cellStyle name="Uwaga 2 12 41 2" xfId="36325"/>
    <cellStyle name="Uwaga 2 12 41 3" xfId="36326"/>
    <cellStyle name="Uwaga 2 12 42" xfId="36327"/>
    <cellStyle name="Uwaga 2 12 42 2" xfId="36328"/>
    <cellStyle name="Uwaga 2 12 42 3" xfId="36329"/>
    <cellStyle name="Uwaga 2 12 43" xfId="36330"/>
    <cellStyle name="Uwaga 2 12 43 2" xfId="36331"/>
    <cellStyle name="Uwaga 2 12 43 3" xfId="36332"/>
    <cellStyle name="Uwaga 2 12 44" xfId="36333"/>
    <cellStyle name="Uwaga 2 12 44 2" xfId="36334"/>
    <cellStyle name="Uwaga 2 12 44 3" xfId="36335"/>
    <cellStyle name="Uwaga 2 12 45" xfId="36336"/>
    <cellStyle name="Uwaga 2 12 45 2" xfId="36337"/>
    <cellStyle name="Uwaga 2 12 45 3" xfId="36338"/>
    <cellStyle name="Uwaga 2 12 46" xfId="36339"/>
    <cellStyle name="Uwaga 2 12 46 2" xfId="36340"/>
    <cellStyle name="Uwaga 2 12 46 3" xfId="36341"/>
    <cellStyle name="Uwaga 2 12 47" xfId="36342"/>
    <cellStyle name="Uwaga 2 12 47 2" xfId="36343"/>
    <cellStyle name="Uwaga 2 12 47 3" xfId="36344"/>
    <cellStyle name="Uwaga 2 12 48" xfId="36345"/>
    <cellStyle name="Uwaga 2 12 48 2" xfId="36346"/>
    <cellStyle name="Uwaga 2 12 48 3" xfId="36347"/>
    <cellStyle name="Uwaga 2 12 49" xfId="36348"/>
    <cellStyle name="Uwaga 2 12 49 2" xfId="36349"/>
    <cellStyle name="Uwaga 2 12 49 3" xfId="36350"/>
    <cellStyle name="Uwaga 2 12 5" xfId="36351"/>
    <cellStyle name="Uwaga 2 12 5 2" xfId="36352"/>
    <cellStyle name="Uwaga 2 12 5 3" xfId="36353"/>
    <cellStyle name="Uwaga 2 12 5 4" xfId="36354"/>
    <cellStyle name="Uwaga 2 12 50" xfId="36355"/>
    <cellStyle name="Uwaga 2 12 50 2" xfId="36356"/>
    <cellStyle name="Uwaga 2 12 50 3" xfId="36357"/>
    <cellStyle name="Uwaga 2 12 51" xfId="36358"/>
    <cellStyle name="Uwaga 2 12 51 2" xfId="36359"/>
    <cellStyle name="Uwaga 2 12 51 3" xfId="36360"/>
    <cellStyle name="Uwaga 2 12 52" xfId="36361"/>
    <cellStyle name="Uwaga 2 12 52 2" xfId="36362"/>
    <cellStyle name="Uwaga 2 12 52 3" xfId="36363"/>
    <cellStyle name="Uwaga 2 12 53" xfId="36364"/>
    <cellStyle name="Uwaga 2 12 53 2" xfId="36365"/>
    <cellStyle name="Uwaga 2 12 53 3" xfId="36366"/>
    <cellStyle name="Uwaga 2 12 54" xfId="36367"/>
    <cellStyle name="Uwaga 2 12 54 2" xfId="36368"/>
    <cellStyle name="Uwaga 2 12 54 3" xfId="36369"/>
    <cellStyle name="Uwaga 2 12 55" xfId="36370"/>
    <cellStyle name="Uwaga 2 12 55 2" xfId="36371"/>
    <cellStyle name="Uwaga 2 12 55 3" xfId="36372"/>
    <cellStyle name="Uwaga 2 12 56" xfId="36373"/>
    <cellStyle name="Uwaga 2 12 56 2" xfId="36374"/>
    <cellStyle name="Uwaga 2 12 56 3" xfId="36375"/>
    <cellStyle name="Uwaga 2 12 57" xfId="36376"/>
    <cellStyle name="Uwaga 2 12 58" xfId="36377"/>
    <cellStyle name="Uwaga 2 12 6" xfId="36378"/>
    <cellStyle name="Uwaga 2 12 6 2" xfId="36379"/>
    <cellStyle name="Uwaga 2 12 6 3" xfId="36380"/>
    <cellStyle name="Uwaga 2 12 6 4" xfId="36381"/>
    <cellStyle name="Uwaga 2 12 7" xfId="36382"/>
    <cellStyle name="Uwaga 2 12 7 2" xfId="36383"/>
    <cellStyle name="Uwaga 2 12 7 3" xfId="36384"/>
    <cellStyle name="Uwaga 2 12 7 4" xfId="36385"/>
    <cellStyle name="Uwaga 2 12 8" xfId="36386"/>
    <cellStyle name="Uwaga 2 12 8 2" xfId="36387"/>
    <cellStyle name="Uwaga 2 12 8 3" xfId="36388"/>
    <cellStyle name="Uwaga 2 12 8 4" xfId="36389"/>
    <cellStyle name="Uwaga 2 12 9" xfId="36390"/>
    <cellStyle name="Uwaga 2 12 9 2" xfId="36391"/>
    <cellStyle name="Uwaga 2 12 9 3" xfId="36392"/>
    <cellStyle name="Uwaga 2 12 9 4" xfId="36393"/>
    <cellStyle name="Uwaga 2 13" xfId="36394"/>
    <cellStyle name="Uwaga 2 13 10" xfId="36395"/>
    <cellStyle name="Uwaga 2 13 10 2" xfId="36396"/>
    <cellStyle name="Uwaga 2 13 10 3" xfId="36397"/>
    <cellStyle name="Uwaga 2 13 10 4" xfId="36398"/>
    <cellStyle name="Uwaga 2 13 11" xfId="36399"/>
    <cellStyle name="Uwaga 2 13 11 2" xfId="36400"/>
    <cellStyle name="Uwaga 2 13 11 3" xfId="36401"/>
    <cellStyle name="Uwaga 2 13 11 4" xfId="36402"/>
    <cellStyle name="Uwaga 2 13 12" xfId="36403"/>
    <cellStyle name="Uwaga 2 13 12 2" xfId="36404"/>
    <cellStyle name="Uwaga 2 13 12 3" xfId="36405"/>
    <cellStyle name="Uwaga 2 13 12 4" xfId="36406"/>
    <cellStyle name="Uwaga 2 13 13" xfId="36407"/>
    <cellStyle name="Uwaga 2 13 13 2" xfId="36408"/>
    <cellStyle name="Uwaga 2 13 13 3" xfId="36409"/>
    <cellStyle name="Uwaga 2 13 13 4" xfId="36410"/>
    <cellStyle name="Uwaga 2 13 14" xfId="36411"/>
    <cellStyle name="Uwaga 2 13 14 2" xfId="36412"/>
    <cellStyle name="Uwaga 2 13 14 3" xfId="36413"/>
    <cellStyle name="Uwaga 2 13 14 4" xfId="36414"/>
    <cellStyle name="Uwaga 2 13 15" xfId="36415"/>
    <cellStyle name="Uwaga 2 13 15 2" xfId="36416"/>
    <cellStyle name="Uwaga 2 13 15 3" xfId="36417"/>
    <cellStyle name="Uwaga 2 13 15 4" xfId="36418"/>
    <cellStyle name="Uwaga 2 13 16" xfId="36419"/>
    <cellStyle name="Uwaga 2 13 16 2" xfId="36420"/>
    <cellStyle name="Uwaga 2 13 16 3" xfId="36421"/>
    <cellStyle name="Uwaga 2 13 16 4" xfId="36422"/>
    <cellStyle name="Uwaga 2 13 17" xfId="36423"/>
    <cellStyle name="Uwaga 2 13 17 2" xfId="36424"/>
    <cellStyle name="Uwaga 2 13 17 3" xfId="36425"/>
    <cellStyle name="Uwaga 2 13 17 4" xfId="36426"/>
    <cellStyle name="Uwaga 2 13 18" xfId="36427"/>
    <cellStyle name="Uwaga 2 13 18 2" xfId="36428"/>
    <cellStyle name="Uwaga 2 13 18 3" xfId="36429"/>
    <cellStyle name="Uwaga 2 13 18 4" xfId="36430"/>
    <cellStyle name="Uwaga 2 13 19" xfId="36431"/>
    <cellStyle name="Uwaga 2 13 19 2" xfId="36432"/>
    <cellStyle name="Uwaga 2 13 19 3" xfId="36433"/>
    <cellStyle name="Uwaga 2 13 19 4" xfId="36434"/>
    <cellStyle name="Uwaga 2 13 2" xfId="36435"/>
    <cellStyle name="Uwaga 2 13 2 2" xfId="36436"/>
    <cellStyle name="Uwaga 2 13 2 3" xfId="36437"/>
    <cellStyle name="Uwaga 2 13 2 4" xfId="36438"/>
    <cellStyle name="Uwaga 2 13 20" xfId="36439"/>
    <cellStyle name="Uwaga 2 13 20 2" xfId="36440"/>
    <cellStyle name="Uwaga 2 13 20 3" xfId="36441"/>
    <cellStyle name="Uwaga 2 13 20 4" xfId="36442"/>
    <cellStyle name="Uwaga 2 13 21" xfId="36443"/>
    <cellStyle name="Uwaga 2 13 21 2" xfId="36444"/>
    <cellStyle name="Uwaga 2 13 21 3" xfId="36445"/>
    <cellStyle name="Uwaga 2 13 22" xfId="36446"/>
    <cellStyle name="Uwaga 2 13 22 2" xfId="36447"/>
    <cellStyle name="Uwaga 2 13 22 3" xfId="36448"/>
    <cellStyle name="Uwaga 2 13 23" xfId="36449"/>
    <cellStyle name="Uwaga 2 13 23 2" xfId="36450"/>
    <cellStyle name="Uwaga 2 13 23 3" xfId="36451"/>
    <cellStyle name="Uwaga 2 13 24" xfId="36452"/>
    <cellStyle name="Uwaga 2 13 24 2" xfId="36453"/>
    <cellStyle name="Uwaga 2 13 24 3" xfId="36454"/>
    <cellStyle name="Uwaga 2 13 25" xfId="36455"/>
    <cellStyle name="Uwaga 2 13 25 2" xfId="36456"/>
    <cellStyle name="Uwaga 2 13 25 3" xfId="36457"/>
    <cellStyle name="Uwaga 2 13 26" xfId="36458"/>
    <cellStyle name="Uwaga 2 13 26 2" xfId="36459"/>
    <cellStyle name="Uwaga 2 13 26 3" xfId="36460"/>
    <cellStyle name="Uwaga 2 13 27" xfId="36461"/>
    <cellStyle name="Uwaga 2 13 27 2" xfId="36462"/>
    <cellStyle name="Uwaga 2 13 27 3" xfId="36463"/>
    <cellStyle name="Uwaga 2 13 28" xfId="36464"/>
    <cellStyle name="Uwaga 2 13 28 2" xfId="36465"/>
    <cellStyle name="Uwaga 2 13 28 3" xfId="36466"/>
    <cellStyle name="Uwaga 2 13 29" xfId="36467"/>
    <cellStyle name="Uwaga 2 13 29 2" xfId="36468"/>
    <cellStyle name="Uwaga 2 13 29 3" xfId="36469"/>
    <cellStyle name="Uwaga 2 13 3" xfId="36470"/>
    <cellStyle name="Uwaga 2 13 3 2" xfId="36471"/>
    <cellStyle name="Uwaga 2 13 3 3" xfId="36472"/>
    <cellStyle name="Uwaga 2 13 3 4" xfId="36473"/>
    <cellStyle name="Uwaga 2 13 30" xfId="36474"/>
    <cellStyle name="Uwaga 2 13 30 2" xfId="36475"/>
    <cellStyle name="Uwaga 2 13 30 3" xfId="36476"/>
    <cellStyle name="Uwaga 2 13 31" xfId="36477"/>
    <cellStyle name="Uwaga 2 13 31 2" xfId="36478"/>
    <cellStyle name="Uwaga 2 13 31 3" xfId="36479"/>
    <cellStyle name="Uwaga 2 13 32" xfId="36480"/>
    <cellStyle name="Uwaga 2 13 32 2" xfId="36481"/>
    <cellStyle name="Uwaga 2 13 32 3" xfId="36482"/>
    <cellStyle name="Uwaga 2 13 33" xfId="36483"/>
    <cellStyle name="Uwaga 2 13 33 2" xfId="36484"/>
    <cellStyle name="Uwaga 2 13 33 3" xfId="36485"/>
    <cellStyle name="Uwaga 2 13 34" xfId="36486"/>
    <cellStyle name="Uwaga 2 13 34 2" xfId="36487"/>
    <cellStyle name="Uwaga 2 13 34 3" xfId="36488"/>
    <cellStyle name="Uwaga 2 13 35" xfId="36489"/>
    <cellStyle name="Uwaga 2 13 35 2" xfId="36490"/>
    <cellStyle name="Uwaga 2 13 35 3" xfId="36491"/>
    <cellStyle name="Uwaga 2 13 36" xfId="36492"/>
    <cellStyle name="Uwaga 2 13 36 2" xfId="36493"/>
    <cellStyle name="Uwaga 2 13 36 3" xfId="36494"/>
    <cellStyle name="Uwaga 2 13 37" xfId="36495"/>
    <cellStyle name="Uwaga 2 13 37 2" xfId="36496"/>
    <cellStyle name="Uwaga 2 13 37 3" xfId="36497"/>
    <cellStyle name="Uwaga 2 13 38" xfId="36498"/>
    <cellStyle name="Uwaga 2 13 38 2" xfId="36499"/>
    <cellStyle name="Uwaga 2 13 38 3" xfId="36500"/>
    <cellStyle name="Uwaga 2 13 39" xfId="36501"/>
    <cellStyle name="Uwaga 2 13 39 2" xfId="36502"/>
    <cellStyle name="Uwaga 2 13 39 3" xfId="36503"/>
    <cellStyle name="Uwaga 2 13 4" xfId="36504"/>
    <cellStyle name="Uwaga 2 13 4 2" xfId="36505"/>
    <cellStyle name="Uwaga 2 13 4 3" xfId="36506"/>
    <cellStyle name="Uwaga 2 13 4 4" xfId="36507"/>
    <cellStyle name="Uwaga 2 13 40" xfId="36508"/>
    <cellStyle name="Uwaga 2 13 40 2" xfId="36509"/>
    <cellStyle name="Uwaga 2 13 40 3" xfId="36510"/>
    <cellStyle name="Uwaga 2 13 41" xfId="36511"/>
    <cellStyle name="Uwaga 2 13 41 2" xfId="36512"/>
    <cellStyle name="Uwaga 2 13 41 3" xfId="36513"/>
    <cellStyle name="Uwaga 2 13 42" xfId="36514"/>
    <cellStyle name="Uwaga 2 13 42 2" xfId="36515"/>
    <cellStyle name="Uwaga 2 13 42 3" xfId="36516"/>
    <cellStyle name="Uwaga 2 13 43" xfId="36517"/>
    <cellStyle name="Uwaga 2 13 43 2" xfId="36518"/>
    <cellStyle name="Uwaga 2 13 43 3" xfId="36519"/>
    <cellStyle name="Uwaga 2 13 44" xfId="36520"/>
    <cellStyle name="Uwaga 2 13 44 2" xfId="36521"/>
    <cellStyle name="Uwaga 2 13 44 3" xfId="36522"/>
    <cellStyle name="Uwaga 2 13 45" xfId="36523"/>
    <cellStyle name="Uwaga 2 13 45 2" xfId="36524"/>
    <cellStyle name="Uwaga 2 13 45 3" xfId="36525"/>
    <cellStyle name="Uwaga 2 13 46" xfId="36526"/>
    <cellStyle name="Uwaga 2 13 46 2" xfId="36527"/>
    <cellStyle name="Uwaga 2 13 46 3" xfId="36528"/>
    <cellStyle name="Uwaga 2 13 47" xfId="36529"/>
    <cellStyle name="Uwaga 2 13 47 2" xfId="36530"/>
    <cellStyle name="Uwaga 2 13 47 3" xfId="36531"/>
    <cellStyle name="Uwaga 2 13 48" xfId="36532"/>
    <cellStyle name="Uwaga 2 13 48 2" xfId="36533"/>
    <cellStyle name="Uwaga 2 13 48 3" xfId="36534"/>
    <cellStyle name="Uwaga 2 13 49" xfId="36535"/>
    <cellStyle name="Uwaga 2 13 49 2" xfId="36536"/>
    <cellStyle name="Uwaga 2 13 49 3" xfId="36537"/>
    <cellStyle name="Uwaga 2 13 5" xfId="36538"/>
    <cellStyle name="Uwaga 2 13 5 2" xfId="36539"/>
    <cellStyle name="Uwaga 2 13 5 3" xfId="36540"/>
    <cellStyle name="Uwaga 2 13 5 4" xfId="36541"/>
    <cellStyle name="Uwaga 2 13 50" xfId="36542"/>
    <cellStyle name="Uwaga 2 13 50 2" xfId="36543"/>
    <cellStyle name="Uwaga 2 13 50 3" xfId="36544"/>
    <cellStyle name="Uwaga 2 13 51" xfId="36545"/>
    <cellStyle name="Uwaga 2 13 51 2" xfId="36546"/>
    <cellStyle name="Uwaga 2 13 51 3" xfId="36547"/>
    <cellStyle name="Uwaga 2 13 52" xfId="36548"/>
    <cellStyle name="Uwaga 2 13 52 2" xfId="36549"/>
    <cellStyle name="Uwaga 2 13 52 3" xfId="36550"/>
    <cellStyle name="Uwaga 2 13 53" xfId="36551"/>
    <cellStyle name="Uwaga 2 13 53 2" xfId="36552"/>
    <cellStyle name="Uwaga 2 13 53 3" xfId="36553"/>
    <cellStyle name="Uwaga 2 13 54" xfId="36554"/>
    <cellStyle name="Uwaga 2 13 54 2" xfId="36555"/>
    <cellStyle name="Uwaga 2 13 54 3" xfId="36556"/>
    <cellStyle name="Uwaga 2 13 55" xfId="36557"/>
    <cellStyle name="Uwaga 2 13 55 2" xfId="36558"/>
    <cellStyle name="Uwaga 2 13 55 3" xfId="36559"/>
    <cellStyle name="Uwaga 2 13 56" xfId="36560"/>
    <cellStyle name="Uwaga 2 13 56 2" xfId="36561"/>
    <cellStyle name="Uwaga 2 13 56 3" xfId="36562"/>
    <cellStyle name="Uwaga 2 13 57" xfId="36563"/>
    <cellStyle name="Uwaga 2 13 58" xfId="36564"/>
    <cellStyle name="Uwaga 2 13 6" xfId="36565"/>
    <cellStyle name="Uwaga 2 13 6 2" xfId="36566"/>
    <cellStyle name="Uwaga 2 13 6 3" xfId="36567"/>
    <cellStyle name="Uwaga 2 13 6 4" xfId="36568"/>
    <cellStyle name="Uwaga 2 13 7" xfId="36569"/>
    <cellStyle name="Uwaga 2 13 7 2" xfId="36570"/>
    <cellStyle name="Uwaga 2 13 7 3" xfId="36571"/>
    <cellStyle name="Uwaga 2 13 7 4" xfId="36572"/>
    <cellStyle name="Uwaga 2 13 8" xfId="36573"/>
    <cellStyle name="Uwaga 2 13 8 2" xfId="36574"/>
    <cellStyle name="Uwaga 2 13 8 3" xfId="36575"/>
    <cellStyle name="Uwaga 2 13 8 4" xfId="36576"/>
    <cellStyle name="Uwaga 2 13 9" xfId="36577"/>
    <cellStyle name="Uwaga 2 13 9 2" xfId="36578"/>
    <cellStyle name="Uwaga 2 13 9 3" xfId="36579"/>
    <cellStyle name="Uwaga 2 13 9 4" xfId="36580"/>
    <cellStyle name="Uwaga 2 14" xfId="36581"/>
    <cellStyle name="Uwaga 2 14 10" xfId="36582"/>
    <cellStyle name="Uwaga 2 14 10 2" xfId="36583"/>
    <cellStyle name="Uwaga 2 14 10 3" xfId="36584"/>
    <cellStyle name="Uwaga 2 14 10 4" xfId="36585"/>
    <cellStyle name="Uwaga 2 14 11" xfId="36586"/>
    <cellStyle name="Uwaga 2 14 11 2" xfId="36587"/>
    <cellStyle name="Uwaga 2 14 11 3" xfId="36588"/>
    <cellStyle name="Uwaga 2 14 11 4" xfId="36589"/>
    <cellStyle name="Uwaga 2 14 12" xfId="36590"/>
    <cellStyle name="Uwaga 2 14 12 2" xfId="36591"/>
    <cellStyle name="Uwaga 2 14 12 3" xfId="36592"/>
    <cellStyle name="Uwaga 2 14 12 4" xfId="36593"/>
    <cellStyle name="Uwaga 2 14 13" xfId="36594"/>
    <cellStyle name="Uwaga 2 14 13 2" xfId="36595"/>
    <cellStyle name="Uwaga 2 14 13 3" xfId="36596"/>
    <cellStyle name="Uwaga 2 14 13 4" xfId="36597"/>
    <cellStyle name="Uwaga 2 14 14" xfId="36598"/>
    <cellStyle name="Uwaga 2 14 14 2" xfId="36599"/>
    <cellStyle name="Uwaga 2 14 14 3" xfId="36600"/>
    <cellStyle name="Uwaga 2 14 14 4" xfId="36601"/>
    <cellStyle name="Uwaga 2 14 15" xfId="36602"/>
    <cellStyle name="Uwaga 2 14 15 2" xfId="36603"/>
    <cellStyle name="Uwaga 2 14 15 3" xfId="36604"/>
    <cellStyle name="Uwaga 2 14 15 4" xfId="36605"/>
    <cellStyle name="Uwaga 2 14 16" xfId="36606"/>
    <cellStyle name="Uwaga 2 14 16 2" xfId="36607"/>
    <cellStyle name="Uwaga 2 14 16 3" xfId="36608"/>
    <cellStyle name="Uwaga 2 14 16 4" xfId="36609"/>
    <cellStyle name="Uwaga 2 14 17" xfId="36610"/>
    <cellStyle name="Uwaga 2 14 17 2" xfId="36611"/>
    <cellStyle name="Uwaga 2 14 17 3" xfId="36612"/>
    <cellStyle name="Uwaga 2 14 17 4" xfId="36613"/>
    <cellStyle name="Uwaga 2 14 18" xfId="36614"/>
    <cellStyle name="Uwaga 2 14 18 2" xfId="36615"/>
    <cellStyle name="Uwaga 2 14 18 3" xfId="36616"/>
    <cellStyle name="Uwaga 2 14 18 4" xfId="36617"/>
    <cellStyle name="Uwaga 2 14 19" xfId="36618"/>
    <cellStyle name="Uwaga 2 14 19 2" xfId="36619"/>
    <cellStyle name="Uwaga 2 14 19 3" xfId="36620"/>
    <cellStyle name="Uwaga 2 14 19 4" xfId="36621"/>
    <cellStyle name="Uwaga 2 14 2" xfId="36622"/>
    <cellStyle name="Uwaga 2 14 2 2" xfId="36623"/>
    <cellStyle name="Uwaga 2 14 2 3" xfId="36624"/>
    <cellStyle name="Uwaga 2 14 2 4" xfId="36625"/>
    <cellStyle name="Uwaga 2 14 20" xfId="36626"/>
    <cellStyle name="Uwaga 2 14 20 2" xfId="36627"/>
    <cellStyle name="Uwaga 2 14 20 3" xfId="36628"/>
    <cellStyle name="Uwaga 2 14 20 4" xfId="36629"/>
    <cellStyle name="Uwaga 2 14 21" xfId="36630"/>
    <cellStyle name="Uwaga 2 14 21 2" xfId="36631"/>
    <cellStyle name="Uwaga 2 14 21 3" xfId="36632"/>
    <cellStyle name="Uwaga 2 14 22" xfId="36633"/>
    <cellStyle name="Uwaga 2 14 22 2" xfId="36634"/>
    <cellStyle name="Uwaga 2 14 22 3" xfId="36635"/>
    <cellStyle name="Uwaga 2 14 23" xfId="36636"/>
    <cellStyle name="Uwaga 2 14 23 2" xfId="36637"/>
    <cellStyle name="Uwaga 2 14 23 3" xfId="36638"/>
    <cellStyle name="Uwaga 2 14 24" xfId="36639"/>
    <cellStyle name="Uwaga 2 14 24 2" xfId="36640"/>
    <cellStyle name="Uwaga 2 14 24 3" xfId="36641"/>
    <cellStyle name="Uwaga 2 14 25" xfId="36642"/>
    <cellStyle name="Uwaga 2 14 25 2" xfId="36643"/>
    <cellStyle name="Uwaga 2 14 25 3" xfId="36644"/>
    <cellStyle name="Uwaga 2 14 26" xfId="36645"/>
    <cellStyle name="Uwaga 2 14 26 2" xfId="36646"/>
    <cellStyle name="Uwaga 2 14 26 3" xfId="36647"/>
    <cellStyle name="Uwaga 2 14 27" xfId="36648"/>
    <cellStyle name="Uwaga 2 14 27 2" xfId="36649"/>
    <cellStyle name="Uwaga 2 14 27 3" xfId="36650"/>
    <cellStyle name="Uwaga 2 14 28" xfId="36651"/>
    <cellStyle name="Uwaga 2 14 28 2" xfId="36652"/>
    <cellStyle name="Uwaga 2 14 28 3" xfId="36653"/>
    <cellStyle name="Uwaga 2 14 29" xfId="36654"/>
    <cellStyle name="Uwaga 2 14 29 2" xfId="36655"/>
    <cellStyle name="Uwaga 2 14 29 3" xfId="36656"/>
    <cellStyle name="Uwaga 2 14 3" xfId="36657"/>
    <cellStyle name="Uwaga 2 14 3 2" xfId="36658"/>
    <cellStyle name="Uwaga 2 14 3 3" xfId="36659"/>
    <cellStyle name="Uwaga 2 14 3 4" xfId="36660"/>
    <cellStyle name="Uwaga 2 14 30" xfId="36661"/>
    <cellStyle name="Uwaga 2 14 30 2" xfId="36662"/>
    <cellStyle name="Uwaga 2 14 30 3" xfId="36663"/>
    <cellStyle name="Uwaga 2 14 31" xfId="36664"/>
    <cellStyle name="Uwaga 2 14 31 2" xfId="36665"/>
    <cellStyle name="Uwaga 2 14 31 3" xfId="36666"/>
    <cellStyle name="Uwaga 2 14 32" xfId="36667"/>
    <cellStyle name="Uwaga 2 14 32 2" xfId="36668"/>
    <cellStyle name="Uwaga 2 14 32 3" xfId="36669"/>
    <cellStyle name="Uwaga 2 14 33" xfId="36670"/>
    <cellStyle name="Uwaga 2 14 33 2" xfId="36671"/>
    <cellStyle name="Uwaga 2 14 33 3" xfId="36672"/>
    <cellStyle name="Uwaga 2 14 34" xfId="36673"/>
    <cellStyle name="Uwaga 2 14 34 2" xfId="36674"/>
    <cellStyle name="Uwaga 2 14 34 3" xfId="36675"/>
    <cellStyle name="Uwaga 2 14 35" xfId="36676"/>
    <cellStyle name="Uwaga 2 14 35 2" xfId="36677"/>
    <cellStyle name="Uwaga 2 14 35 3" xfId="36678"/>
    <cellStyle name="Uwaga 2 14 36" xfId="36679"/>
    <cellStyle name="Uwaga 2 14 36 2" xfId="36680"/>
    <cellStyle name="Uwaga 2 14 36 3" xfId="36681"/>
    <cellStyle name="Uwaga 2 14 37" xfId="36682"/>
    <cellStyle name="Uwaga 2 14 37 2" xfId="36683"/>
    <cellStyle name="Uwaga 2 14 37 3" xfId="36684"/>
    <cellStyle name="Uwaga 2 14 38" xfId="36685"/>
    <cellStyle name="Uwaga 2 14 38 2" xfId="36686"/>
    <cellStyle name="Uwaga 2 14 38 3" xfId="36687"/>
    <cellStyle name="Uwaga 2 14 39" xfId="36688"/>
    <cellStyle name="Uwaga 2 14 39 2" xfId="36689"/>
    <cellStyle name="Uwaga 2 14 39 3" xfId="36690"/>
    <cellStyle name="Uwaga 2 14 4" xfId="36691"/>
    <cellStyle name="Uwaga 2 14 4 2" xfId="36692"/>
    <cellStyle name="Uwaga 2 14 4 3" xfId="36693"/>
    <cellStyle name="Uwaga 2 14 4 4" xfId="36694"/>
    <cellStyle name="Uwaga 2 14 40" xfId="36695"/>
    <cellStyle name="Uwaga 2 14 40 2" xfId="36696"/>
    <cellStyle name="Uwaga 2 14 40 3" xfId="36697"/>
    <cellStyle name="Uwaga 2 14 41" xfId="36698"/>
    <cellStyle name="Uwaga 2 14 41 2" xfId="36699"/>
    <cellStyle name="Uwaga 2 14 41 3" xfId="36700"/>
    <cellStyle name="Uwaga 2 14 42" xfId="36701"/>
    <cellStyle name="Uwaga 2 14 42 2" xfId="36702"/>
    <cellStyle name="Uwaga 2 14 42 3" xfId="36703"/>
    <cellStyle name="Uwaga 2 14 43" xfId="36704"/>
    <cellStyle name="Uwaga 2 14 43 2" xfId="36705"/>
    <cellStyle name="Uwaga 2 14 43 3" xfId="36706"/>
    <cellStyle name="Uwaga 2 14 44" xfId="36707"/>
    <cellStyle name="Uwaga 2 14 44 2" xfId="36708"/>
    <cellStyle name="Uwaga 2 14 44 3" xfId="36709"/>
    <cellStyle name="Uwaga 2 14 45" xfId="36710"/>
    <cellStyle name="Uwaga 2 14 45 2" xfId="36711"/>
    <cellStyle name="Uwaga 2 14 45 3" xfId="36712"/>
    <cellStyle name="Uwaga 2 14 46" xfId="36713"/>
    <cellStyle name="Uwaga 2 14 46 2" xfId="36714"/>
    <cellStyle name="Uwaga 2 14 46 3" xfId="36715"/>
    <cellStyle name="Uwaga 2 14 47" xfId="36716"/>
    <cellStyle name="Uwaga 2 14 47 2" xfId="36717"/>
    <cellStyle name="Uwaga 2 14 47 3" xfId="36718"/>
    <cellStyle name="Uwaga 2 14 48" xfId="36719"/>
    <cellStyle name="Uwaga 2 14 48 2" xfId="36720"/>
    <cellStyle name="Uwaga 2 14 48 3" xfId="36721"/>
    <cellStyle name="Uwaga 2 14 49" xfId="36722"/>
    <cellStyle name="Uwaga 2 14 49 2" xfId="36723"/>
    <cellStyle name="Uwaga 2 14 49 3" xfId="36724"/>
    <cellStyle name="Uwaga 2 14 5" xfId="36725"/>
    <cellStyle name="Uwaga 2 14 5 2" xfId="36726"/>
    <cellStyle name="Uwaga 2 14 5 3" xfId="36727"/>
    <cellStyle name="Uwaga 2 14 5 4" xfId="36728"/>
    <cellStyle name="Uwaga 2 14 50" xfId="36729"/>
    <cellStyle name="Uwaga 2 14 50 2" xfId="36730"/>
    <cellStyle name="Uwaga 2 14 50 3" xfId="36731"/>
    <cellStyle name="Uwaga 2 14 51" xfId="36732"/>
    <cellStyle name="Uwaga 2 14 51 2" xfId="36733"/>
    <cellStyle name="Uwaga 2 14 51 3" xfId="36734"/>
    <cellStyle name="Uwaga 2 14 52" xfId="36735"/>
    <cellStyle name="Uwaga 2 14 52 2" xfId="36736"/>
    <cellStyle name="Uwaga 2 14 52 3" xfId="36737"/>
    <cellStyle name="Uwaga 2 14 53" xfId="36738"/>
    <cellStyle name="Uwaga 2 14 53 2" xfId="36739"/>
    <cellStyle name="Uwaga 2 14 53 3" xfId="36740"/>
    <cellStyle name="Uwaga 2 14 54" xfId="36741"/>
    <cellStyle name="Uwaga 2 14 54 2" xfId="36742"/>
    <cellStyle name="Uwaga 2 14 54 3" xfId="36743"/>
    <cellStyle name="Uwaga 2 14 55" xfId="36744"/>
    <cellStyle name="Uwaga 2 14 55 2" xfId="36745"/>
    <cellStyle name="Uwaga 2 14 55 3" xfId="36746"/>
    <cellStyle name="Uwaga 2 14 56" xfId="36747"/>
    <cellStyle name="Uwaga 2 14 56 2" xfId="36748"/>
    <cellStyle name="Uwaga 2 14 56 3" xfId="36749"/>
    <cellStyle name="Uwaga 2 14 57" xfId="36750"/>
    <cellStyle name="Uwaga 2 14 58" xfId="36751"/>
    <cellStyle name="Uwaga 2 14 6" xfId="36752"/>
    <cellStyle name="Uwaga 2 14 6 2" xfId="36753"/>
    <cellStyle name="Uwaga 2 14 6 3" xfId="36754"/>
    <cellStyle name="Uwaga 2 14 6 4" xfId="36755"/>
    <cellStyle name="Uwaga 2 14 7" xfId="36756"/>
    <cellStyle name="Uwaga 2 14 7 2" xfId="36757"/>
    <cellStyle name="Uwaga 2 14 7 3" xfId="36758"/>
    <cellStyle name="Uwaga 2 14 7 4" xfId="36759"/>
    <cellStyle name="Uwaga 2 14 8" xfId="36760"/>
    <cellStyle name="Uwaga 2 14 8 2" xfId="36761"/>
    <cellStyle name="Uwaga 2 14 8 3" xfId="36762"/>
    <cellStyle name="Uwaga 2 14 8 4" xfId="36763"/>
    <cellStyle name="Uwaga 2 14 9" xfId="36764"/>
    <cellStyle name="Uwaga 2 14 9 2" xfId="36765"/>
    <cellStyle name="Uwaga 2 14 9 3" xfId="36766"/>
    <cellStyle name="Uwaga 2 14 9 4" xfId="36767"/>
    <cellStyle name="Uwaga 2 15" xfId="36768"/>
    <cellStyle name="Uwaga 2 15 10" xfId="36769"/>
    <cellStyle name="Uwaga 2 15 10 2" xfId="36770"/>
    <cellStyle name="Uwaga 2 15 10 3" xfId="36771"/>
    <cellStyle name="Uwaga 2 15 10 4" xfId="36772"/>
    <cellStyle name="Uwaga 2 15 11" xfId="36773"/>
    <cellStyle name="Uwaga 2 15 11 2" xfId="36774"/>
    <cellStyle name="Uwaga 2 15 11 3" xfId="36775"/>
    <cellStyle name="Uwaga 2 15 11 4" xfId="36776"/>
    <cellStyle name="Uwaga 2 15 12" xfId="36777"/>
    <cellStyle name="Uwaga 2 15 12 2" xfId="36778"/>
    <cellStyle name="Uwaga 2 15 12 3" xfId="36779"/>
    <cellStyle name="Uwaga 2 15 12 4" xfId="36780"/>
    <cellStyle name="Uwaga 2 15 13" xfId="36781"/>
    <cellStyle name="Uwaga 2 15 13 2" xfId="36782"/>
    <cellStyle name="Uwaga 2 15 13 3" xfId="36783"/>
    <cellStyle name="Uwaga 2 15 13 4" xfId="36784"/>
    <cellStyle name="Uwaga 2 15 14" xfId="36785"/>
    <cellStyle name="Uwaga 2 15 14 2" xfId="36786"/>
    <cellStyle name="Uwaga 2 15 14 3" xfId="36787"/>
    <cellStyle name="Uwaga 2 15 14 4" xfId="36788"/>
    <cellStyle name="Uwaga 2 15 15" xfId="36789"/>
    <cellStyle name="Uwaga 2 15 15 2" xfId="36790"/>
    <cellStyle name="Uwaga 2 15 15 3" xfId="36791"/>
    <cellStyle name="Uwaga 2 15 15 4" xfId="36792"/>
    <cellStyle name="Uwaga 2 15 16" xfId="36793"/>
    <cellStyle name="Uwaga 2 15 16 2" xfId="36794"/>
    <cellStyle name="Uwaga 2 15 16 3" xfId="36795"/>
    <cellStyle name="Uwaga 2 15 16 4" xfId="36796"/>
    <cellStyle name="Uwaga 2 15 17" xfId="36797"/>
    <cellStyle name="Uwaga 2 15 17 2" xfId="36798"/>
    <cellStyle name="Uwaga 2 15 17 3" xfId="36799"/>
    <cellStyle name="Uwaga 2 15 17 4" xfId="36800"/>
    <cellStyle name="Uwaga 2 15 18" xfId="36801"/>
    <cellStyle name="Uwaga 2 15 18 2" xfId="36802"/>
    <cellStyle name="Uwaga 2 15 18 3" xfId="36803"/>
    <cellStyle name="Uwaga 2 15 18 4" xfId="36804"/>
    <cellStyle name="Uwaga 2 15 19" xfId="36805"/>
    <cellStyle name="Uwaga 2 15 19 2" xfId="36806"/>
    <cellStyle name="Uwaga 2 15 19 3" xfId="36807"/>
    <cellStyle name="Uwaga 2 15 19 4" xfId="36808"/>
    <cellStyle name="Uwaga 2 15 2" xfId="36809"/>
    <cellStyle name="Uwaga 2 15 2 2" xfId="36810"/>
    <cellStyle name="Uwaga 2 15 2 3" xfId="36811"/>
    <cellStyle name="Uwaga 2 15 2 4" xfId="36812"/>
    <cellStyle name="Uwaga 2 15 20" xfId="36813"/>
    <cellStyle name="Uwaga 2 15 20 2" xfId="36814"/>
    <cellStyle name="Uwaga 2 15 20 3" xfId="36815"/>
    <cellStyle name="Uwaga 2 15 20 4" xfId="36816"/>
    <cellStyle name="Uwaga 2 15 21" xfId="36817"/>
    <cellStyle name="Uwaga 2 15 21 2" xfId="36818"/>
    <cellStyle name="Uwaga 2 15 21 3" xfId="36819"/>
    <cellStyle name="Uwaga 2 15 22" xfId="36820"/>
    <cellStyle name="Uwaga 2 15 22 2" xfId="36821"/>
    <cellStyle name="Uwaga 2 15 22 3" xfId="36822"/>
    <cellStyle name="Uwaga 2 15 23" xfId="36823"/>
    <cellStyle name="Uwaga 2 15 23 2" xfId="36824"/>
    <cellStyle name="Uwaga 2 15 23 3" xfId="36825"/>
    <cellStyle name="Uwaga 2 15 24" xfId="36826"/>
    <cellStyle name="Uwaga 2 15 24 2" xfId="36827"/>
    <cellStyle name="Uwaga 2 15 24 3" xfId="36828"/>
    <cellStyle name="Uwaga 2 15 25" xfId="36829"/>
    <cellStyle name="Uwaga 2 15 25 2" xfId="36830"/>
    <cellStyle name="Uwaga 2 15 25 3" xfId="36831"/>
    <cellStyle name="Uwaga 2 15 26" xfId="36832"/>
    <cellStyle name="Uwaga 2 15 26 2" xfId="36833"/>
    <cellStyle name="Uwaga 2 15 26 3" xfId="36834"/>
    <cellStyle name="Uwaga 2 15 27" xfId="36835"/>
    <cellStyle name="Uwaga 2 15 27 2" xfId="36836"/>
    <cellStyle name="Uwaga 2 15 27 3" xfId="36837"/>
    <cellStyle name="Uwaga 2 15 28" xfId="36838"/>
    <cellStyle name="Uwaga 2 15 28 2" xfId="36839"/>
    <cellStyle name="Uwaga 2 15 28 3" xfId="36840"/>
    <cellStyle name="Uwaga 2 15 29" xfId="36841"/>
    <cellStyle name="Uwaga 2 15 29 2" xfId="36842"/>
    <cellStyle name="Uwaga 2 15 29 3" xfId="36843"/>
    <cellStyle name="Uwaga 2 15 3" xfId="36844"/>
    <cellStyle name="Uwaga 2 15 3 2" xfId="36845"/>
    <cellStyle name="Uwaga 2 15 3 3" xfId="36846"/>
    <cellStyle name="Uwaga 2 15 3 4" xfId="36847"/>
    <cellStyle name="Uwaga 2 15 30" xfId="36848"/>
    <cellStyle name="Uwaga 2 15 30 2" xfId="36849"/>
    <cellStyle name="Uwaga 2 15 30 3" xfId="36850"/>
    <cellStyle name="Uwaga 2 15 31" xfId="36851"/>
    <cellStyle name="Uwaga 2 15 31 2" xfId="36852"/>
    <cellStyle name="Uwaga 2 15 31 3" xfId="36853"/>
    <cellStyle name="Uwaga 2 15 32" xfId="36854"/>
    <cellStyle name="Uwaga 2 15 32 2" xfId="36855"/>
    <cellStyle name="Uwaga 2 15 32 3" xfId="36856"/>
    <cellStyle name="Uwaga 2 15 33" xfId="36857"/>
    <cellStyle name="Uwaga 2 15 33 2" xfId="36858"/>
    <cellStyle name="Uwaga 2 15 33 3" xfId="36859"/>
    <cellStyle name="Uwaga 2 15 34" xfId="36860"/>
    <cellStyle name="Uwaga 2 15 34 2" xfId="36861"/>
    <cellStyle name="Uwaga 2 15 34 3" xfId="36862"/>
    <cellStyle name="Uwaga 2 15 35" xfId="36863"/>
    <cellStyle name="Uwaga 2 15 35 2" xfId="36864"/>
    <cellStyle name="Uwaga 2 15 35 3" xfId="36865"/>
    <cellStyle name="Uwaga 2 15 36" xfId="36866"/>
    <cellStyle name="Uwaga 2 15 36 2" xfId="36867"/>
    <cellStyle name="Uwaga 2 15 36 3" xfId="36868"/>
    <cellStyle name="Uwaga 2 15 37" xfId="36869"/>
    <cellStyle name="Uwaga 2 15 37 2" xfId="36870"/>
    <cellStyle name="Uwaga 2 15 37 3" xfId="36871"/>
    <cellStyle name="Uwaga 2 15 38" xfId="36872"/>
    <cellStyle name="Uwaga 2 15 38 2" xfId="36873"/>
    <cellStyle name="Uwaga 2 15 38 3" xfId="36874"/>
    <cellStyle name="Uwaga 2 15 39" xfId="36875"/>
    <cellStyle name="Uwaga 2 15 39 2" xfId="36876"/>
    <cellStyle name="Uwaga 2 15 39 3" xfId="36877"/>
    <cellStyle name="Uwaga 2 15 4" xfId="36878"/>
    <cellStyle name="Uwaga 2 15 4 2" xfId="36879"/>
    <cellStyle name="Uwaga 2 15 4 3" xfId="36880"/>
    <cellStyle name="Uwaga 2 15 4 4" xfId="36881"/>
    <cellStyle name="Uwaga 2 15 40" xfId="36882"/>
    <cellStyle name="Uwaga 2 15 40 2" xfId="36883"/>
    <cellStyle name="Uwaga 2 15 40 3" xfId="36884"/>
    <cellStyle name="Uwaga 2 15 41" xfId="36885"/>
    <cellStyle name="Uwaga 2 15 41 2" xfId="36886"/>
    <cellStyle name="Uwaga 2 15 41 3" xfId="36887"/>
    <cellStyle name="Uwaga 2 15 42" xfId="36888"/>
    <cellStyle name="Uwaga 2 15 42 2" xfId="36889"/>
    <cellStyle name="Uwaga 2 15 42 3" xfId="36890"/>
    <cellStyle name="Uwaga 2 15 43" xfId="36891"/>
    <cellStyle name="Uwaga 2 15 43 2" xfId="36892"/>
    <cellStyle name="Uwaga 2 15 43 3" xfId="36893"/>
    <cellStyle name="Uwaga 2 15 44" xfId="36894"/>
    <cellStyle name="Uwaga 2 15 44 2" xfId="36895"/>
    <cellStyle name="Uwaga 2 15 44 3" xfId="36896"/>
    <cellStyle name="Uwaga 2 15 45" xfId="36897"/>
    <cellStyle name="Uwaga 2 15 45 2" xfId="36898"/>
    <cellStyle name="Uwaga 2 15 45 3" xfId="36899"/>
    <cellStyle name="Uwaga 2 15 46" xfId="36900"/>
    <cellStyle name="Uwaga 2 15 46 2" xfId="36901"/>
    <cellStyle name="Uwaga 2 15 46 3" xfId="36902"/>
    <cellStyle name="Uwaga 2 15 47" xfId="36903"/>
    <cellStyle name="Uwaga 2 15 47 2" xfId="36904"/>
    <cellStyle name="Uwaga 2 15 47 3" xfId="36905"/>
    <cellStyle name="Uwaga 2 15 48" xfId="36906"/>
    <cellStyle name="Uwaga 2 15 48 2" xfId="36907"/>
    <cellStyle name="Uwaga 2 15 48 3" xfId="36908"/>
    <cellStyle name="Uwaga 2 15 49" xfId="36909"/>
    <cellStyle name="Uwaga 2 15 49 2" xfId="36910"/>
    <cellStyle name="Uwaga 2 15 49 3" xfId="36911"/>
    <cellStyle name="Uwaga 2 15 5" xfId="36912"/>
    <cellStyle name="Uwaga 2 15 5 2" xfId="36913"/>
    <cellStyle name="Uwaga 2 15 5 3" xfId="36914"/>
    <cellStyle name="Uwaga 2 15 5 4" xfId="36915"/>
    <cellStyle name="Uwaga 2 15 50" xfId="36916"/>
    <cellStyle name="Uwaga 2 15 50 2" xfId="36917"/>
    <cellStyle name="Uwaga 2 15 50 3" xfId="36918"/>
    <cellStyle name="Uwaga 2 15 51" xfId="36919"/>
    <cellStyle name="Uwaga 2 15 51 2" xfId="36920"/>
    <cellStyle name="Uwaga 2 15 51 3" xfId="36921"/>
    <cellStyle name="Uwaga 2 15 52" xfId="36922"/>
    <cellStyle name="Uwaga 2 15 52 2" xfId="36923"/>
    <cellStyle name="Uwaga 2 15 52 3" xfId="36924"/>
    <cellStyle name="Uwaga 2 15 53" xfId="36925"/>
    <cellStyle name="Uwaga 2 15 53 2" xfId="36926"/>
    <cellStyle name="Uwaga 2 15 53 3" xfId="36927"/>
    <cellStyle name="Uwaga 2 15 54" xfId="36928"/>
    <cellStyle name="Uwaga 2 15 54 2" xfId="36929"/>
    <cellStyle name="Uwaga 2 15 54 3" xfId="36930"/>
    <cellStyle name="Uwaga 2 15 55" xfId="36931"/>
    <cellStyle name="Uwaga 2 15 55 2" xfId="36932"/>
    <cellStyle name="Uwaga 2 15 55 3" xfId="36933"/>
    <cellStyle name="Uwaga 2 15 56" xfId="36934"/>
    <cellStyle name="Uwaga 2 15 56 2" xfId="36935"/>
    <cellStyle name="Uwaga 2 15 56 3" xfId="36936"/>
    <cellStyle name="Uwaga 2 15 57" xfId="36937"/>
    <cellStyle name="Uwaga 2 15 58" xfId="36938"/>
    <cellStyle name="Uwaga 2 15 6" xfId="36939"/>
    <cellStyle name="Uwaga 2 15 6 2" xfId="36940"/>
    <cellStyle name="Uwaga 2 15 6 3" xfId="36941"/>
    <cellStyle name="Uwaga 2 15 6 4" xfId="36942"/>
    <cellStyle name="Uwaga 2 15 7" xfId="36943"/>
    <cellStyle name="Uwaga 2 15 7 2" xfId="36944"/>
    <cellStyle name="Uwaga 2 15 7 3" xfId="36945"/>
    <cellStyle name="Uwaga 2 15 7 4" xfId="36946"/>
    <cellStyle name="Uwaga 2 15 8" xfId="36947"/>
    <cellStyle name="Uwaga 2 15 8 2" xfId="36948"/>
    <cellStyle name="Uwaga 2 15 8 3" xfId="36949"/>
    <cellStyle name="Uwaga 2 15 8 4" xfId="36950"/>
    <cellStyle name="Uwaga 2 15 9" xfId="36951"/>
    <cellStyle name="Uwaga 2 15 9 2" xfId="36952"/>
    <cellStyle name="Uwaga 2 15 9 3" xfId="36953"/>
    <cellStyle name="Uwaga 2 15 9 4" xfId="36954"/>
    <cellStyle name="Uwaga 2 16" xfId="36955"/>
    <cellStyle name="Uwaga 2 16 10" xfId="36956"/>
    <cellStyle name="Uwaga 2 16 10 2" xfId="36957"/>
    <cellStyle name="Uwaga 2 16 10 3" xfId="36958"/>
    <cellStyle name="Uwaga 2 16 10 4" xfId="36959"/>
    <cellStyle name="Uwaga 2 16 11" xfId="36960"/>
    <cellStyle name="Uwaga 2 16 11 2" xfId="36961"/>
    <cellStyle name="Uwaga 2 16 11 3" xfId="36962"/>
    <cellStyle name="Uwaga 2 16 11 4" xfId="36963"/>
    <cellStyle name="Uwaga 2 16 12" xfId="36964"/>
    <cellStyle name="Uwaga 2 16 12 2" xfId="36965"/>
    <cellStyle name="Uwaga 2 16 12 3" xfId="36966"/>
    <cellStyle name="Uwaga 2 16 12 4" xfId="36967"/>
    <cellStyle name="Uwaga 2 16 13" xfId="36968"/>
    <cellStyle name="Uwaga 2 16 13 2" xfId="36969"/>
    <cellStyle name="Uwaga 2 16 13 3" xfId="36970"/>
    <cellStyle name="Uwaga 2 16 13 4" xfId="36971"/>
    <cellStyle name="Uwaga 2 16 14" xfId="36972"/>
    <cellStyle name="Uwaga 2 16 14 2" xfId="36973"/>
    <cellStyle name="Uwaga 2 16 14 3" xfId="36974"/>
    <cellStyle name="Uwaga 2 16 14 4" xfId="36975"/>
    <cellStyle name="Uwaga 2 16 15" xfId="36976"/>
    <cellStyle name="Uwaga 2 16 15 2" xfId="36977"/>
    <cellStyle name="Uwaga 2 16 15 3" xfId="36978"/>
    <cellStyle name="Uwaga 2 16 15 4" xfId="36979"/>
    <cellStyle name="Uwaga 2 16 16" xfId="36980"/>
    <cellStyle name="Uwaga 2 16 16 2" xfId="36981"/>
    <cellStyle name="Uwaga 2 16 16 3" xfId="36982"/>
    <cellStyle name="Uwaga 2 16 16 4" xfId="36983"/>
    <cellStyle name="Uwaga 2 16 17" xfId="36984"/>
    <cellStyle name="Uwaga 2 16 17 2" xfId="36985"/>
    <cellStyle name="Uwaga 2 16 17 3" xfId="36986"/>
    <cellStyle name="Uwaga 2 16 17 4" xfId="36987"/>
    <cellStyle name="Uwaga 2 16 18" xfId="36988"/>
    <cellStyle name="Uwaga 2 16 18 2" xfId="36989"/>
    <cellStyle name="Uwaga 2 16 18 3" xfId="36990"/>
    <cellStyle name="Uwaga 2 16 18 4" xfId="36991"/>
    <cellStyle name="Uwaga 2 16 19" xfId="36992"/>
    <cellStyle name="Uwaga 2 16 19 2" xfId="36993"/>
    <cellStyle name="Uwaga 2 16 19 3" xfId="36994"/>
    <cellStyle name="Uwaga 2 16 19 4" xfId="36995"/>
    <cellStyle name="Uwaga 2 16 2" xfId="36996"/>
    <cellStyle name="Uwaga 2 16 2 2" xfId="36997"/>
    <cellStyle name="Uwaga 2 16 2 3" xfId="36998"/>
    <cellStyle name="Uwaga 2 16 2 4" xfId="36999"/>
    <cellStyle name="Uwaga 2 16 20" xfId="37000"/>
    <cellStyle name="Uwaga 2 16 20 2" xfId="37001"/>
    <cellStyle name="Uwaga 2 16 20 3" xfId="37002"/>
    <cellStyle name="Uwaga 2 16 20 4" xfId="37003"/>
    <cellStyle name="Uwaga 2 16 21" xfId="37004"/>
    <cellStyle name="Uwaga 2 16 21 2" xfId="37005"/>
    <cellStyle name="Uwaga 2 16 21 3" xfId="37006"/>
    <cellStyle name="Uwaga 2 16 22" xfId="37007"/>
    <cellStyle name="Uwaga 2 16 22 2" xfId="37008"/>
    <cellStyle name="Uwaga 2 16 22 3" xfId="37009"/>
    <cellStyle name="Uwaga 2 16 23" xfId="37010"/>
    <cellStyle name="Uwaga 2 16 23 2" xfId="37011"/>
    <cellStyle name="Uwaga 2 16 23 3" xfId="37012"/>
    <cellStyle name="Uwaga 2 16 24" xfId="37013"/>
    <cellStyle name="Uwaga 2 16 24 2" xfId="37014"/>
    <cellStyle name="Uwaga 2 16 24 3" xfId="37015"/>
    <cellStyle name="Uwaga 2 16 25" xfId="37016"/>
    <cellStyle name="Uwaga 2 16 25 2" xfId="37017"/>
    <cellStyle name="Uwaga 2 16 25 3" xfId="37018"/>
    <cellStyle name="Uwaga 2 16 26" xfId="37019"/>
    <cellStyle name="Uwaga 2 16 26 2" xfId="37020"/>
    <cellStyle name="Uwaga 2 16 26 3" xfId="37021"/>
    <cellStyle name="Uwaga 2 16 27" xfId="37022"/>
    <cellStyle name="Uwaga 2 16 27 2" xfId="37023"/>
    <cellStyle name="Uwaga 2 16 27 3" xfId="37024"/>
    <cellStyle name="Uwaga 2 16 28" xfId="37025"/>
    <cellStyle name="Uwaga 2 16 28 2" xfId="37026"/>
    <cellStyle name="Uwaga 2 16 28 3" xfId="37027"/>
    <cellStyle name="Uwaga 2 16 29" xfId="37028"/>
    <cellStyle name="Uwaga 2 16 29 2" xfId="37029"/>
    <cellStyle name="Uwaga 2 16 29 3" xfId="37030"/>
    <cellStyle name="Uwaga 2 16 3" xfId="37031"/>
    <cellStyle name="Uwaga 2 16 3 2" xfId="37032"/>
    <cellStyle name="Uwaga 2 16 3 3" xfId="37033"/>
    <cellStyle name="Uwaga 2 16 3 4" xfId="37034"/>
    <cellStyle name="Uwaga 2 16 30" xfId="37035"/>
    <cellStyle name="Uwaga 2 16 30 2" xfId="37036"/>
    <cellStyle name="Uwaga 2 16 30 3" xfId="37037"/>
    <cellStyle name="Uwaga 2 16 31" xfId="37038"/>
    <cellStyle name="Uwaga 2 16 31 2" xfId="37039"/>
    <cellStyle name="Uwaga 2 16 31 3" xfId="37040"/>
    <cellStyle name="Uwaga 2 16 32" xfId="37041"/>
    <cellStyle name="Uwaga 2 16 32 2" xfId="37042"/>
    <cellStyle name="Uwaga 2 16 32 3" xfId="37043"/>
    <cellStyle name="Uwaga 2 16 33" xfId="37044"/>
    <cellStyle name="Uwaga 2 16 33 2" xfId="37045"/>
    <cellStyle name="Uwaga 2 16 33 3" xfId="37046"/>
    <cellStyle name="Uwaga 2 16 34" xfId="37047"/>
    <cellStyle name="Uwaga 2 16 34 2" xfId="37048"/>
    <cellStyle name="Uwaga 2 16 34 3" xfId="37049"/>
    <cellStyle name="Uwaga 2 16 35" xfId="37050"/>
    <cellStyle name="Uwaga 2 16 35 2" xfId="37051"/>
    <cellStyle name="Uwaga 2 16 35 3" xfId="37052"/>
    <cellStyle name="Uwaga 2 16 36" xfId="37053"/>
    <cellStyle name="Uwaga 2 16 36 2" xfId="37054"/>
    <cellStyle name="Uwaga 2 16 36 3" xfId="37055"/>
    <cellStyle name="Uwaga 2 16 37" xfId="37056"/>
    <cellStyle name="Uwaga 2 16 37 2" xfId="37057"/>
    <cellStyle name="Uwaga 2 16 37 3" xfId="37058"/>
    <cellStyle name="Uwaga 2 16 38" xfId="37059"/>
    <cellStyle name="Uwaga 2 16 38 2" xfId="37060"/>
    <cellStyle name="Uwaga 2 16 38 3" xfId="37061"/>
    <cellStyle name="Uwaga 2 16 39" xfId="37062"/>
    <cellStyle name="Uwaga 2 16 39 2" xfId="37063"/>
    <cellStyle name="Uwaga 2 16 39 3" xfId="37064"/>
    <cellStyle name="Uwaga 2 16 4" xfId="37065"/>
    <cellStyle name="Uwaga 2 16 4 2" xfId="37066"/>
    <cellStyle name="Uwaga 2 16 4 3" xfId="37067"/>
    <cellStyle name="Uwaga 2 16 4 4" xfId="37068"/>
    <cellStyle name="Uwaga 2 16 40" xfId="37069"/>
    <cellStyle name="Uwaga 2 16 40 2" xfId="37070"/>
    <cellStyle name="Uwaga 2 16 40 3" xfId="37071"/>
    <cellStyle name="Uwaga 2 16 41" xfId="37072"/>
    <cellStyle name="Uwaga 2 16 41 2" xfId="37073"/>
    <cellStyle name="Uwaga 2 16 41 3" xfId="37074"/>
    <cellStyle name="Uwaga 2 16 42" xfId="37075"/>
    <cellStyle name="Uwaga 2 16 42 2" xfId="37076"/>
    <cellStyle name="Uwaga 2 16 42 3" xfId="37077"/>
    <cellStyle name="Uwaga 2 16 43" xfId="37078"/>
    <cellStyle name="Uwaga 2 16 43 2" xfId="37079"/>
    <cellStyle name="Uwaga 2 16 43 3" xfId="37080"/>
    <cellStyle name="Uwaga 2 16 44" xfId="37081"/>
    <cellStyle name="Uwaga 2 16 44 2" xfId="37082"/>
    <cellStyle name="Uwaga 2 16 44 3" xfId="37083"/>
    <cellStyle name="Uwaga 2 16 45" xfId="37084"/>
    <cellStyle name="Uwaga 2 16 45 2" xfId="37085"/>
    <cellStyle name="Uwaga 2 16 45 3" xfId="37086"/>
    <cellStyle name="Uwaga 2 16 46" xfId="37087"/>
    <cellStyle name="Uwaga 2 16 46 2" xfId="37088"/>
    <cellStyle name="Uwaga 2 16 46 3" xfId="37089"/>
    <cellStyle name="Uwaga 2 16 47" xfId="37090"/>
    <cellStyle name="Uwaga 2 16 47 2" xfId="37091"/>
    <cellStyle name="Uwaga 2 16 47 3" xfId="37092"/>
    <cellStyle name="Uwaga 2 16 48" xfId="37093"/>
    <cellStyle name="Uwaga 2 16 48 2" xfId="37094"/>
    <cellStyle name="Uwaga 2 16 48 3" xfId="37095"/>
    <cellStyle name="Uwaga 2 16 49" xfId="37096"/>
    <cellStyle name="Uwaga 2 16 49 2" xfId="37097"/>
    <cellStyle name="Uwaga 2 16 49 3" xfId="37098"/>
    <cellStyle name="Uwaga 2 16 5" xfId="37099"/>
    <cellStyle name="Uwaga 2 16 5 2" xfId="37100"/>
    <cellStyle name="Uwaga 2 16 5 3" xfId="37101"/>
    <cellStyle name="Uwaga 2 16 5 4" xfId="37102"/>
    <cellStyle name="Uwaga 2 16 50" xfId="37103"/>
    <cellStyle name="Uwaga 2 16 50 2" xfId="37104"/>
    <cellStyle name="Uwaga 2 16 50 3" xfId="37105"/>
    <cellStyle name="Uwaga 2 16 51" xfId="37106"/>
    <cellStyle name="Uwaga 2 16 51 2" xfId="37107"/>
    <cellStyle name="Uwaga 2 16 51 3" xfId="37108"/>
    <cellStyle name="Uwaga 2 16 52" xfId="37109"/>
    <cellStyle name="Uwaga 2 16 52 2" xfId="37110"/>
    <cellStyle name="Uwaga 2 16 52 3" xfId="37111"/>
    <cellStyle name="Uwaga 2 16 53" xfId="37112"/>
    <cellStyle name="Uwaga 2 16 53 2" xfId="37113"/>
    <cellStyle name="Uwaga 2 16 53 3" xfId="37114"/>
    <cellStyle name="Uwaga 2 16 54" xfId="37115"/>
    <cellStyle name="Uwaga 2 16 54 2" xfId="37116"/>
    <cellStyle name="Uwaga 2 16 54 3" xfId="37117"/>
    <cellStyle name="Uwaga 2 16 55" xfId="37118"/>
    <cellStyle name="Uwaga 2 16 55 2" xfId="37119"/>
    <cellStyle name="Uwaga 2 16 55 3" xfId="37120"/>
    <cellStyle name="Uwaga 2 16 56" xfId="37121"/>
    <cellStyle name="Uwaga 2 16 56 2" xfId="37122"/>
    <cellStyle name="Uwaga 2 16 56 3" xfId="37123"/>
    <cellStyle name="Uwaga 2 16 57" xfId="37124"/>
    <cellStyle name="Uwaga 2 16 58" xfId="37125"/>
    <cellStyle name="Uwaga 2 16 6" xfId="37126"/>
    <cellStyle name="Uwaga 2 16 6 2" xfId="37127"/>
    <cellStyle name="Uwaga 2 16 6 3" xfId="37128"/>
    <cellStyle name="Uwaga 2 16 6 4" xfId="37129"/>
    <cellStyle name="Uwaga 2 16 7" xfId="37130"/>
    <cellStyle name="Uwaga 2 16 7 2" xfId="37131"/>
    <cellStyle name="Uwaga 2 16 7 3" xfId="37132"/>
    <cellStyle name="Uwaga 2 16 7 4" xfId="37133"/>
    <cellStyle name="Uwaga 2 16 8" xfId="37134"/>
    <cellStyle name="Uwaga 2 16 8 2" xfId="37135"/>
    <cellStyle name="Uwaga 2 16 8 3" xfId="37136"/>
    <cellStyle name="Uwaga 2 16 8 4" xfId="37137"/>
    <cellStyle name="Uwaga 2 16 9" xfId="37138"/>
    <cellStyle name="Uwaga 2 16 9 2" xfId="37139"/>
    <cellStyle name="Uwaga 2 16 9 3" xfId="37140"/>
    <cellStyle name="Uwaga 2 16 9 4" xfId="37141"/>
    <cellStyle name="Uwaga 2 17" xfId="37142"/>
    <cellStyle name="Uwaga 2 17 10" xfId="37143"/>
    <cellStyle name="Uwaga 2 17 10 2" xfId="37144"/>
    <cellStyle name="Uwaga 2 17 10 3" xfId="37145"/>
    <cellStyle name="Uwaga 2 17 10 4" xfId="37146"/>
    <cellStyle name="Uwaga 2 17 11" xfId="37147"/>
    <cellStyle name="Uwaga 2 17 11 2" xfId="37148"/>
    <cellStyle name="Uwaga 2 17 11 3" xfId="37149"/>
    <cellStyle name="Uwaga 2 17 11 4" xfId="37150"/>
    <cellStyle name="Uwaga 2 17 12" xfId="37151"/>
    <cellStyle name="Uwaga 2 17 12 2" xfId="37152"/>
    <cellStyle name="Uwaga 2 17 12 3" xfId="37153"/>
    <cellStyle name="Uwaga 2 17 12 4" xfId="37154"/>
    <cellStyle name="Uwaga 2 17 13" xfId="37155"/>
    <cellStyle name="Uwaga 2 17 13 2" xfId="37156"/>
    <cellStyle name="Uwaga 2 17 13 3" xfId="37157"/>
    <cellStyle name="Uwaga 2 17 13 4" xfId="37158"/>
    <cellStyle name="Uwaga 2 17 14" xfId="37159"/>
    <cellStyle name="Uwaga 2 17 14 2" xfId="37160"/>
    <cellStyle name="Uwaga 2 17 14 3" xfId="37161"/>
    <cellStyle name="Uwaga 2 17 14 4" xfId="37162"/>
    <cellStyle name="Uwaga 2 17 15" xfId="37163"/>
    <cellStyle name="Uwaga 2 17 15 2" xfId="37164"/>
    <cellStyle name="Uwaga 2 17 15 3" xfId="37165"/>
    <cellStyle name="Uwaga 2 17 15 4" xfId="37166"/>
    <cellStyle name="Uwaga 2 17 16" xfId="37167"/>
    <cellStyle name="Uwaga 2 17 16 2" xfId="37168"/>
    <cellStyle name="Uwaga 2 17 16 3" xfId="37169"/>
    <cellStyle name="Uwaga 2 17 16 4" xfId="37170"/>
    <cellStyle name="Uwaga 2 17 17" xfId="37171"/>
    <cellStyle name="Uwaga 2 17 17 2" xfId="37172"/>
    <cellStyle name="Uwaga 2 17 17 3" xfId="37173"/>
    <cellStyle name="Uwaga 2 17 17 4" xfId="37174"/>
    <cellStyle name="Uwaga 2 17 18" xfId="37175"/>
    <cellStyle name="Uwaga 2 17 18 2" xfId="37176"/>
    <cellStyle name="Uwaga 2 17 18 3" xfId="37177"/>
    <cellStyle name="Uwaga 2 17 18 4" xfId="37178"/>
    <cellStyle name="Uwaga 2 17 19" xfId="37179"/>
    <cellStyle name="Uwaga 2 17 19 2" xfId="37180"/>
    <cellStyle name="Uwaga 2 17 19 3" xfId="37181"/>
    <cellStyle name="Uwaga 2 17 19 4" xfId="37182"/>
    <cellStyle name="Uwaga 2 17 2" xfId="37183"/>
    <cellStyle name="Uwaga 2 17 2 2" xfId="37184"/>
    <cellStyle name="Uwaga 2 17 2 3" xfId="37185"/>
    <cellStyle name="Uwaga 2 17 2 4" xfId="37186"/>
    <cellStyle name="Uwaga 2 17 20" xfId="37187"/>
    <cellStyle name="Uwaga 2 17 20 2" xfId="37188"/>
    <cellStyle name="Uwaga 2 17 20 3" xfId="37189"/>
    <cellStyle name="Uwaga 2 17 20 4" xfId="37190"/>
    <cellStyle name="Uwaga 2 17 21" xfId="37191"/>
    <cellStyle name="Uwaga 2 17 21 2" xfId="37192"/>
    <cellStyle name="Uwaga 2 17 21 3" xfId="37193"/>
    <cellStyle name="Uwaga 2 17 22" xfId="37194"/>
    <cellStyle name="Uwaga 2 17 22 2" xfId="37195"/>
    <cellStyle name="Uwaga 2 17 22 3" xfId="37196"/>
    <cellStyle name="Uwaga 2 17 23" xfId="37197"/>
    <cellStyle name="Uwaga 2 17 23 2" xfId="37198"/>
    <cellStyle name="Uwaga 2 17 23 3" xfId="37199"/>
    <cellStyle name="Uwaga 2 17 24" xfId="37200"/>
    <cellStyle name="Uwaga 2 17 24 2" xfId="37201"/>
    <cellStyle name="Uwaga 2 17 24 3" xfId="37202"/>
    <cellStyle name="Uwaga 2 17 25" xfId="37203"/>
    <cellStyle name="Uwaga 2 17 25 2" xfId="37204"/>
    <cellStyle name="Uwaga 2 17 25 3" xfId="37205"/>
    <cellStyle name="Uwaga 2 17 26" xfId="37206"/>
    <cellStyle name="Uwaga 2 17 26 2" xfId="37207"/>
    <cellStyle name="Uwaga 2 17 26 3" xfId="37208"/>
    <cellStyle name="Uwaga 2 17 27" xfId="37209"/>
    <cellStyle name="Uwaga 2 17 27 2" xfId="37210"/>
    <cellStyle name="Uwaga 2 17 27 3" xfId="37211"/>
    <cellStyle name="Uwaga 2 17 28" xfId="37212"/>
    <cellStyle name="Uwaga 2 17 28 2" xfId="37213"/>
    <cellStyle name="Uwaga 2 17 28 3" xfId="37214"/>
    <cellStyle name="Uwaga 2 17 29" xfId="37215"/>
    <cellStyle name="Uwaga 2 17 29 2" xfId="37216"/>
    <cellStyle name="Uwaga 2 17 29 3" xfId="37217"/>
    <cellStyle name="Uwaga 2 17 3" xfId="37218"/>
    <cellStyle name="Uwaga 2 17 3 2" xfId="37219"/>
    <cellStyle name="Uwaga 2 17 3 3" xfId="37220"/>
    <cellStyle name="Uwaga 2 17 3 4" xfId="37221"/>
    <cellStyle name="Uwaga 2 17 30" xfId="37222"/>
    <cellStyle name="Uwaga 2 17 30 2" xfId="37223"/>
    <cellStyle name="Uwaga 2 17 30 3" xfId="37224"/>
    <cellStyle name="Uwaga 2 17 31" xfId="37225"/>
    <cellStyle name="Uwaga 2 17 31 2" xfId="37226"/>
    <cellStyle name="Uwaga 2 17 31 3" xfId="37227"/>
    <cellStyle name="Uwaga 2 17 32" xfId="37228"/>
    <cellStyle name="Uwaga 2 17 32 2" xfId="37229"/>
    <cellStyle name="Uwaga 2 17 32 3" xfId="37230"/>
    <cellStyle name="Uwaga 2 17 33" xfId="37231"/>
    <cellStyle name="Uwaga 2 17 33 2" xfId="37232"/>
    <cellStyle name="Uwaga 2 17 33 3" xfId="37233"/>
    <cellStyle name="Uwaga 2 17 34" xfId="37234"/>
    <cellStyle name="Uwaga 2 17 34 2" xfId="37235"/>
    <cellStyle name="Uwaga 2 17 34 3" xfId="37236"/>
    <cellStyle name="Uwaga 2 17 35" xfId="37237"/>
    <cellStyle name="Uwaga 2 17 35 2" xfId="37238"/>
    <cellStyle name="Uwaga 2 17 35 3" xfId="37239"/>
    <cellStyle name="Uwaga 2 17 36" xfId="37240"/>
    <cellStyle name="Uwaga 2 17 36 2" xfId="37241"/>
    <cellStyle name="Uwaga 2 17 36 3" xfId="37242"/>
    <cellStyle name="Uwaga 2 17 37" xfId="37243"/>
    <cellStyle name="Uwaga 2 17 37 2" xfId="37244"/>
    <cellStyle name="Uwaga 2 17 37 3" xfId="37245"/>
    <cellStyle name="Uwaga 2 17 38" xfId="37246"/>
    <cellStyle name="Uwaga 2 17 38 2" xfId="37247"/>
    <cellStyle name="Uwaga 2 17 38 3" xfId="37248"/>
    <cellStyle name="Uwaga 2 17 39" xfId="37249"/>
    <cellStyle name="Uwaga 2 17 39 2" xfId="37250"/>
    <cellStyle name="Uwaga 2 17 39 3" xfId="37251"/>
    <cellStyle name="Uwaga 2 17 4" xfId="37252"/>
    <cellStyle name="Uwaga 2 17 4 2" xfId="37253"/>
    <cellStyle name="Uwaga 2 17 4 3" xfId="37254"/>
    <cellStyle name="Uwaga 2 17 4 4" xfId="37255"/>
    <cellStyle name="Uwaga 2 17 40" xfId="37256"/>
    <cellStyle name="Uwaga 2 17 40 2" xfId="37257"/>
    <cellStyle name="Uwaga 2 17 40 3" xfId="37258"/>
    <cellStyle name="Uwaga 2 17 41" xfId="37259"/>
    <cellStyle name="Uwaga 2 17 41 2" xfId="37260"/>
    <cellStyle name="Uwaga 2 17 41 3" xfId="37261"/>
    <cellStyle name="Uwaga 2 17 42" xfId="37262"/>
    <cellStyle name="Uwaga 2 17 42 2" xfId="37263"/>
    <cellStyle name="Uwaga 2 17 42 3" xfId="37264"/>
    <cellStyle name="Uwaga 2 17 43" xfId="37265"/>
    <cellStyle name="Uwaga 2 17 43 2" xfId="37266"/>
    <cellStyle name="Uwaga 2 17 43 3" xfId="37267"/>
    <cellStyle name="Uwaga 2 17 44" xfId="37268"/>
    <cellStyle name="Uwaga 2 17 44 2" xfId="37269"/>
    <cellStyle name="Uwaga 2 17 44 3" xfId="37270"/>
    <cellStyle name="Uwaga 2 17 45" xfId="37271"/>
    <cellStyle name="Uwaga 2 17 45 2" xfId="37272"/>
    <cellStyle name="Uwaga 2 17 45 3" xfId="37273"/>
    <cellStyle name="Uwaga 2 17 46" xfId="37274"/>
    <cellStyle name="Uwaga 2 17 46 2" xfId="37275"/>
    <cellStyle name="Uwaga 2 17 46 3" xfId="37276"/>
    <cellStyle name="Uwaga 2 17 47" xfId="37277"/>
    <cellStyle name="Uwaga 2 17 47 2" xfId="37278"/>
    <cellStyle name="Uwaga 2 17 47 3" xfId="37279"/>
    <cellStyle name="Uwaga 2 17 48" xfId="37280"/>
    <cellStyle name="Uwaga 2 17 48 2" xfId="37281"/>
    <cellStyle name="Uwaga 2 17 48 3" xfId="37282"/>
    <cellStyle name="Uwaga 2 17 49" xfId="37283"/>
    <cellStyle name="Uwaga 2 17 49 2" xfId="37284"/>
    <cellStyle name="Uwaga 2 17 49 3" xfId="37285"/>
    <cellStyle name="Uwaga 2 17 5" xfId="37286"/>
    <cellStyle name="Uwaga 2 17 5 2" xfId="37287"/>
    <cellStyle name="Uwaga 2 17 5 3" xfId="37288"/>
    <cellStyle name="Uwaga 2 17 5 4" xfId="37289"/>
    <cellStyle name="Uwaga 2 17 50" xfId="37290"/>
    <cellStyle name="Uwaga 2 17 50 2" xfId="37291"/>
    <cellStyle name="Uwaga 2 17 50 3" xfId="37292"/>
    <cellStyle name="Uwaga 2 17 51" xfId="37293"/>
    <cellStyle name="Uwaga 2 17 51 2" xfId="37294"/>
    <cellStyle name="Uwaga 2 17 51 3" xfId="37295"/>
    <cellStyle name="Uwaga 2 17 52" xfId="37296"/>
    <cellStyle name="Uwaga 2 17 52 2" xfId="37297"/>
    <cellStyle name="Uwaga 2 17 52 3" xfId="37298"/>
    <cellStyle name="Uwaga 2 17 53" xfId="37299"/>
    <cellStyle name="Uwaga 2 17 53 2" xfId="37300"/>
    <cellStyle name="Uwaga 2 17 53 3" xfId="37301"/>
    <cellStyle name="Uwaga 2 17 54" xfId="37302"/>
    <cellStyle name="Uwaga 2 17 54 2" xfId="37303"/>
    <cellStyle name="Uwaga 2 17 54 3" xfId="37304"/>
    <cellStyle name="Uwaga 2 17 55" xfId="37305"/>
    <cellStyle name="Uwaga 2 17 55 2" xfId="37306"/>
    <cellStyle name="Uwaga 2 17 55 3" xfId="37307"/>
    <cellStyle name="Uwaga 2 17 56" xfId="37308"/>
    <cellStyle name="Uwaga 2 17 56 2" xfId="37309"/>
    <cellStyle name="Uwaga 2 17 56 3" xfId="37310"/>
    <cellStyle name="Uwaga 2 17 57" xfId="37311"/>
    <cellStyle name="Uwaga 2 17 58" xfId="37312"/>
    <cellStyle name="Uwaga 2 17 6" xfId="37313"/>
    <cellStyle name="Uwaga 2 17 6 2" xfId="37314"/>
    <cellStyle name="Uwaga 2 17 6 3" xfId="37315"/>
    <cellStyle name="Uwaga 2 17 6 4" xfId="37316"/>
    <cellStyle name="Uwaga 2 17 7" xfId="37317"/>
    <cellStyle name="Uwaga 2 17 7 2" xfId="37318"/>
    <cellStyle name="Uwaga 2 17 7 3" xfId="37319"/>
    <cellStyle name="Uwaga 2 17 7 4" xfId="37320"/>
    <cellStyle name="Uwaga 2 17 8" xfId="37321"/>
    <cellStyle name="Uwaga 2 17 8 2" xfId="37322"/>
    <cellStyle name="Uwaga 2 17 8 3" xfId="37323"/>
    <cellStyle name="Uwaga 2 17 8 4" xfId="37324"/>
    <cellStyle name="Uwaga 2 17 9" xfId="37325"/>
    <cellStyle name="Uwaga 2 17 9 2" xfId="37326"/>
    <cellStyle name="Uwaga 2 17 9 3" xfId="37327"/>
    <cellStyle name="Uwaga 2 17 9 4" xfId="37328"/>
    <cellStyle name="Uwaga 2 18" xfId="37329"/>
    <cellStyle name="Uwaga 2 18 10" xfId="37330"/>
    <cellStyle name="Uwaga 2 18 10 2" xfId="37331"/>
    <cellStyle name="Uwaga 2 18 10 3" xfId="37332"/>
    <cellStyle name="Uwaga 2 18 10 4" xfId="37333"/>
    <cellStyle name="Uwaga 2 18 11" xfId="37334"/>
    <cellStyle name="Uwaga 2 18 11 2" xfId="37335"/>
    <cellStyle name="Uwaga 2 18 11 3" xfId="37336"/>
    <cellStyle name="Uwaga 2 18 11 4" xfId="37337"/>
    <cellStyle name="Uwaga 2 18 12" xfId="37338"/>
    <cellStyle name="Uwaga 2 18 12 2" xfId="37339"/>
    <cellStyle name="Uwaga 2 18 12 3" xfId="37340"/>
    <cellStyle name="Uwaga 2 18 12 4" xfId="37341"/>
    <cellStyle name="Uwaga 2 18 13" xfId="37342"/>
    <cellStyle name="Uwaga 2 18 13 2" xfId="37343"/>
    <cellStyle name="Uwaga 2 18 13 3" xfId="37344"/>
    <cellStyle name="Uwaga 2 18 13 4" xfId="37345"/>
    <cellStyle name="Uwaga 2 18 14" xfId="37346"/>
    <cellStyle name="Uwaga 2 18 14 2" xfId="37347"/>
    <cellStyle name="Uwaga 2 18 14 3" xfId="37348"/>
    <cellStyle name="Uwaga 2 18 14 4" xfId="37349"/>
    <cellStyle name="Uwaga 2 18 15" xfId="37350"/>
    <cellStyle name="Uwaga 2 18 15 2" xfId="37351"/>
    <cellStyle name="Uwaga 2 18 15 3" xfId="37352"/>
    <cellStyle name="Uwaga 2 18 15 4" xfId="37353"/>
    <cellStyle name="Uwaga 2 18 16" xfId="37354"/>
    <cellStyle name="Uwaga 2 18 16 2" xfId="37355"/>
    <cellStyle name="Uwaga 2 18 16 3" xfId="37356"/>
    <cellStyle name="Uwaga 2 18 16 4" xfId="37357"/>
    <cellStyle name="Uwaga 2 18 17" xfId="37358"/>
    <cellStyle name="Uwaga 2 18 17 2" xfId="37359"/>
    <cellStyle name="Uwaga 2 18 17 3" xfId="37360"/>
    <cellStyle name="Uwaga 2 18 17 4" xfId="37361"/>
    <cellStyle name="Uwaga 2 18 18" xfId="37362"/>
    <cellStyle name="Uwaga 2 18 18 2" xfId="37363"/>
    <cellStyle name="Uwaga 2 18 18 3" xfId="37364"/>
    <cellStyle name="Uwaga 2 18 18 4" xfId="37365"/>
    <cellStyle name="Uwaga 2 18 19" xfId="37366"/>
    <cellStyle name="Uwaga 2 18 19 2" xfId="37367"/>
    <cellStyle name="Uwaga 2 18 19 3" xfId="37368"/>
    <cellStyle name="Uwaga 2 18 19 4" xfId="37369"/>
    <cellStyle name="Uwaga 2 18 2" xfId="37370"/>
    <cellStyle name="Uwaga 2 18 2 2" xfId="37371"/>
    <cellStyle name="Uwaga 2 18 2 3" xfId="37372"/>
    <cellStyle name="Uwaga 2 18 2 4" xfId="37373"/>
    <cellStyle name="Uwaga 2 18 20" xfId="37374"/>
    <cellStyle name="Uwaga 2 18 20 2" xfId="37375"/>
    <cellStyle name="Uwaga 2 18 20 3" xfId="37376"/>
    <cellStyle name="Uwaga 2 18 20 4" xfId="37377"/>
    <cellStyle name="Uwaga 2 18 21" xfId="37378"/>
    <cellStyle name="Uwaga 2 18 21 2" xfId="37379"/>
    <cellStyle name="Uwaga 2 18 21 3" xfId="37380"/>
    <cellStyle name="Uwaga 2 18 22" xfId="37381"/>
    <cellStyle name="Uwaga 2 18 22 2" xfId="37382"/>
    <cellStyle name="Uwaga 2 18 22 3" xfId="37383"/>
    <cellStyle name="Uwaga 2 18 23" xfId="37384"/>
    <cellStyle name="Uwaga 2 18 23 2" xfId="37385"/>
    <cellStyle name="Uwaga 2 18 23 3" xfId="37386"/>
    <cellStyle name="Uwaga 2 18 24" xfId="37387"/>
    <cellStyle name="Uwaga 2 18 24 2" xfId="37388"/>
    <cellStyle name="Uwaga 2 18 24 3" xfId="37389"/>
    <cellStyle name="Uwaga 2 18 25" xfId="37390"/>
    <cellStyle name="Uwaga 2 18 25 2" xfId="37391"/>
    <cellStyle name="Uwaga 2 18 25 3" xfId="37392"/>
    <cellStyle name="Uwaga 2 18 26" xfId="37393"/>
    <cellStyle name="Uwaga 2 18 26 2" xfId="37394"/>
    <cellStyle name="Uwaga 2 18 26 3" xfId="37395"/>
    <cellStyle name="Uwaga 2 18 27" xfId="37396"/>
    <cellStyle name="Uwaga 2 18 27 2" xfId="37397"/>
    <cellStyle name="Uwaga 2 18 27 3" xfId="37398"/>
    <cellStyle name="Uwaga 2 18 28" xfId="37399"/>
    <cellStyle name="Uwaga 2 18 28 2" xfId="37400"/>
    <cellStyle name="Uwaga 2 18 28 3" xfId="37401"/>
    <cellStyle name="Uwaga 2 18 29" xfId="37402"/>
    <cellStyle name="Uwaga 2 18 29 2" xfId="37403"/>
    <cellStyle name="Uwaga 2 18 29 3" xfId="37404"/>
    <cellStyle name="Uwaga 2 18 3" xfId="37405"/>
    <cellStyle name="Uwaga 2 18 3 2" xfId="37406"/>
    <cellStyle name="Uwaga 2 18 3 3" xfId="37407"/>
    <cellStyle name="Uwaga 2 18 3 4" xfId="37408"/>
    <cellStyle name="Uwaga 2 18 30" xfId="37409"/>
    <cellStyle name="Uwaga 2 18 30 2" xfId="37410"/>
    <cellStyle name="Uwaga 2 18 30 3" xfId="37411"/>
    <cellStyle name="Uwaga 2 18 31" xfId="37412"/>
    <cellStyle name="Uwaga 2 18 31 2" xfId="37413"/>
    <cellStyle name="Uwaga 2 18 31 3" xfId="37414"/>
    <cellStyle name="Uwaga 2 18 32" xfId="37415"/>
    <cellStyle name="Uwaga 2 18 32 2" xfId="37416"/>
    <cellStyle name="Uwaga 2 18 32 3" xfId="37417"/>
    <cellStyle name="Uwaga 2 18 33" xfId="37418"/>
    <cellStyle name="Uwaga 2 18 33 2" xfId="37419"/>
    <cellStyle name="Uwaga 2 18 33 3" xfId="37420"/>
    <cellStyle name="Uwaga 2 18 34" xfId="37421"/>
    <cellStyle name="Uwaga 2 18 34 2" xfId="37422"/>
    <cellStyle name="Uwaga 2 18 34 3" xfId="37423"/>
    <cellStyle name="Uwaga 2 18 35" xfId="37424"/>
    <cellStyle name="Uwaga 2 18 35 2" xfId="37425"/>
    <cellStyle name="Uwaga 2 18 35 3" xfId="37426"/>
    <cellStyle name="Uwaga 2 18 36" xfId="37427"/>
    <cellStyle name="Uwaga 2 18 36 2" xfId="37428"/>
    <cellStyle name="Uwaga 2 18 36 3" xfId="37429"/>
    <cellStyle name="Uwaga 2 18 37" xfId="37430"/>
    <cellStyle name="Uwaga 2 18 37 2" xfId="37431"/>
    <cellStyle name="Uwaga 2 18 37 3" xfId="37432"/>
    <cellStyle name="Uwaga 2 18 38" xfId="37433"/>
    <cellStyle name="Uwaga 2 18 38 2" xfId="37434"/>
    <cellStyle name="Uwaga 2 18 38 3" xfId="37435"/>
    <cellStyle name="Uwaga 2 18 39" xfId="37436"/>
    <cellStyle name="Uwaga 2 18 39 2" xfId="37437"/>
    <cellStyle name="Uwaga 2 18 39 3" xfId="37438"/>
    <cellStyle name="Uwaga 2 18 4" xfId="37439"/>
    <cellStyle name="Uwaga 2 18 4 2" xfId="37440"/>
    <cellStyle name="Uwaga 2 18 4 3" xfId="37441"/>
    <cellStyle name="Uwaga 2 18 4 4" xfId="37442"/>
    <cellStyle name="Uwaga 2 18 40" xfId="37443"/>
    <cellStyle name="Uwaga 2 18 40 2" xfId="37444"/>
    <cellStyle name="Uwaga 2 18 40 3" xfId="37445"/>
    <cellStyle name="Uwaga 2 18 41" xfId="37446"/>
    <cellStyle name="Uwaga 2 18 41 2" xfId="37447"/>
    <cellStyle name="Uwaga 2 18 41 3" xfId="37448"/>
    <cellStyle name="Uwaga 2 18 42" xfId="37449"/>
    <cellStyle name="Uwaga 2 18 42 2" xfId="37450"/>
    <cellStyle name="Uwaga 2 18 42 3" xfId="37451"/>
    <cellStyle name="Uwaga 2 18 43" xfId="37452"/>
    <cellStyle name="Uwaga 2 18 43 2" xfId="37453"/>
    <cellStyle name="Uwaga 2 18 43 3" xfId="37454"/>
    <cellStyle name="Uwaga 2 18 44" xfId="37455"/>
    <cellStyle name="Uwaga 2 18 44 2" xfId="37456"/>
    <cellStyle name="Uwaga 2 18 44 3" xfId="37457"/>
    <cellStyle name="Uwaga 2 18 45" xfId="37458"/>
    <cellStyle name="Uwaga 2 18 45 2" xfId="37459"/>
    <cellStyle name="Uwaga 2 18 45 3" xfId="37460"/>
    <cellStyle name="Uwaga 2 18 46" xfId="37461"/>
    <cellStyle name="Uwaga 2 18 46 2" xfId="37462"/>
    <cellStyle name="Uwaga 2 18 46 3" xfId="37463"/>
    <cellStyle name="Uwaga 2 18 47" xfId="37464"/>
    <cellStyle name="Uwaga 2 18 47 2" xfId="37465"/>
    <cellStyle name="Uwaga 2 18 47 3" xfId="37466"/>
    <cellStyle name="Uwaga 2 18 48" xfId="37467"/>
    <cellStyle name="Uwaga 2 18 48 2" xfId="37468"/>
    <cellStyle name="Uwaga 2 18 48 3" xfId="37469"/>
    <cellStyle name="Uwaga 2 18 49" xfId="37470"/>
    <cellStyle name="Uwaga 2 18 49 2" xfId="37471"/>
    <cellStyle name="Uwaga 2 18 49 3" xfId="37472"/>
    <cellStyle name="Uwaga 2 18 5" xfId="37473"/>
    <cellStyle name="Uwaga 2 18 5 2" xfId="37474"/>
    <cellStyle name="Uwaga 2 18 5 3" xfId="37475"/>
    <cellStyle name="Uwaga 2 18 5 4" xfId="37476"/>
    <cellStyle name="Uwaga 2 18 50" xfId="37477"/>
    <cellStyle name="Uwaga 2 18 50 2" xfId="37478"/>
    <cellStyle name="Uwaga 2 18 50 3" xfId="37479"/>
    <cellStyle name="Uwaga 2 18 51" xfId="37480"/>
    <cellStyle name="Uwaga 2 18 51 2" xfId="37481"/>
    <cellStyle name="Uwaga 2 18 51 3" xfId="37482"/>
    <cellStyle name="Uwaga 2 18 52" xfId="37483"/>
    <cellStyle name="Uwaga 2 18 52 2" xfId="37484"/>
    <cellStyle name="Uwaga 2 18 52 3" xfId="37485"/>
    <cellStyle name="Uwaga 2 18 53" xfId="37486"/>
    <cellStyle name="Uwaga 2 18 53 2" xfId="37487"/>
    <cellStyle name="Uwaga 2 18 53 3" xfId="37488"/>
    <cellStyle name="Uwaga 2 18 54" xfId="37489"/>
    <cellStyle name="Uwaga 2 18 54 2" xfId="37490"/>
    <cellStyle name="Uwaga 2 18 54 3" xfId="37491"/>
    <cellStyle name="Uwaga 2 18 55" xfId="37492"/>
    <cellStyle name="Uwaga 2 18 55 2" xfId="37493"/>
    <cellStyle name="Uwaga 2 18 55 3" xfId="37494"/>
    <cellStyle name="Uwaga 2 18 56" xfId="37495"/>
    <cellStyle name="Uwaga 2 18 56 2" xfId="37496"/>
    <cellStyle name="Uwaga 2 18 56 3" xfId="37497"/>
    <cellStyle name="Uwaga 2 18 57" xfId="37498"/>
    <cellStyle name="Uwaga 2 18 58" xfId="37499"/>
    <cellStyle name="Uwaga 2 18 6" xfId="37500"/>
    <cellStyle name="Uwaga 2 18 6 2" xfId="37501"/>
    <cellStyle name="Uwaga 2 18 6 3" xfId="37502"/>
    <cellStyle name="Uwaga 2 18 6 4" xfId="37503"/>
    <cellStyle name="Uwaga 2 18 7" xfId="37504"/>
    <cellStyle name="Uwaga 2 18 7 2" xfId="37505"/>
    <cellStyle name="Uwaga 2 18 7 3" xfId="37506"/>
    <cellStyle name="Uwaga 2 18 7 4" xfId="37507"/>
    <cellStyle name="Uwaga 2 18 8" xfId="37508"/>
    <cellStyle name="Uwaga 2 18 8 2" xfId="37509"/>
    <cellStyle name="Uwaga 2 18 8 3" xfId="37510"/>
    <cellStyle name="Uwaga 2 18 8 4" xfId="37511"/>
    <cellStyle name="Uwaga 2 18 9" xfId="37512"/>
    <cellStyle name="Uwaga 2 18 9 2" xfId="37513"/>
    <cellStyle name="Uwaga 2 18 9 3" xfId="37514"/>
    <cellStyle name="Uwaga 2 18 9 4" xfId="37515"/>
    <cellStyle name="Uwaga 2 19" xfId="37516"/>
    <cellStyle name="Uwaga 2 19 10" xfId="37517"/>
    <cellStyle name="Uwaga 2 19 10 2" xfId="37518"/>
    <cellStyle name="Uwaga 2 19 10 3" xfId="37519"/>
    <cellStyle name="Uwaga 2 19 10 4" xfId="37520"/>
    <cellStyle name="Uwaga 2 19 11" xfId="37521"/>
    <cellStyle name="Uwaga 2 19 11 2" xfId="37522"/>
    <cellStyle name="Uwaga 2 19 11 3" xfId="37523"/>
    <cellStyle name="Uwaga 2 19 11 4" xfId="37524"/>
    <cellStyle name="Uwaga 2 19 12" xfId="37525"/>
    <cellStyle name="Uwaga 2 19 12 2" xfId="37526"/>
    <cellStyle name="Uwaga 2 19 12 3" xfId="37527"/>
    <cellStyle name="Uwaga 2 19 12 4" xfId="37528"/>
    <cellStyle name="Uwaga 2 19 13" xfId="37529"/>
    <cellStyle name="Uwaga 2 19 13 2" xfId="37530"/>
    <cellStyle name="Uwaga 2 19 13 3" xfId="37531"/>
    <cellStyle name="Uwaga 2 19 13 4" xfId="37532"/>
    <cellStyle name="Uwaga 2 19 14" xfId="37533"/>
    <cellStyle name="Uwaga 2 19 14 2" xfId="37534"/>
    <cellStyle name="Uwaga 2 19 14 3" xfId="37535"/>
    <cellStyle name="Uwaga 2 19 14 4" xfId="37536"/>
    <cellStyle name="Uwaga 2 19 15" xfId="37537"/>
    <cellStyle name="Uwaga 2 19 15 2" xfId="37538"/>
    <cellStyle name="Uwaga 2 19 15 3" xfId="37539"/>
    <cellStyle name="Uwaga 2 19 15 4" xfId="37540"/>
    <cellStyle name="Uwaga 2 19 16" xfId="37541"/>
    <cellStyle name="Uwaga 2 19 16 2" xfId="37542"/>
    <cellStyle name="Uwaga 2 19 16 3" xfId="37543"/>
    <cellStyle name="Uwaga 2 19 16 4" xfId="37544"/>
    <cellStyle name="Uwaga 2 19 17" xfId="37545"/>
    <cellStyle name="Uwaga 2 19 17 2" xfId="37546"/>
    <cellStyle name="Uwaga 2 19 17 3" xfId="37547"/>
    <cellStyle name="Uwaga 2 19 17 4" xfId="37548"/>
    <cellStyle name="Uwaga 2 19 18" xfId="37549"/>
    <cellStyle name="Uwaga 2 19 18 2" xfId="37550"/>
    <cellStyle name="Uwaga 2 19 18 3" xfId="37551"/>
    <cellStyle name="Uwaga 2 19 18 4" xfId="37552"/>
    <cellStyle name="Uwaga 2 19 19" xfId="37553"/>
    <cellStyle name="Uwaga 2 19 19 2" xfId="37554"/>
    <cellStyle name="Uwaga 2 19 19 3" xfId="37555"/>
    <cellStyle name="Uwaga 2 19 19 4" xfId="37556"/>
    <cellStyle name="Uwaga 2 19 2" xfId="37557"/>
    <cellStyle name="Uwaga 2 19 2 2" xfId="37558"/>
    <cellStyle name="Uwaga 2 19 2 3" xfId="37559"/>
    <cellStyle name="Uwaga 2 19 2 4" xfId="37560"/>
    <cellStyle name="Uwaga 2 19 20" xfId="37561"/>
    <cellStyle name="Uwaga 2 19 20 2" xfId="37562"/>
    <cellStyle name="Uwaga 2 19 20 3" xfId="37563"/>
    <cellStyle name="Uwaga 2 19 20 4" xfId="37564"/>
    <cellStyle name="Uwaga 2 19 21" xfId="37565"/>
    <cellStyle name="Uwaga 2 19 21 2" xfId="37566"/>
    <cellStyle name="Uwaga 2 19 21 3" xfId="37567"/>
    <cellStyle name="Uwaga 2 19 22" xfId="37568"/>
    <cellStyle name="Uwaga 2 19 22 2" xfId="37569"/>
    <cellStyle name="Uwaga 2 19 22 3" xfId="37570"/>
    <cellStyle name="Uwaga 2 19 23" xfId="37571"/>
    <cellStyle name="Uwaga 2 19 23 2" xfId="37572"/>
    <cellStyle name="Uwaga 2 19 23 3" xfId="37573"/>
    <cellStyle name="Uwaga 2 19 24" xfId="37574"/>
    <cellStyle name="Uwaga 2 19 24 2" xfId="37575"/>
    <cellStyle name="Uwaga 2 19 24 3" xfId="37576"/>
    <cellStyle name="Uwaga 2 19 25" xfId="37577"/>
    <cellStyle name="Uwaga 2 19 25 2" xfId="37578"/>
    <cellStyle name="Uwaga 2 19 25 3" xfId="37579"/>
    <cellStyle name="Uwaga 2 19 26" xfId="37580"/>
    <cellStyle name="Uwaga 2 19 26 2" xfId="37581"/>
    <cellStyle name="Uwaga 2 19 26 3" xfId="37582"/>
    <cellStyle name="Uwaga 2 19 27" xfId="37583"/>
    <cellStyle name="Uwaga 2 19 27 2" xfId="37584"/>
    <cellStyle name="Uwaga 2 19 27 3" xfId="37585"/>
    <cellStyle name="Uwaga 2 19 28" xfId="37586"/>
    <cellStyle name="Uwaga 2 19 28 2" xfId="37587"/>
    <cellStyle name="Uwaga 2 19 28 3" xfId="37588"/>
    <cellStyle name="Uwaga 2 19 29" xfId="37589"/>
    <cellStyle name="Uwaga 2 19 29 2" xfId="37590"/>
    <cellStyle name="Uwaga 2 19 29 3" xfId="37591"/>
    <cellStyle name="Uwaga 2 19 3" xfId="37592"/>
    <cellStyle name="Uwaga 2 19 3 2" xfId="37593"/>
    <cellStyle name="Uwaga 2 19 3 3" xfId="37594"/>
    <cellStyle name="Uwaga 2 19 3 4" xfId="37595"/>
    <cellStyle name="Uwaga 2 19 30" xfId="37596"/>
    <cellStyle name="Uwaga 2 19 30 2" xfId="37597"/>
    <cellStyle name="Uwaga 2 19 30 3" xfId="37598"/>
    <cellStyle name="Uwaga 2 19 31" xfId="37599"/>
    <cellStyle name="Uwaga 2 19 31 2" xfId="37600"/>
    <cellStyle name="Uwaga 2 19 31 3" xfId="37601"/>
    <cellStyle name="Uwaga 2 19 32" xfId="37602"/>
    <cellStyle name="Uwaga 2 19 32 2" xfId="37603"/>
    <cellStyle name="Uwaga 2 19 32 3" xfId="37604"/>
    <cellStyle name="Uwaga 2 19 33" xfId="37605"/>
    <cellStyle name="Uwaga 2 19 33 2" xfId="37606"/>
    <cellStyle name="Uwaga 2 19 33 3" xfId="37607"/>
    <cellStyle name="Uwaga 2 19 34" xfId="37608"/>
    <cellStyle name="Uwaga 2 19 34 2" xfId="37609"/>
    <cellStyle name="Uwaga 2 19 34 3" xfId="37610"/>
    <cellStyle name="Uwaga 2 19 35" xfId="37611"/>
    <cellStyle name="Uwaga 2 19 35 2" xfId="37612"/>
    <cellStyle name="Uwaga 2 19 35 3" xfId="37613"/>
    <cellStyle name="Uwaga 2 19 36" xfId="37614"/>
    <cellStyle name="Uwaga 2 19 36 2" xfId="37615"/>
    <cellStyle name="Uwaga 2 19 36 3" xfId="37616"/>
    <cellStyle name="Uwaga 2 19 37" xfId="37617"/>
    <cellStyle name="Uwaga 2 19 37 2" xfId="37618"/>
    <cellStyle name="Uwaga 2 19 37 3" xfId="37619"/>
    <cellStyle name="Uwaga 2 19 38" xfId="37620"/>
    <cellStyle name="Uwaga 2 19 38 2" xfId="37621"/>
    <cellStyle name="Uwaga 2 19 38 3" xfId="37622"/>
    <cellStyle name="Uwaga 2 19 39" xfId="37623"/>
    <cellStyle name="Uwaga 2 19 39 2" xfId="37624"/>
    <cellStyle name="Uwaga 2 19 39 3" xfId="37625"/>
    <cellStyle name="Uwaga 2 19 4" xfId="37626"/>
    <cellStyle name="Uwaga 2 19 4 2" xfId="37627"/>
    <cellStyle name="Uwaga 2 19 4 3" xfId="37628"/>
    <cellStyle name="Uwaga 2 19 4 4" xfId="37629"/>
    <cellStyle name="Uwaga 2 19 40" xfId="37630"/>
    <cellStyle name="Uwaga 2 19 40 2" xfId="37631"/>
    <cellStyle name="Uwaga 2 19 40 3" xfId="37632"/>
    <cellStyle name="Uwaga 2 19 41" xfId="37633"/>
    <cellStyle name="Uwaga 2 19 41 2" xfId="37634"/>
    <cellStyle name="Uwaga 2 19 41 3" xfId="37635"/>
    <cellStyle name="Uwaga 2 19 42" xfId="37636"/>
    <cellStyle name="Uwaga 2 19 42 2" xfId="37637"/>
    <cellStyle name="Uwaga 2 19 42 3" xfId="37638"/>
    <cellStyle name="Uwaga 2 19 43" xfId="37639"/>
    <cellStyle name="Uwaga 2 19 43 2" xfId="37640"/>
    <cellStyle name="Uwaga 2 19 43 3" xfId="37641"/>
    <cellStyle name="Uwaga 2 19 44" xfId="37642"/>
    <cellStyle name="Uwaga 2 19 44 2" xfId="37643"/>
    <cellStyle name="Uwaga 2 19 44 3" xfId="37644"/>
    <cellStyle name="Uwaga 2 19 45" xfId="37645"/>
    <cellStyle name="Uwaga 2 19 45 2" xfId="37646"/>
    <cellStyle name="Uwaga 2 19 45 3" xfId="37647"/>
    <cellStyle name="Uwaga 2 19 46" xfId="37648"/>
    <cellStyle name="Uwaga 2 19 46 2" xfId="37649"/>
    <cellStyle name="Uwaga 2 19 46 3" xfId="37650"/>
    <cellStyle name="Uwaga 2 19 47" xfId="37651"/>
    <cellStyle name="Uwaga 2 19 47 2" xfId="37652"/>
    <cellStyle name="Uwaga 2 19 47 3" xfId="37653"/>
    <cellStyle name="Uwaga 2 19 48" xfId="37654"/>
    <cellStyle name="Uwaga 2 19 48 2" xfId="37655"/>
    <cellStyle name="Uwaga 2 19 48 3" xfId="37656"/>
    <cellStyle name="Uwaga 2 19 49" xfId="37657"/>
    <cellStyle name="Uwaga 2 19 49 2" xfId="37658"/>
    <cellStyle name="Uwaga 2 19 49 3" xfId="37659"/>
    <cellStyle name="Uwaga 2 19 5" xfId="37660"/>
    <cellStyle name="Uwaga 2 19 5 2" xfId="37661"/>
    <cellStyle name="Uwaga 2 19 5 3" xfId="37662"/>
    <cellStyle name="Uwaga 2 19 5 4" xfId="37663"/>
    <cellStyle name="Uwaga 2 19 50" xfId="37664"/>
    <cellStyle name="Uwaga 2 19 50 2" xfId="37665"/>
    <cellStyle name="Uwaga 2 19 50 3" xfId="37666"/>
    <cellStyle name="Uwaga 2 19 51" xfId="37667"/>
    <cellStyle name="Uwaga 2 19 51 2" xfId="37668"/>
    <cellStyle name="Uwaga 2 19 51 3" xfId="37669"/>
    <cellStyle name="Uwaga 2 19 52" xfId="37670"/>
    <cellStyle name="Uwaga 2 19 52 2" xfId="37671"/>
    <cellStyle name="Uwaga 2 19 52 3" xfId="37672"/>
    <cellStyle name="Uwaga 2 19 53" xfId="37673"/>
    <cellStyle name="Uwaga 2 19 53 2" xfId="37674"/>
    <cellStyle name="Uwaga 2 19 53 3" xfId="37675"/>
    <cellStyle name="Uwaga 2 19 54" xfId="37676"/>
    <cellStyle name="Uwaga 2 19 54 2" xfId="37677"/>
    <cellStyle name="Uwaga 2 19 54 3" xfId="37678"/>
    <cellStyle name="Uwaga 2 19 55" xfId="37679"/>
    <cellStyle name="Uwaga 2 19 55 2" xfId="37680"/>
    <cellStyle name="Uwaga 2 19 55 3" xfId="37681"/>
    <cellStyle name="Uwaga 2 19 56" xfId="37682"/>
    <cellStyle name="Uwaga 2 19 56 2" xfId="37683"/>
    <cellStyle name="Uwaga 2 19 56 3" xfId="37684"/>
    <cellStyle name="Uwaga 2 19 57" xfId="37685"/>
    <cellStyle name="Uwaga 2 19 58" xfId="37686"/>
    <cellStyle name="Uwaga 2 19 6" xfId="37687"/>
    <cellStyle name="Uwaga 2 19 6 2" xfId="37688"/>
    <cellStyle name="Uwaga 2 19 6 3" xfId="37689"/>
    <cellStyle name="Uwaga 2 19 6 4" xfId="37690"/>
    <cellStyle name="Uwaga 2 19 7" xfId="37691"/>
    <cellStyle name="Uwaga 2 19 7 2" xfId="37692"/>
    <cellStyle name="Uwaga 2 19 7 3" xfId="37693"/>
    <cellStyle name="Uwaga 2 19 7 4" xfId="37694"/>
    <cellStyle name="Uwaga 2 19 8" xfId="37695"/>
    <cellStyle name="Uwaga 2 19 8 2" xfId="37696"/>
    <cellStyle name="Uwaga 2 19 8 3" xfId="37697"/>
    <cellStyle name="Uwaga 2 19 8 4" xfId="37698"/>
    <cellStyle name="Uwaga 2 19 9" xfId="37699"/>
    <cellStyle name="Uwaga 2 19 9 2" xfId="37700"/>
    <cellStyle name="Uwaga 2 19 9 3" xfId="37701"/>
    <cellStyle name="Uwaga 2 19 9 4" xfId="37702"/>
    <cellStyle name="Uwaga 2 2" xfId="37703"/>
    <cellStyle name="Uwaga 2 2 10" xfId="37704"/>
    <cellStyle name="Uwaga 2 2 10 2" xfId="37705"/>
    <cellStyle name="Uwaga 2 2 10 3" xfId="37706"/>
    <cellStyle name="Uwaga 2 2 10 4" xfId="37707"/>
    <cellStyle name="Uwaga 2 2 11" xfId="37708"/>
    <cellStyle name="Uwaga 2 2 11 2" xfId="37709"/>
    <cellStyle name="Uwaga 2 2 11 3" xfId="37710"/>
    <cellStyle name="Uwaga 2 2 11 4" xfId="37711"/>
    <cellStyle name="Uwaga 2 2 12" xfId="37712"/>
    <cellStyle name="Uwaga 2 2 12 2" xfId="37713"/>
    <cellStyle name="Uwaga 2 2 12 3" xfId="37714"/>
    <cellStyle name="Uwaga 2 2 12 4" xfId="37715"/>
    <cellStyle name="Uwaga 2 2 13" xfId="37716"/>
    <cellStyle name="Uwaga 2 2 13 2" xfId="37717"/>
    <cellStyle name="Uwaga 2 2 13 3" xfId="37718"/>
    <cellStyle name="Uwaga 2 2 13 4" xfId="37719"/>
    <cellStyle name="Uwaga 2 2 14" xfId="37720"/>
    <cellStyle name="Uwaga 2 2 14 2" xfId="37721"/>
    <cellStyle name="Uwaga 2 2 14 3" xfId="37722"/>
    <cellStyle name="Uwaga 2 2 14 4" xfId="37723"/>
    <cellStyle name="Uwaga 2 2 15" xfId="37724"/>
    <cellStyle name="Uwaga 2 2 15 2" xfId="37725"/>
    <cellStyle name="Uwaga 2 2 15 3" xfId="37726"/>
    <cellStyle name="Uwaga 2 2 15 4" xfId="37727"/>
    <cellStyle name="Uwaga 2 2 16" xfId="37728"/>
    <cellStyle name="Uwaga 2 2 16 2" xfId="37729"/>
    <cellStyle name="Uwaga 2 2 16 3" xfId="37730"/>
    <cellStyle name="Uwaga 2 2 16 4" xfId="37731"/>
    <cellStyle name="Uwaga 2 2 17" xfId="37732"/>
    <cellStyle name="Uwaga 2 2 17 2" xfId="37733"/>
    <cellStyle name="Uwaga 2 2 17 3" xfId="37734"/>
    <cellStyle name="Uwaga 2 2 17 4" xfId="37735"/>
    <cellStyle name="Uwaga 2 2 18" xfId="37736"/>
    <cellStyle name="Uwaga 2 2 18 2" xfId="37737"/>
    <cellStyle name="Uwaga 2 2 18 3" xfId="37738"/>
    <cellStyle name="Uwaga 2 2 18 4" xfId="37739"/>
    <cellStyle name="Uwaga 2 2 19" xfId="37740"/>
    <cellStyle name="Uwaga 2 2 19 2" xfId="37741"/>
    <cellStyle name="Uwaga 2 2 19 3" xfId="37742"/>
    <cellStyle name="Uwaga 2 2 19 4" xfId="37743"/>
    <cellStyle name="Uwaga 2 2 2" xfId="37744"/>
    <cellStyle name="Uwaga 2 2 2 2" xfId="37745"/>
    <cellStyle name="Uwaga 2 2 2 3" xfId="37746"/>
    <cellStyle name="Uwaga 2 2 2 4" xfId="37747"/>
    <cellStyle name="Uwaga 2 2 20" xfId="37748"/>
    <cellStyle name="Uwaga 2 2 20 2" xfId="37749"/>
    <cellStyle name="Uwaga 2 2 20 3" xfId="37750"/>
    <cellStyle name="Uwaga 2 2 20 4" xfId="37751"/>
    <cellStyle name="Uwaga 2 2 21" xfId="37752"/>
    <cellStyle name="Uwaga 2 2 21 2" xfId="37753"/>
    <cellStyle name="Uwaga 2 2 21 3" xfId="37754"/>
    <cellStyle name="Uwaga 2 2 22" xfId="37755"/>
    <cellStyle name="Uwaga 2 2 22 2" xfId="37756"/>
    <cellStyle name="Uwaga 2 2 22 3" xfId="37757"/>
    <cellStyle name="Uwaga 2 2 23" xfId="37758"/>
    <cellStyle name="Uwaga 2 2 23 2" xfId="37759"/>
    <cellStyle name="Uwaga 2 2 23 3" xfId="37760"/>
    <cellStyle name="Uwaga 2 2 24" xfId="37761"/>
    <cellStyle name="Uwaga 2 2 24 2" xfId="37762"/>
    <cellStyle name="Uwaga 2 2 24 3" xfId="37763"/>
    <cellStyle name="Uwaga 2 2 25" xfId="37764"/>
    <cellStyle name="Uwaga 2 2 25 2" xfId="37765"/>
    <cellStyle name="Uwaga 2 2 25 3" xfId="37766"/>
    <cellStyle name="Uwaga 2 2 26" xfId="37767"/>
    <cellStyle name="Uwaga 2 2 26 2" xfId="37768"/>
    <cellStyle name="Uwaga 2 2 26 3" xfId="37769"/>
    <cellStyle name="Uwaga 2 2 27" xfId="37770"/>
    <cellStyle name="Uwaga 2 2 27 2" xfId="37771"/>
    <cellStyle name="Uwaga 2 2 27 3" xfId="37772"/>
    <cellStyle name="Uwaga 2 2 28" xfId="37773"/>
    <cellStyle name="Uwaga 2 2 28 2" xfId="37774"/>
    <cellStyle name="Uwaga 2 2 28 3" xfId="37775"/>
    <cellStyle name="Uwaga 2 2 29" xfId="37776"/>
    <cellStyle name="Uwaga 2 2 29 2" xfId="37777"/>
    <cellStyle name="Uwaga 2 2 29 3" xfId="37778"/>
    <cellStyle name="Uwaga 2 2 3" xfId="37779"/>
    <cellStyle name="Uwaga 2 2 3 2" xfId="37780"/>
    <cellStyle name="Uwaga 2 2 3 3" xfId="37781"/>
    <cellStyle name="Uwaga 2 2 3 4" xfId="37782"/>
    <cellStyle name="Uwaga 2 2 30" xfId="37783"/>
    <cellStyle name="Uwaga 2 2 30 2" xfId="37784"/>
    <cellStyle name="Uwaga 2 2 30 3" xfId="37785"/>
    <cellStyle name="Uwaga 2 2 31" xfId="37786"/>
    <cellStyle name="Uwaga 2 2 31 2" xfId="37787"/>
    <cellStyle name="Uwaga 2 2 31 3" xfId="37788"/>
    <cellStyle name="Uwaga 2 2 32" xfId="37789"/>
    <cellStyle name="Uwaga 2 2 32 2" xfId="37790"/>
    <cellStyle name="Uwaga 2 2 32 3" xfId="37791"/>
    <cellStyle name="Uwaga 2 2 33" xfId="37792"/>
    <cellStyle name="Uwaga 2 2 33 2" xfId="37793"/>
    <cellStyle name="Uwaga 2 2 33 3" xfId="37794"/>
    <cellStyle name="Uwaga 2 2 34" xfId="37795"/>
    <cellStyle name="Uwaga 2 2 34 2" xfId="37796"/>
    <cellStyle name="Uwaga 2 2 34 3" xfId="37797"/>
    <cellStyle name="Uwaga 2 2 35" xfId="37798"/>
    <cellStyle name="Uwaga 2 2 35 2" xfId="37799"/>
    <cellStyle name="Uwaga 2 2 35 3" xfId="37800"/>
    <cellStyle name="Uwaga 2 2 36" xfId="37801"/>
    <cellStyle name="Uwaga 2 2 36 2" xfId="37802"/>
    <cellStyle name="Uwaga 2 2 36 3" xfId="37803"/>
    <cellStyle name="Uwaga 2 2 37" xfId="37804"/>
    <cellStyle name="Uwaga 2 2 37 2" xfId="37805"/>
    <cellStyle name="Uwaga 2 2 37 3" xfId="37806"/>
    <cellStyle name="Uwaga 2 2 38" xfId="37807"/>
    <cellStyle name="Uwaga 2 2 38 2" xfId="37808"/>
    <cellStyle name="Uwaga 2 2 38 3" xfId="37809"/>
    <cellStyle name="Uwaga 2 2 39" xfId="37810"/>
    <cellStyle name="Uwaga 2 2 39 2" xfId="37811"/>
    <cellStyle name="Uwaga 2 2 39 3" xfId="37812"/>
    <cellStyle name="Uwaga 2 2 4" xfId="37813"/>
    <cellStyle name="Uwaga 2 2 4 2" xfId="37814"/>
    <cellStyle name="Uwaga 2 2 4 3" xfId="37815"/>
    <cellStyle name="Uwaga 2 2 4 4" xfId="37816"/>
    <cellStyle name="Uwaga 2 2 40" xfId="37817"/>
    <cellStyle name="Uwaga 2 2 40 2" xfId="37818"/>
    <cellStyle name="Uwaga 2 2 40 3" xfId="37819"/>
    <cellStyle name="Uwaga 2 2 41" xfId="37820"/>
    <cellStyle name="Uwaga 2 2 41 2" xfId="37821"/>
    <cellStyle name="Uwaga 2 2 41 3" xfId="37822"/>
    <cellStyle name="Uwaga 2 2 42" xfId="37823"/>
    <cellStyle name="Uwaga 2 2 42 2" xfId="37824"/>
    <cellStyle name="Uwaga 2 2 42 3" xfId="37825"/>
    <cellStyle name="Uwaga 2 2 43" xfId="37826"/>
    <cellStyle name="Uwaga 2 2 43 2" xfId="37827"/>
    <cellStyle name="Uwaga 2 2 43 3" xfId="37828"/>
    <cellStyle name="Uwaga 2 2 44" xfId="37829"/>
    <cellStyle name="Uwaga 2 2 44 2" xfId="37830"/>
    <cellStyle name="Uwaga 2 2 44 3" xfId="37831"/>
    <cellStyle name="Uwaga 2 2 45" xfId="37832"/>
    <cellStyle name="Uwaga 2 2 45 2" xfId="37833"/>
    <cellStyle name="Uwaga 2 2 45 3" xfId="37834"/>
    <cellStyle name="Uwaga 2 2 46" xfId="37835"/>
    <cellStyle name="Uwaga 2 2 46 2" xfId="37836"/>
    <cellStyle name="Uwaga 2 2 46 3" xfId="37837"/>
    <cellStyle name="Uwaga 2 2 47" xfId="37838"/>
    <cellStyle name="Uwaga 2 2 47 2" xfId="37839"/>
    <cellStyle name="Uwaga 2 2 47 3" xfId="37840"/>
    <cellStyle name="Uwaga 2 2 48" xfId="37841"/>
    <cellStyle name="Uwaga 2 2 48 2" xfId="37842"/>
    <cellStyle name="Uwaga 2 2 48 3" xfId="37843"/>
    <cellStyle name="Uwaga 2 2 49" xfId="37844"/>
    <cellStyle name="Uwaga 2 2 49 2" xfId="37845"/>
    <cellStyle name="Uwaga 2 2 49 3" xfId="37846"/>
    <cellStyle name="Uwaga 2 2 5" xfId="37847"/>
    <cellStyle name="Uwaga 2 2 5 2" xfId="37848"/>
    <cellStyle name="Uwaga 2 2 5 3" xfId="37849"/>
    <cellStyle name="Uwaga 2 2 5 4" xfId="37850"/>
    <cellStyle name="Uwaga 2 2 50" xfId="37851"/>
    <cellStyle name="Uwaga 2 2 50 2" xfId="37852"/>
    <cellStyle name="Uwaga 2 2 50 3" xfId="37853"/>
    <cellStyle name="Uwaga 2 2 51" xfId="37854"/>
    <cellStyle name="Uwaga 2 2 51 2" xfId="37855"/>
    <cellStyle name="Uwaga 2 2 51 3" xfId="37856"/>
    <cellStyle name="Uwaga 2 2 52" xfId="37857"/>
    <cellStyle name="Uwaga 2 2 52 2" xfId="37858"/>
    <cellStyle name="Uwaga 2 2 52 3" xfId="37859"/>
    <cellStyle name="Uwaga 2 2 53" xfId="37860"/>
    <cellStyle name="Uwaga 2 2 53 2" xfId="37861"/>
    <cellStyle name="Uwaga 2 2 53 3" xfId="37862"/>
    <cellStyle name="Uwaga 2 2 54" xfId="37863"/>
    <cellStyle name="Uwaga 2 2 54 2" xfId="37864"/>
    <cellStyle name="Uwaga 2 2 54 3" xfId="37865"/>
    <cellStyle name="Uwaga 2 2 55" xfId="37866"/>
    <cellStyle name="Uwaga 2 2 55 2" xfId="37867"/>
    <cellStyle name="Uwaga 2 2 55 3" xfId="37868"/>
    <cellStyle name="Uwaga 2 2 56" xfId="37869"/>
    <cellStyle name="Uwaga 2 2 56 2" xfId="37870"/>
    <cellStyle name="Uwaga 2 2 56 3" xfId="37871"/>
    <cellStyle name="Uwaga 2 2 57" xfId="37872"/>
    <cellStyle name="Uwaga 2 2 58" xfId="37873"/>
    <cellStyle name="Uwaga 2 2 59" xfId="37874"/>
    <cellStyle name="Uwaga 2 2 6" xfId="37875"/>
    <cellStyle name="Uwaga 2 2 6 2" xfId="37876"/>
    <cellStyle name="Uwaga 2 2 6 3" xfId="37877"/>
    <cellStyle name="Uwaga 2 2 6 4" xfId="37878"/>
    <cellStyle name="Uwaga 2 2 7" xfId="37879"/>
    <cellStyle name="Uwaga 2 2 7 2" xfId="37880"/>
    <cellStyle name="Uwaga 2 2 7 3" xfId="37881"/>
    <cellStyle name="Uwaga 2 2 7 4" xfId="37882"/>
    <cellStyle name="Uwaga 2 2 8" xfId="37883"/>
    <cellStyle name="Uwaga 2 2 8 2" xfId="37884"/>
    <cellStyle name="Uwaga 2 2 8 3" xfId="37885"/>
    <cellStyle name="Uwaga 2 2 8 4" xfId="37886"/>
    <cellStyle name="Uwaga 2 2 9" xfId="37887"/>
    <cellStyle name="Uwaga 2 2 9 2" xfId="37888"/>
    <cellStyle name="Uwaga 2 2 9 3" xfId="37889"/>
    <cellStyle name="Uwaga 2 2 9 4" xfId="37890"/>
    <cellStyle name="Uwaga 2 20" xfId="37891"/>
    <cellStyle name="Uwaga 2 20 10" xfId="37892"/>
    <cellStyle name="Uwaga 2 20 10 2" xfId="37893"/>
    <cellStyle name="Uwaga 2 20 10 3" xfId="37894"/>
    <cellStyle name="Uwaga 2 20 10 4" xfId="37895"/>
    <cellStyle name="Uwaga 2 20 11" xfId="37896"/>
    <cellStyle name="Uwaga 2 20 11 2" xfId="37897"/>
    <cellStyle name="Uwaga 2 20 11 3" xfId="37898"/>
    <cellStyle name="Uwaga 2 20 11 4" xfId="37899"/>
    <cellStyle name="Uwaga 2 20 12" xfId="37900"/>
    <cellStyle name="Uwaga 2 20 12 2" xfId="37901"/>
    <cellStyle name="Uwaga 2 20 12 3" xfId="37902"/>
    <cellStyle name="Uwaga 2 20 12 4" xfId="37903"/>
    <cellStyle name="Uwaga 2 20 13" xfId="37904"/>
    <cellStyle name="Uwaga 2 20 13 2" xfId="37905"/>
    <cellStyle name="Uwaga 2 20 13 3" xfId="37906"/>
    <cellStyle name="Uwaga 2 20 13 4" xfId="37907"/>
    <cellStyle name="Uwaga 2 20 14" xfId="37908"/>
    <cellStyle name="Uwaga 2 20 14 2" xfId="37909"/>
    <cellStyle name="Uwaga 2 20 14 3" xfId="37910"/>
    <cellStyle name="Uwaga 2 20 14 4" xfId="37911"/>
    <cellStyle name="Uwaga 2 20 15" xfId="37912"/>
    <cellStyle name="Uwaga 2 20 15 2" xfId="37913"/>
    <cellStyle name="Uwaga 2 20 15 3" xfId="37914"/>
    <cellStyle name="Uwaga 2 20 15 4" xfId="37915"/>
    <cellStyle name="Uwaga 2 20 16" xfId="37916"/>
    <cellStyle name="Uwaga 2 20 16 2" xfId="37917"/>
    <cellStyle name="Uwaga 2 20 16 3" xfId="37918"/>
    <cellStyle name="Uwaga 2 20 16 4" xfId="37919"/>
    <cellStyle name="Uwaga 2 20 17" xfId="37920"/>
    <cellStyle name="Uwaga 2 20 17 2" xfId="37921"/>
    <cellStyle name="Uwaga 2 20 17 3" xfId="37922"/>
    <cellStyle name="Uwaga 2 20 17 4" xfId="37923"/>
    <cellStyle name="Uwaga 2 20 18" xfId="37924"/>
    <cellStyle name="Uwaga 2 20 18 2" xfId="37925"/>
    <cellStyle name="Uwaga 2 20 18 3" xfId="37926"/>
    <cellStyle name="Uwaga 2 20 18 4" xfId="37927"/>
    <cellStyle name="Uwaga 2 20 19" xfId="37928"/>
    <cellStyle name="Uwaga 2 20 19 2" xfId="37929"/>
    <cellStyle name="Uwaga 2 20 19 3" xfId="37930"/>
    <cellStyle name="Uwaga 2 20 19 4" xfId="37931"/>
    <cellStyle name="Uwaga 2 20 2" xfId="37932"/>
    <cellStyle name="Uwaga 2 20 2 2" xfId="37933"/>
    <cellStyle name="Uwaga 2 20 2 3" xfId="37934"/>
    <cellStyle name="Uwaga 2 20 2 4" xfId="37935"/>
    <cellStyle name="Uwaga 2 20 20" xfId="37936"/>
    <cellStyle name="Uwaga 2 20 20 2" xfId="37937"/>
    <cellStyle name="Uwaga 2 20 20 3" xfId="37938"/>
    <cellStyle name="Uwaga 2 20 20 4" xfId="37939"/>
    <cellStyle name="Uwaga 2 20 21" xfId="37940"/>
    <cellStyle name="Uwaga 2 20 21 2" xfId="37941"/>
    <cellStyle name="Uwaga 2 20 21 3" xfId="37942"/>
    <cellStyle name="Uwaga 2 20 22" xfId="37943"/>
    <cellStyle name="Uwaga 2 20 22 2" xfId="37944"/>
    <cellStyle name="Uwaga 2 20 22 3" xfId="37945"/>
    <cellStyle name="Uwaga 2 20 23" xfId="37946"/>
    <cellStyle name="Uwaga 2 20 23 2" xfId="37947"/>
    <cellStyle name="Uwaga 2 20 23 3" xfId="37948"/>
    <cellStyle name="Uwaga 2 20 24" xfId="37949"/>
    <cellStyle name="Uwaga 2 20 24 2" xfId="37950"/>
    <cellStyle name="Uwaga 2 20 24 3" xfId="37951"/>
    <cellStyle name="Uwaga 2 20 25" xfId="37952"/>
    <cellStyle name="Uwaga 2 20 25 2" xfId="37953"/>
    <cellStyle name="Uwaga 2 20 25 3" xfId="37954"/>
    <cellStyle name="Uwaga 2 20 26" xfId="37955"/>
    <cellStyle name="Uwaga 2 20 26 2" xfId="37956"/>
    <cellStyle name="Uwaga 2 20 26 3" xfId="37957"/>
    <cellStyle name="Uwaga 2 20 27" xfId="37958"/>
    <cellStyle name="Uwaga 2 20 27 2" xfId="37959"/>
    <cellStyle name="Uwaga 2 20 27 3" xfId="37960"/>
    <cellStyle name="Uwaga 2 20 28" xfId="37961"/>
    <cellStyle name="Uwaga 2 20 28 2" xfId="37962"/>
    <cellStyle name="Uwaga 2 20 28 3" xfId="37963"/>
    <cellStyle name="Uwaga 2 20 29" xfId="37964"/>
    <cellStyle name="Uwaga 2 20 29 2" xfId="37965"/>
    <cellStyle name="Uwaga 2 20 29 3" xfId="37966"/>
    <cellStyle name="Uwaga 2 20 3" xfId="37967"/>
    <cellStyle name="Uwaga 2 20 3 2" xfId="37968"/>
    <cellStyle name="Uwaga 2 20 3 3" xfId="37969"/>
    <cellStyle name="Uwaga 2 20 3 4" xfId="37970"/>
    <cellStyle name="Uwaga 2 20 30" xfId="37971"/>
    <cellStyle name="Uwaga 2 20 30 2" xfId="37972"/>
    <cellStyle name="Uwaga 2 20 30 3" xfId="37973"/>
    <cellStyle name="Uwaga 2 20 31" xfId="37974"/>
    <cellStyle name="Uwaga 2 20 31 2" xfId="37975"/>
    <cellStyle name="Uwaga 2 20 31 3" xfId="37976"/>
    <cellStyle name="Uwaga 2 20 32" xfId="37977"/>
    <cellStyle name="Uwaga 2 20 32 2" xfId="37978"/>
    <cellStyle name="Uwaga 2 20 32 3" xfId="37979"/>
    <cellStyle name="Uwaga 2 20 33" xfId="37980"/>
    <cellStyle name="Uwaga 2 20 33 2" xfId="37981"/>
    <cellStyle name="Uwaga 2 20 33 3" xfId="37982"/>
    <cellStyle name="Uwaga 2 20 34" xfId="37983"/>
    <cellStyle name="Uwaga 2 20 34 2" xfId="37984"/>
    <cellStyle name="Uwaga 2 20 34 3" xfId="37985"/>
    <cellStyle name="Uwaga 2 20 35" xfId="37986"/>
    <cellStyle name="Uwaga 2 20 35 2" xfId="37987"/>
    <cellStyle name="Uwaga 2 20 35 3" xfId="37988"/>
    <cellStyle name="Uwaga 2 20 36" xfId="37989"/>
    <cellStyle name="Uwaga 2 20 36 2" xfId="37990"/>
    <cellStyle name="Uwaga 2 20 36 3" xfId="37991"/>
    <cellStyle name="Uwaga 2 20 37" xfId="37992"/>
    <cellStyle name="Uwaga 2 20 37 2" xfId="37993"/>
    <cellStyle name="Uwaga 2 20 37 3" xfId="37994"/>
    <cellStyle name="Uwaga 2 20 38" xfId="37995"/>
    <cellStyle name="Uwaga 2 20 38 2" xfId="37996"/>
    <cellStyle name="Uwaga 2 20 38 3" xfId="37997"/>
    <cellStyle name="Uwaga 2 20 39" xfId="37998"/>
    <cellStyle name="Uwaga 2 20 39 2" xfId="37999"/>
    <cellStyle name="Uwaga 2 20 39 3" xfId="38000"/>
    <cellStyle name="Uwaga 2 20 4" xfId="38001"/>
    <cellStyle name="Uwaga 2 20 4 2" xfId="38002"/>
    <cellStyle name="Uwaga 2 20 4 3" xfId="38003"/>
    <cellStyle name="Uwaga 2 20 4 4" xfId="38004"/>
    <cellStyle name="Uwaga 2 20 40" xfId="38005"/>
    <cellStyle name="Uwaga 2 20 40 2" xfId="38006"/>
    <cellStyle name="Uwaga 2 20 40 3" xfId="38007"/>
    <cellStyle name="Uwaga 2 20 41" xfId="38008"/>
    <cellStyle name="Uwaga 2 20 41 2" xfId="38009"/>
    <cellStyle name="Uwaga 2 20 41 3" xfId="38010"/>
    <cellStyle name="Uwaga 2 20 42" xfId="38011"/>
    <cellStyle name="Uwaga 2 20 42 2" xfId="38012"/>
    <cellStyle name="Uwaga 2 20 42 3" xfId="38013"/>
    <cellStyle name="Uwaga 2 20 43" xfId="38014"/>
    <cellStyle name="Uwaga 2 20 43 2" xfId="38015"/>
    <cellStyle name="Uwaga 2 20 43 3" xfId="38016"/>
    <cellStyle name="Uwaga 2 20 44" xfId="38017"/>
    <cellStyle name="Uwaga 2 20 44 2" xfId="38018"/>
    <cellStyle name="Uwaga 2 20 44 3" xfId="38019"/>
    <cellStyle name="Uwaga 2 20 45" xfId="38020"/>
    <cellStyle name="Uwaga 2 20 45 2" xfId="38021"/>
    <cellStyle name="Uwaga 2 20 45 3" xfId="38022"/>
    <cellStyle name="Uwaga 2 20 46" xfId="38023"/>
    <cellStyle name="Uwaga 2 20 46 2" xfId="38024"/>
    <cellStyle name="Uwaga 2 20 46 3" xfId="38025"/>
    <cellStyle name="Uwaga 2 20 47" xfId="38026"/>
    <cellStyle name="Uwaga 2 20 47 2" xfId="38027"/>
    <cellStyle name="Uwaga 2 20 47 3" xfId="38028"/>
    <cellStyle name="Uwaga 2 20 48" xfId="38029"/>
    <cellStyle name="Uwaga 2 20 48 2" xfId="38030"/>
    <cellStyle name="Uwaga 2 20 48 3" xfId="38031"/>
    <cellStyle name="Uwaga 2 20 49" xfId="38032"/>
    <cellStyle name="Uwaga 2 20 49 2" xfId="38033"/>
    <cellStyle name="Uwaga 2 20 49 3" xfId="38034"/>
    <cellStyle name="Uwaga 2 20 5" xfId="38035"/>
    <cellStyle name="Uwaga 2 20 5 2" xfId="38036"/>
    <cellStyle name="Uwaga 2 20 5 3" xfId="38037"/>
    <cellStyle name="Uwaga 2 20 5 4" xfId="38038"/>
    <cellStyle name="Uwaga 2 20 50" xfId="38039"/>
    <cellStyle name="Uwaga 2 20 50 2" xfId="38040"/>
    <cellStyle name="Uwaga 2 20 50 3" xfId="38041"/>
    <cellStyle name="Uwaga 2 20 51" xfId="38042"/>
    <cellStyle name="Uwaga 2 20 51 2" xfId="38043"/>
    <cellStyle name="Uwaga 2 20 51 3" xfId="38044"/>
    <cellStyle name="Uwaga 2 20 52" xfId="38045"/>
    <cellStyle name="Uwaga 2 20 52 2" xfId="38046"/>
    <cellStyle name="Uwaga 2 20 52 3" xfId="38047"/>
    <cellStyle name="Uwaga 2 20 53" xfId="38048"/>
    <cellStyle name="Uwaga 2 20 53 2" xfId="38049"/>
    <cellStyle name="Uwaga 2 20 53 3" xfId="38050"/>
    <cellStyle name="Uwaga 2 20 54" xfId="38051"/>
    <cellStyle name="Uwaga 2 20 54 2" xfId="38052"/>
    <cellStyle name="Uwaga 2 20 54 3" xfId="38053"/>
    <cellStyle name="Uwaga 2 20 55" xfId="38054"/>
    <cellStyle name="Uwaga 2 20 55 2" xfId="38055"/>
    <cellStyle name="Uwaga 2 20 55 3" xfId="38056"/>
    <cellStyle name="Uwaga 2 20 56" xfId="38057"/>
    <cellStyle name="Uwaga 2 20 56 2" xfId="38058"/>
    <cellStyle name="Uwaga 2 20 56 3" xfId="38059"/>
    <cellStyle name="Uwaga 2 20 57" xfId="38060"/>
    <cellStyle name="Uwaga 2 20 58" xfId="38061"/>
    <cellStyle name="Uwaga 2 20 6" xfId="38062"/>
    <cellStyle name="Uwaga 2 20 6 2" xfId="38063"/>
    <cellStyle name="Uwaga 2 20 6 3" xfId="38064"/>
    <cellStyle name="Uwaga 2 20 6 4" xfId="38065"/>
    <cellStyle name="Uwaga 2 20 7" xfId="38066"/>
    <cellStyle name="Uwaga 2 20 7 2" xfId="38067"/>
    <cellStyle name="Uwaga 2 20 7 3" xfId="38068"/>
    <cellStyle name="Uwaga 2 20 7 4" xfId="38069"/>
    <cellStyle name="Uwaga 2 20 8" xfId="38070"/>
    <cellStyle name="Uwaga 2 20 8 2" xfId="38071"/>
    <cellStyle name="Uwaga 2 20 8 3" xfId="38072"/>
    <cellStyle name="Uwaga 2 20 8 4" xfId="38073"/>
    <cellStyle name="Uwaga 2 20 9" xfId="38074"/>
    <cellStyle name="Uwaga 2 20 9 2" xfId="38075"/>
    <cellStyle name="Uwaga 2 20 9 3" xfId="38076"/>
    <cellStyle name="Uwaga 2 20 9 4" xfId="38077"/>
    <cellStyle name="Uwaga 2 21" xfId="38078"/>
    <cellStyle name="Uwaga 2 21 10" xfId="38079"/>
    <cellStyle name="Uwaga 2 21 10 2" xfId="38080"/>
    <cellStyle name="Uwaga 2 21 10 3" xfId="38081"/>
    <cellStyle name="Uwaga 2 21 10 4" xfId="38082"/>
    <cellStyle name="Uwaga 2 21 11" xfId="38083"/>
    <cellStyle name="Uwaga 2 21 11 2" xfId="38084"/>
    <cellStyle name="Uwaga 2 21 11 3" xfId="38085"/>
    <cellStyle name="Uwaga 2 21 11 4" xfId="38086"/>
    <cellStyle name="Uwaga 2 21 12" xfId="38087"/>
    <cellStyle name="Uwaga 2 21 12 2" xfId="38088"/>
    <cellStyle name="Uwaga 2 21 12 3" xfId="38089"/>
    <cellStyle name="Uwaga 2 21 12 4" xfId="38090"/>
    <cellStyle name="Uwaga 2 21 13" xfId="38091"/>
    <cellStyle name="Uwaga 2 21 13 2" xfId="38092"/>
    <cellStyle name="Uwaga 2 21 13 3" xfId="38093"/>
    <cellStyle name="Uwaga 2 21 13 4" xfId="38094"/>
    <cellStyle name="Uwaga 2 21 14" xfId="38095"/>
    <cellStyle name="Uwaga 2 21 14 2" xfId="38096"/>
    <cellStyle name="Uwaga 2 21 14 3" xfId="38097"/>
    <cellStyle name="Uwaga 2 21 14 4" xfId="38098"/>
    <cellStyle name="Uwaga 2 21 15" xfId="38099"/>
    <cellStyle name="Uwaga 2 21 15 2" xfId="38100"/>
    <cellStyle name="Uwaga 2 21 15 3" xfId="38101"/>
    <cellStyle name="Uwaga 2 21 15 4" xfId="38102"/>
    <cellStyle name="Uwaga 2 21 16" xfId="38103"/>
    <cellStyle name="Uwaga 2 21 16 2" xfId="38104"/>
    <cellStyle name="Uwaga 2 21 16 3" xfId="38105"/>
    <cellStyle name="Uwaga 2 21 16 4" xfId="38106"/>
    <cellStyle name="Uwaga 2 21 17" xfId="38107"/>
    <cellStyle name="Uwaga 2 21 17 2" xfId="38108"/>
    <cellStyle name="Uwaga 2 21 17 3" xfId="38109"/>
    <cellStyle name="Uwaga 2 21 17 4" xfId="38110"/>
    <cellStyle name="Uwaga 2 21 18" xfId="38111"/>
    <cellStyle name="Uwaga 2 21 18 2" xfId="38112"/>
    <cellStyle name="Uwaga 2 21 18 3" xfId="38113"/>
    <cellStyle name="Uwaga 2 21 18 4" xfId="38114"/>
    <cellStyle name="Uwaga 2 21 19" xfId="38115"/>
    <cellStyle name="Uwaga 2 21 19 2" xfId="38116"/>
    <cellStyle name="Uwaga 2 21 19 3" xfId="38117"/>
    <cellStyle name="Uwaga 2 21 19 4" xfId="38118"/>
    <cellStyle name="Uwaga 2 21 2" xfId="38119"/>
    <cellStyle name="Uwaga 2 21 2 2" xfId="38120"/>
    <cellStyle name="Uwaga 2 21 2 3" xfId="38121"/>
    <cellStyle name="Uwaga 2 21 2 4" xfId="38122"/>
    <cellStyle name="Uwaga 2 21 20" xfId="38123"/>
    <cellStyle name="Uwaga 2 21 20 2" xfId="38124"/>
    <cellStyle name="Uwaga 2 21 20 3" xfId="38125"/>
    <cellStyle name="Uwaga 2 21 20 4" xfId="38126"/>
    <cellStyle name="Uwaga 2 21 21" xfId="38127"/>
    <cellStyle name="Uwaga 2 21 21 2" xfId="38128"/>
    <cellStyle name="Uwaga 2 21 21 3" xfId="38129"/>
    <cellStyle name="Uwaga 2 21 22" xfId="38130"/>
    <cellStyle name="Uwaga 2 21 22 2" xfId="38131"/>
    <cellStyle name="Uwaga 2 21 22 3" xfId="38132"/>
    <cellStyle name="Uwaga 2 21 23" xfId="38133"/>
    <cellStyle name="Uwaga 2 21 23 2" xfId="38134"/>
    <cellStyle name="Uwaga 2 21 23 3" xfId="38135"/>
    <cellStyle name="Uwaga 2 21 24" xfId="38136"/>
    <cellStyle name="Uwaga 2 21 24 2" xfId="38137"/>
    <cellStyle name="Uwaga 2 21 24 3" xfId="38138"/>
    <cellStyle name="Uwaga 2 21 25" xfId="38139"/>
    <cellStyle name="Uwaga 2 21 25 2" xfId="38140"/>
    <cellStyle name="Uwaga 2 21 25 3" xfId="38141"/>
    <cellStyle name="Uwaga 2 21 26" xfId="38142"/>
    <cellStyle name="Uwaga 2 21 26 2" xfId="38143"/>
    <cellStyle name="Uwaga 2 21 26 3" xfId="38144"/>
    <cellStyle name="Uwaga 2 21 27" xfId="38145"/>
    <cellStyle name="Uwaga 2 21 27 2" xfId="38146"/>
    <cellStyle name="Uwaga 2 21 27 3" xfId="38147"/>
    <cellStyle name="Uwaga 2 21 28" xfId="38148"/>
    <cellStyle name="Uwaga 2 21 28 2" xfId="38149"/>
    <cellStyle name="Uwaga 2 21 28 3" xfId="38150"/>
    <cellStyle name="Uwaga 2 21 29" xfId="38151"/>
    <cellStyle name="Uwaga 2 21 29 2" xfId="38152"/>
    <cellStyle name="Uwaga 2 21 29 3" xfId="38153"/>
    <cellStyle name="Uwaga 2 21 3" xfId="38154"/>
    <cellStyle name="Uwaga 2 21 3 2" xfId="38155"/>
    <cellStyle name="Uwaga 2 21 3 3" xfId="38156"/>
    <cellStyle name="Uwaga 2 21 3 4" xfId="38157"/>
    <cellStyle name="Uwaga 2 21 30" xfId="38158"/>
    <cellStyle name="Uwaga 2 21 30 2" xfId="38159"/>
    <cellStyle name="Uwaga 2 21 30 3" xfId="38160"/>
    <cellStyle name="Uwaga 2 21 31" xfId="38161"/>
    <cellStyle name="Uwaga 2 21 31 2" xfId="38162"/>
    <cellStyle name="Uwaga 2 21 31 3" xfId="38163"/>
    <cellStyle name="Uwaga 2 21 32" xfId="38164"/>
    <cellStyle name="Uwaga 2 21 32 2" xfId="38165"/>
    <cellStyle name="Uwaga 2 21 32 3" xfId="38166"/>
    <cellStyle name="Uwaga 2 21 33" xfId="38167"/>
    <cellStyle name="Uwaga 2 21 33 2" xfId="38168"/>
    <cellStyle name="Uwaga 2 21 33 3" xfId="38169"/>
    <cellStyle name="Uwaga 2 21 34" xfId="38170"/>
    <cellStyle name="Uwaga 2 21 34 2" xfId="38171"/>
    <cellStyle name="Uwaga 2 21 34 3" xfId="38172"/>
    <cellStyle name="Uwaga 2 21 35" xfId="38173"/>
    <cellStyle name="Uwaga 2 21 35 2" xfId="38174"/>
    <cellStyle name="Uwaga 2 21 35 3" xfId="38175"/>
    <cellStyle name="Uwaga 2 21 36" xfId="38176"/>
    <cellStyle name="Uwaga 2 21 36 2" xfId="38177"/>
    <cellStyle name="Uwaga 2 21 36 3" xfId="38178"/>
    <cellStyle name="Uwaga 2 21 37" xfId="38179"/>
    <cellStyle name="Uwaga 2 21 37 2" xfId="38180"/>
    <cellStyle name="Uwaga 2 21 37 3" xfId="38181"/>
    <cellStyle name="Uwaga 2 21 38" xfId="38182"/>
    <cellStyle name="Uwaga 2 21 38 2" xfId="38183"/>
    <cellStyle name="Uwaga 2 21 38 3" xfId="38184"/>
    <cellStyle name="Uwaga 2 21 39" xfId="38185"/>
    <cellStyle name="Uwaga 2 21 39 2" xfId="38186"/>
    <cellStyle name="Uwaga 2 21 39 3" xfId="38187"/>
    <cellStyle name="Uwaga 2 21 4" xfId="38188"/>
    <cellStyle name="Uwaga 2 21 4 2" xfId="38189"/>
    <cellStyle name="Uwaga 2 21 4 3" xfId="38190"/>
    <cellStyle name="Uwaga 2 21 4 4" xfId="38191"/>
    <cellStyle name="Uwaga 2 21 40" xfId="38192"/>
    <cellStyle name="Uwaga 2 21 40 2" xfId="38193"/>
    <cellStyle name="Uwaga 2 21 40 3" xfId="38194"/>
    <cellStyle name="Uwaga 2 21 41" xfId="38195"/>
    <cellStyle name="Uwaga 2 21 41 2" xfId="38196"/>
    <cellStyle name="Uwaga 2 21 41 3" xfId="38197"/>
    <cellStyle name="Uwaga 2 21 42" xfId="38198"/>
    <cellStyle name="Uwaga 2 21 42 2" xfId="38199"/>
    <cellStyle name="Uwaga 2 21 42 3" xfId="38200"/>
    <cellStyle name="Uwaga 2 21 43" xfId="38201"/>
    <cellStyle name="Uwaga 2 21 43 2" xfId="38202"/>
    <cellStyle name="Uwaga 2 21 43 3" xfId="38203"/>
    <cellStyle name="Uwaga 2 21 44" xfId="38204"/>
    <cellStyle name="Uwaga 2 21 44 2" xfId="38205"/>
    <cellStyle name="Uwaga 2 21 44 3" xfId="38206"/>
    <cellStyle name="Uwaga 2 21 45" xfId="38207"/>
    <cellStyle name="Uwaga 2 21 45 2" xfId="38208"/>
    <cellStyle name="Uwaga 2 21 45 3" xfId="38209"/>
    <cellStyle name="Uwaga 2 21 46" xfId="38210"/>
    <cellStyle name="Uwaga 2 21 46 2" xfId="38211"/>
    <cellStyle name="Uwaga 2 21 46 3" xfId="38212"/>
    <cellStyle name="Uwaga 2 21 47" xfId="38213"/>
    <cellStyle name="Uwaga 2 21 47 2" xfId="38214"/>
    <cellStyle name="Uwaga 2 21 47 3" xfId="38215"/>
    <cellStyle name="Uwaga 2 21 48" xfId="38216"/>
    <cellStyle name="Uwaga 2 21 48 2" xfId="38217"/>
    <cellStyle name="Uwaga 2 21 48 3" xfId="38218"/>
    <cellStyle name="Uwaga 2 21 49" xfId="38219"/>
    <cellStyle name="Uwaga 2 21 49 2" xfId="38220"/>
    <cellStyle name="Uwaga 2 21 49 3" xfId="38221"/>
    <cellStyle name="Uwaga 2 21 5" xfId="38222"/>
    <cellStyle name="Uwaga 2 21 5 2" xfId="38223"/>
    <cellStyle name="Uwaga 2 21 5 3" xfId="38224"/>
    <cellStyle name="Uwaga 2 21 5 4" xfId="38225"/>
    <cellStyle name="Uwaga 2 21 50" xfId="38226"/>
    <cellStyle name="Uwaga 2 21 50 2" xfId="38227"/>
    <cellStyle name="Uwaga 2 21 50 3" xfId="38228"/>
    <cellStyle name="Uwaga 2 21 51" xfId="38229"/>
    <cellStyle name="Uwaga 2 21 51 2" xfId="38230"/>
    <cellStyle name="Uwaga 2 21 51 3" xfId="38231"/>
    <cellStyle name="Uwaga 2 21 52" xfId="38232"/>
    <cellStyle name="Uwaga 2 21 52 2" xfId="38233"/>
    <cellStyle name="Uwaga 2 21 52 3" xfId="38234"/>
    <cellStyle name="Uwaga 2 21 53" xfId="38235"/>
    <cellStyle name="Uwaga 2 21 53 2" xfId="38236"/>
    <cellStyle name="Uwaga 2 21 53 3" xfId="38237"/>
    <cellStyle name="Uwaga 2 21 54" xfId="38238"/>
    <cellStyle name="Uwaga 2 21 54 2" xfId="38239"/>
    <cellStyle name="Uwaga 2 21 54 3" xfId="38240"/>
    <cellStyle name="Uwaga 2 21 55" xfId="38241"/>
    <cellStyle name="Uwaga 2 21 55 2" xfId="38242"/>
    <cellStyle name="Uwaga 2 21 55 3" xfId="38243"/>
    <cellStyle name="Uwaga 2 21 56" xfId="38244"/>
    <cellStyle name="Uwaga 2 21 56 2" xfId="38245"/>
    <cellStyle name="Uwaga 2 21 56 3" xfId="38246"/>
    <cellStyle name="Uwaga 2 21 57" xfId="38247"/>
    <cellStyle name="Uwaga 2 21 58" xfId="38248"/>
    <cellStyle name="Uwaga 2 21 6" xfId="38249"/>
    <cellStyle name="Uwaga 2 21 6 2" xfId="38250"/>
    <cellStyle name="Uwaga 2 21 6 3" xfId="38251"/>
    <cellStyle name="Uwaga 2 21 6 4" xfId="38252"/>
    <cellStyle name="Uwaga 2 21 7" xfId="38253"/>
    <cellStyle name="Uwaga 2 21 7 2" xfId="38254"/>
    <cellStyle name="Uwaga 2 21 7 3" xfId="38255"/>
    <cellStyle name="Uwaga 2 21 7 4" xfId="38256"/>
    <cellStyle name="Uwaga 2 21 8" xfId="38257"/>
    <cellStyle name="Uwaga 2 21 8 2" xfId="38258"/>
    <cellStyle name="Uwaga 2 21 8 3" xfId="38259"/>
    <cellStyle name="Uwaga 2 21 8 4" xfId="38260"/>
    <cellStyle name="Uwaga 2 21 9" xfId="38261"/>
    <cellStyle name="Uwaga 2 21 9 2" xfId="38262"/>
    <cellStyle name="Uwaga 2 21 9 3" xfId="38263"/>
    <cellStyle name="Uwaga 2 21 9 4" xfId="38264"/>
    <cellStyle name="Uwaga 2 22" xfId="38265"/>
    <cellStyle name="Uwaga 2 22 10" xfId="38266"/>
    <cellStyle name="Uwaga 2 22 10 2" xfId="38267"/>
    <cellStyle name="Uwaga 2 22 10 3" xfId="38268"/>
    <cellStyle name="Uwaga 2 22 10 4" xfId="38269"/>
    <cellStyle name="Uwaga 2 22 11" xfId="38270"/>
    <cellStyle name="Uwaga 2 22 11 2" xfId="38271"/>
    <cellStyle name="Uwaga 2 22 11 3" xfId="38272"/>
    <cellStyle name="Uwaga 2 22 11 4" xfId="38273"/>
    <cellStyle name="Uwaga 2 22 12" xfId="38274"/>
    <cellStyle name="Uwaga 2 22 12 2" xfId="38275"/>
    <cellStyle name="Uwaga 2 22 12 3" xfId="38276"/>
    <cellStyle name="Uwaga 2 22 12 4" xfId="38277"/>
    <cellStyle name="Uwaga 2 22 13" xfId="38278"/>
    <cellStyle name="Uwaga 2 22 13 2" xfId="38279"/>
    <cellStyle name="Uwaga 2 22 13 3" xfId="38280"/>
    <cellStyle name="Uwaga 2 22 13 4" xfId="38281"/>
    <cellStyle name="Uwaga 2 22 14" xfId="38282"/>
    <cellStyle name="Uwaga 2 22 14 2" xfId="38283"/>
    <cellStyle name="Uwaga 2 22 14 3" xfId="38284"/>
    <cellStyle name="Uwaga 2 22 14 4" xfId="38285"/>
    <cellStyle name="Uwaga 2 22 15" xfId="38286"/>
    <cellStyle name="Uwaga 2 22 15 2" xfId="38287"/>
    <cellStyle name="Uwaga 2 22 15 3" xfId="38288"/>
    <cellStyle name="Uwaga 2 22 15 4" xfId="38289"/>
    <cellStyle name="Uwaga 2 22 16" xfId="38290"/>
    <cellStyle name="Uwaga 2 22 16 2" xfId="38291"/>
    <cellStyle name="Uwaga 2 22 16 3" xfId="38292"/>
    <cellStyle name="Uwaga 2 22 16 4" xfId="38293"/>
    <cellStyle name="Uwaga 2 22 17" xfId="38294"/>
    <cellStyle name="Uwaga 2 22 17 2" xfId="38295"/>
    <cellStyle name="Uwaga 2 22 17 3" xfId="38296"/>
    <cellStyle name="Uwaga 2 22 17 4" xfId="38297"/>
    <cellStyle name="Uwaga 2 22 18" xfId="38298"/>
    <cellStyle name="Uwaga 2 22 18 2" xfId="38299"/>
    <cellStyle name="Uwaga 2 22 18 3" xfId="38300"/>
    <cellStyle name="Uwaga 2 22 18 4" xfId="38301"/>
    <cellStyle name="Uwaga 2 22 19" xfId="38302"/>
    <cellStyle name="Uwaga 2 22 19 2" xfId="38303"/>
    <cellStyle name="Uwaga 2 22 19 3" xfId="38304"/>
    <cellStyle name="Uwaga 2 22 19 4" xfId="38305"/>
    <cellStyle name="Uwaga 2 22 2" xfId="38306"/>
    <cellStyle name="Uwaga 2 22 2 2" xfId="38307"/>
    <cellStyle name="Uwaga 2 22 2 3" xfId="38308"/>
    <cellStyle name="Uwaga 2 22 2 4" xfId="38309"/>
    <cellStyle name="Uwaga 2 22 20" xfId="38310"/>
    <cellStyle name="Uwaga 2 22 20 2" xfId="38311"/>
    <cellStyle name="Uwaga 2 22 20 3" xfId="38312"/>
    <cellStyle name="Uwaga 2 22 20 4" xfId="38313"/>
    <cellStyle name="Uwaga 2 22 21" xfId="38314"/>
    <cellStyle name="Uwaga 2 22 21 2" xfId="38315"/>
    <cellStyle name="Uwaga 2 22 21 3" xfId="38316"/>
    <cellStyle name="Uwaga 2 22 22" xfId="38317"/>
    <cellStyle name="Uwaga 2 22 22 2" xfId="38318"/>
    <cellStyle name="Uwaga 2 22 22 3" xfId="38319"/>
    <cellStyle name="Uwaga 2 22 23" xfId="38320"/>
    <cellStyle name="Uwaga 2 22 23 2" xfId="38321"/>
    <cellStyle name="Uwaga 2 22 23 3" xfId="38322"/>
    <cellStyle name="Uwaga 2 22 24" xfId="38323"/>
    <cellStyle name="Uwaga 2 22 24 2" xfId="38324"/>
    <cellStyle name="Uwaga 2 22 24 3" xfId="38325"/>
    <cellStyle name="Uwaga 2 22 25" xfId="38326"/>
    <cellStyle name="Uwaga 2 22 25 2" xfId="38327"/>
    <cellStyle name="Uwaga 2 22 25 3" xfId="38328"/>
    <cellStyle name="Uwaga 2 22 26" xfId="38329"/>
    <cellStyle name="Uwaga 2 22 26 2" xfId="38330"/>
    <cellStyle name="Uwaga 2 22 26 3" xfId="38331"/>
    <cellStyle name="Uwaga 2 22 27" xfId="38332"/>
    <cellStyle name="Uwaga 2 22 27 2" xfId="38333"/>
    <cellStyle name="Uwaga 2 22 27 3" xfId="38334"/>
    <cellStyle name="Uwaga 2 22 28" xfId="38335"/>
    <cellStyle name="Uwaga 2 22 28 2" xfId="38336"/>
    <cellStyle name="Uwaga 2 22 28 3" xfId="38337"/>
    <cellStyle name="Uwaga 2 22 29" xfId="38338"/>
    <cellStyle name="Uwaga 2 22 29 2" xfId="38339"/>
    <cellStyle name="Uwaga 2 22 29 3" xfId="38340"/>
    <cellStyle name="Uwaga 2 22 3" xfId="38341"/>
    <cellStyle name="Uwaga 2 22 3 2" xfId="38342"/>
    <cellStyle name="Uwaga 2 22 3 3" xfId="38343"/>
    <cellStyle name="Uwaga 2 22 3 4" xfId="38344"/>
    <cellStyle name="Uwaga 2 22 30" xfId="38345"/>
    <cellStyle name="Uwaga 2 22 30 2" xfId="38346"/>
    <cellStyle name="Uwaga 2 22 30 3" xfId="38347"/>
    <cellStyle name="Uwaga 2 22 31" xfId="38348"/>
    <cellStyle name="Uwaga 2 22 31 2" xfId="38349"/>
    <cellStyle name="Uwaga 2 22 31 3" xfId="38350"/>
    <cellStyle name="Uwaga 2 22 32" xfId="38351"/>
    <cellStyle name="Uwaga 2 22 32 2" xfId="38352"/>
    <cellStyle name="Uwaga 2 22 32 3" xfId="38353"/>
    <cellStyle name="Uwaga 2 22 33" xfId="38354"/>
    <cellStyle name="Uwaga 2 22 33 2" xfId="38355"/>
    <cellStyle name="Uwaga 2 22 33 3" xfId="38356"/>
    <cellStyle name="Uwaga 2 22 34" xfId="38357"/>
    <cellStyle name="Uwaga 2 22 34 2" xfId="38358"/>
    <cellStyle name="Uwaga 2 22 34 3" xfId="38359"/>
    <cellStyle name="Uwaga 2 22 35" xfId="38360"/>
    <cellStyle name="Uwaga 2 22 35 2" xfId="38361"/>
    <cellStyle name="Uwaga 2 22 35 3" xfId="38362"/>
    <cellStyle name="Uwaga 2 22 36" xfId="38363"/>
    <cellStyle name="Uwaga 2 22 36 2" xfId="38364"/>
    <cellStyle name="Uwaga 2 22 36 3" xfId="38365"/>
    <cellStyle name="Uwaga 2 22 37" xfId="38366"/>
    <cellStyle name="Uwaga 2 22 37 2" xfId="38367"/>
    <cellStyle name="Uwaga 2 22 37 3" xfId="38368"/>
    <cellStyle name="Uwaga 2 22 38" xfId="38369"/>
    <cellStyle name="Uwaga 2 22 38 2" xfId="38370"/>
    <cellStyle name="Uwaga 2 22 38 3" xfId="38371"/>
    <cellStyle name="Uwaga 2 22 39" xfId="38372"/>
    <cellStyle name="Uwaga 2 22 39 2" xfId="38373"/>
    <cellStyle name="Uwaga 2 22 39 3" xfId="38374"/>
    <cellStyle name="Uwaga 2 22 4" xfId="38375"/>
    <cellStyle name="Uwaga 2 22 4 2" xfId="38376"/>
    <cellStyle name="Uwaga 2 22 4 3" xfId="38377"/>
    <cellStyle name="Uwaga 2 22 4 4" xfId="38378"/>
    <cellStyle name="Uwaga 2 22 40" xfId="38379"/>
    <cellStyle name="Uwaga 2 22 40 2" xfId="38380"/>
    <cellStyle name="Uwaga 2 22 40 3" xfId="38381"/>
    <cellStyle name="Uwaga 2 22 41" xfId="38382"/>
    <cellStyle name="Uwaga 2 22 41 2" xfId="38383"/>
    <cellStyle name="Uwaga 2 22 41 3" xfId="38384"/>
    <cellStyle name="Uwaga 2 22 42" xfId="38385"/>
    <cellStyle name="Uwaga 2 22 42 2" xfId="38386"/>
    <cellStyle name="Uwaga 2 22 42 3" xfId="38387"/>
    <cellStyle name="Uwaga 2 22 43" xfId="38388"/>
    <cellStyle name="Uwaga 2 22 43 2" xfId="38389"/>
    <cellStyle name="Uwaga 2 22 43 3" xfId="38390"/>
    <cellStyle name="Uwaga 2 22 44" xfId="38391"/>
    <cellStyle name="Uwaga 2 22 44 2" xfId="38392"/>
    <cellStyle name="Uwaga 2 22 44 3" xfId="38393"/>
    <cellStyle name="Uwaga 2 22 45" xfId="38394"/>
    <cellStyle name="Uwaga 2 22 45 2" xfId="38395"/>
    <cellStyle name="Uwaga 2 22 45 3" xfId="38396"/>
    <cellStyle name="Uwaga 2 22 46" xfId="38397"/>
    <cellStyle name="Uwaga 2 22 46 2" xfId="38398"/>
    <cellStyle name="Uwaga 2 22 46 3" xfId="38399"/>
    <cellStyle name="Uwaga 2 22 47" xfId="38400"/>
    <cellStyle name="Uwaga 2 22 47 2" xfId="38401"/>
    <cellStyle name="Uwaga 2 22 47 3" xfId="38402"/>
    <cellStyle name="Uwaga 2 22 48" xfId="38403"/>
    <cellStyle name="Uwaga 2 22 48 2" xfId="38404"/>
    <cellStyle name="Uwaga 2 22 48 3" xfId="38405"/>
    <cellStyle name="Uwaga 2 22 49" xfId="38406"/>
    <cellStyle name="Uwaga 2 22 49 2" xfId="38407"/>
    <cellStyle name="Uwaga 2 22 49 3" xfId="38408"/>
    <cellStyle name="Uwaga 2 22 5" xfId="38409"/>
    <cellStyle name="Uwaga 2 22 5 2" xfId="38410"/>
    <cellStyle name="Uwaga 2 22 5 3" xfId="38411"/>
    <cellStyle name="Uwaga 2 22 5 4" xfId="38412"/>
    <cellStyle name="Uwaga 2 22 50" xfId="38413"/>
    <cellStyle name="Uwaga 2 22 50 2" xfId="38414"/>
    <cellStyle name="Uwaga 2 22 50 3" xfId="38415"/>
    <cellStyle name="Uwaga 2 22 51" xfId="38416"/>
    <cellStyle name="Uwaga 2 22 51 2" xfId="38417"/>
    <cellStyle name="Uwaga 2 22 51 3" xfId="38418"/>
    <cellStyle name="Uwaga 2 22 52" xfId="38419"/>
    <cellStyle name="Uwaga 2 22 52 2" xfId="38420"/>
    <cellStyle name="Uwaga 2 22 52 3" xfId="38421"/>
    <cellStyle name="Uwaga 2 22 53" xfId="38422"/>
    <cellStyle name="Uwaga 2 22 53 2" xfId="38423"/>
    <cellStyle name="Uwaga 2 22 53 3" xfId="38424"/>
    <cellStyle name="Uwaga 2 22 54" xfId="38425"/>
    <cellStyle name="Uwaga 2 22 54 2" xfId="38426"/>
    <cellStyle name="Uwaga 2 22 54 3" xfId="38427"/>
    <cellStyle name="Uwaga 2 22 55" xfId="38428"/>
    <cellStyle name="Uwaga 2 22 55 2" xfId="38429"/>
    <cellStyle name="Uwaga 2 22 55 3" xfId="38430"/>
    <cellStyle name="Uwaga 2 22 56" xfId="38431"/>
    <cellStyle name="Uwaga 2 22 56 2" xfId="38432"/>
    <cellStyle name="Uwaga 2 22 56 3" xfId="38433"/>
    <cellStyle name="Uwaga 2 22 57" xfId="38434"/>
    <cellStyle name="Uwaga 2 22 58" xfId="38435"/>
    <cellStyle name="Uwaga 2 22 6" xfId="38436"/>
    <cellStyle name="Uwaga 2 22 6 2" xfId="38437"/>
    <cellStyle name="Uwaga 2 22 6 3" xfId="38438"/>
    <cellStyle name="Uwaga 2 22 6 4" xfId="38439"/>
    <cellStyle name="Uwaga 2 22 7" xfId="38440"/>
    <cellStyle name="Uwaga 2 22 7 2" xfId="38441"/>
    <cellStyle name="Uwaga 2 22 7 3" xfId="38442"/>
    <cellStyle name="Uwaga 2 22 7 4" xfId="38443"/>
    <cellStyle name="Uwaga 2 22 8" xfId="38444"/>
    <cellStyle name="Uwaga 2 22 8 2" xfId="38445"/>
    <cellStyle name="Uwaga 2 22 8 3" xfId="38446"/>
    <cellStyle name="Uwaga 2 22 8 4" xfId="38447"/>
    <cellStyle name="Uwaga 2 22 9" xfId="38448"/>
    <cellStyle name="Uwaga 2 22 9 2" xfId="38449"/>
    <cellStyle name="Uwaga 2 22 9 3" xfId="38450"/>
    <cellStyle name="Uwaga 2 22 9 4" xfId="38451"/>
    <cellStyle name="Uwaga 2 23" xfId="38452"/>
    <cellStyle name="Uwaga 2 23 10" xfId="38453"/>
    <cellStyle name="Uwaga 2 23 10 2" xfId="38454"/>
    <cellStyle name="Uwaga 2 23 10 3" xfId="38455"/>
    <cellStyle name="Uwaga 2 23 10 4" xfId="38456"/>
    <cellStyle name="Uwaga 2 23 11" xfId="38457"/>
    <cellStyle name="Uwaga 2 23 11 2" xfId="38458"/>
    <cellStyle name="Uwaga 2 23 11 3" xfId="38459"/>
    <cellStyle name="Uwaga 2 23 11 4" xfId="38460"/>
    <cellStyle name="Uwaga 2 23 12" xfId="38461"/>
    <cellStyle name="Uwaga 2 23 12 2" xfId="38462"/>
    <cellStyle name="Uwaga 2 23 12 3" xfId="38463"/>
    <cellStyle name="Uwaga 2 23 12 4" xfId="38464"/>
    <cellStyle name="Uwaga 2 23 13" xfId="38465"/>
    <cellStyle name="Uwaga 2 23 13 2" xfId="38466"/>
    <cellStyle name="Uwaga 2 23 13 3" xfId="38467"/>
    <cellStyle name="Uwaga 2 23 13 4" xfId="38468"/>
    <cellStyle name="Uwaga 2 23 14" xfId="38469"/>
    <cellStyle name="Uwaga 2 23 14 2" xfId="38470"/>
    <cellStyle name="Uwaga 2 23 14 3" xfId="38471"/>
    <cellStyle name="Uwaga 2 23 14 4" xfId="38472"/>
    <cellStyle name="Uwaga 2 23 15" xfId="38473"/>
    <cellStyle name="Uwaga 2 23 15 2" xfId="38474"/>
    <cellStyle name="Uwaga 2 23 15 3" xfId="38475"/>
    <cellStyle name="Uwaga 2 23 15 4" xfId="38476"/>
    <cellStyle name="Uwaga 2 23 16" xfId="38477"/>
    <cellStyle name="Uwaga 2 23 16 2" xfId="38478"/>
    <cellStyle name="Uwaga 2 23 16 3" xfId="38479"/>
    <cellStyle name="Uwaga 2 23 16 4" xfId="38480"/>
    <cellStyle name="Uwaga 2 23 17" xfId="38481"/>
    <cellStyle name="Uwaga 2 23 17 2" xfId="38482"/>
    <cellStyle name="Uwaga 2 23 17 3" xfId="38483"/>
    <cellStyle name="Uwaga 2 23 17 4" xfId="38484"/>
    <cellStyle name="Uwaga 2 23 18" xfId="38485"/>
    <cellStyle name="Uwaga 2 23 18 2" xfId="38486"/>
    <cellStyle name="Uwaga 2 23 18 3" xfId="38487"/>
    <cellStyle name="Uwaga 2 23 18 4" xfId="38488"/>
    <cellStyle name="Uwaga 2 23 19" xfId="38489"/>
    <cellStyle name="Uwaga 2 23 19 2" xfId="38490"/>
    <cellStyle name="Uwaga 2 23 19 3" xfId="38491"/>
    <cellStyle name="Uwaga 2 23 19 4" xfId="38492"/>
    <cellStyle name="Uwaga 2 23 2" xfId="38493"/>
    <cellStyle name="Uwaga 2 23 2 2" xfId="38494"/>
    <cellStyle name="Uwaga 2 23 2 3" xfId="38495"/>
    <cellStyle name="Uwaga 2 23 2 4" xfId="38496"/>
    <cellStyle name="Uwaga 2 23 20" xfId="38497"/>
    <cellStyle name="Uwaga 2 23 20 2" xfId="38498"/>
    <cellStyle name="Uwaga 2 23 20 3" xfId="38499"/>
    <cellStyle name="Uwaga 2 23 20 4" xfId="38500"/>
    <cellStyle name="Uwaga 2 23 21" xfId="38501"/>
    <cellStyle name="Uwaga 2 23 21 2" xfId="38502"/>
    <cellStyle name="Uwaga 2 23 21 3" xfId="38503"/>
    <cellStyle name="Uwaga 2 23 22" xfId="38504"/>
    <cellStyle name="Uwaga 2 23 22 2" xfId="38505"/>
    <cellStyle name="Uwaga 2 23 22 3" xfId="38506"/>
    <cellStyle name="Uwaga 2 23 23" xfId="38507"/>
    <cellStyle name="Uwaga 2 23 23 2" xfId="38508"/>
    <cellStyle name="Uwaga 2 23 23 3" xfId="38509"/>
    <cellStyle name="Uwaga 2 23 24" xfId="38510"/>
    <cellStyle name="Uwaga 2 23 24 2" xfId="38511"/>
    <cellStyle name="Uwaga 2 23 24 3" xfId="38512"/>
    <cellStyle name="Uwaga 2 23 25" xfId="38513"/>
    <cellStyle name="Uwaga 2 23 25 2" xfId="38514"/>
    <cellStyle name="Uwaga 2 23 25 3" xfId="38515"/>
    <cellStyle name="Uwaga 2 23 26" xfId="38516"/>
    <cellStyle name="Uwaga 2 23 26 2" xfId="38517"/>
    <cellStyle name="Uwaga 2 23 26 3" xfId="38518"/>
    <cellStyle name="Uwaga 2 23 27" xfId="38519"/>
    <cellStyle name="Uwaga 2 23 27 2" xfId="38520"/>
    <cellStyle name="Uwaga 2 23 27 3" xfId="38521"/>
    <cellStyle name="Uwaga 2 23 28" xfId="38522"/>
    <cellStyle name="Uwaga 2 23 28 2" xfId="38523"/>
    <cellStyle name="Uwaga 2 23 28 3" xfId="38524"/>
    <cellStyle name="Uwaga 2 23 29" xfId="38525"/>
    <cellStyle name="Uwaga 2 23 29 2" xfId="38526"/>
    <cellStyle name="Uwaga 2 23 29 3" xfId="38527"/>
    <cellStyle name="Uwaga 2 23 3" xfId="38528"/>
    <cellStyle name="Uwaga 2 23 3 2" xfId="38529"/>
    <cellStyle name="Uwaga 2 23 3 3" xfId="38530"/>
    <cellStyle name="Uwaga 2 23 3 4" xfId="38531"/>
    <cellStyle name="Uwaga 2 23 30" xfId="38532"/>
    <cellStyle name="Uwaga 2 23 30 2" xfId="38533"/>
    <cellStyle name="Uwaga 2 23 30 3" xfId="38534"/>
    <cellStyle name="Uwaga 2 23 31" xfId="38535"/>
    <cellStyle name="Uwaga 2 23 31 2" xfId="38536"/>
    <cellStyle name="Uwaga 2 23 31 3" xfId="38537"/>
    <cellStyle name="Uwaga 2 23 32" xfId="38538"/>
    <cellStyle name="Uwaga 2 23 32 2" xfId="38539"/>
    <cellStyle name="Uwaga 2 23 32 3" xfId="38540"/>
    <cellStyle name="Uwaga 2 23 33" xfId="38541"/>
    <cellStyle name="Uwaga 2 23 33 2" xfId="38542"/>
    <cellStyle name="Uwaga 2 23 33 3" xfId="38543"/>
    <cellStyle name="Uwaga 2 23 34" xfId="38544"/>
    <cellStyle name="Uwaga 2 23 34 2" xfId="38545"/>
    <cellStyle name="Uwaga 2 23 34 3" xfId="38546"/>
    <cellStyle name="Uwaga 2 23 35" xfId="38547"/>
    <cellStyle name="Uwaga 2 23 35 2" xfId="38548"/>
    <cellStyle name="Uwaga 2 23 35 3" xfId="38549"/>
    <cellStyle name="Uwaga 2 23 36" xfId="38550"/>
    <cellStyle name="Uwaga 2 23 36 2" xfId="38551"/>
    <cellStyle name="Uwaga 2 23 36 3" xfId="38552"/>
    <cellStyle name="Uwaga 2 23 37" xfId="38553"/>
    <cellStyle name="Uwaga 2 23 37 2" xfId="38554"/>
    <cellStyle name="Uwaga 2 23 37 3" xfId="38555"/>
    <cellStyle name="Uwaga 2 23 38" xfId="38556"/>
    <cellStyle name="Uwaga 2 23 38 2" xfId="38557"/>
    <cellStyle name="Uwaga 2 23 38 3" xfId="38558"/>
    <cellStyle name="Uwaga 2 23 39" xfId="38559"/>
    <cellStyle name="Uwaga 2 23 39 2" xfId="38560"/>
    <cellStyle name="Uwaga 2 23 39 3" xfId="38561"/>
    <cellStyle name="Uwaga 2 23 4" xfId="38562"/>
    <cellStyle name="Uwaga 2 23 4 2" xfId="38563"/>
    <cellStyle name="Uwaga 2 23 4 3" xfId="38564"/>
    <cellStyle name="Uwaga 2 23 4 4" xfId="38565"/>
    <cellStyle name="Uwaga 2 23 40" xfId="38566"/>
    <cellStyle name="Uwaga 2 23 40 2" xfId="38567"/>
    <cellStyle name="Uwaga 2 23 40 3" xfId="38568"/>
    <cellStyle name="Uwaga 2 23 41" xfId="38569"/>
    <cellStyle name="Uwaga 2 23 41 2" xfId="38570"/>
    <cellStyle name="Uwaga 2 23 41 3" xfId="38571"/>
    <cellStyle name="Uwaga 2 23 42" xfId="38572"/>
    <cellStyle name="Uwaga 2 23 42 2" xfId="38573"/>
    <cellStyle name="Uwaga 2 23 42 3" xfId="38574"/>
    <cellStyle name="Uwaga 2 23 43" xfId="38575"/>
    <cellStyle name="Uwaga 2 23 43 2" xfId="38576"/>
    <cellStyle name="Uwaga 2 23 43 3" xfId="38577"/>
    <cellStyle name="Uwaga 2 23 44" xfId="38578"/>
    <cellStyle name="Uwaga 2 23 44 2" xfId="38579"/>
    <cellStyle name="Uwaga 2 23 44 3" xfId="38580"/>
    <cellStyle name="Uwaga 2 23 45" xfId="38581"/>
    <cellStyle name="Uwaga 2 23 45 2" xfId="38582"/>
    <cellStyle name="Uwaga 2 23 45 3" xfId="38583"/>
    <cellStyle name="Uwaga 2 23 46" xfId="38584"/>
    <cellStyle name="Uwaga 2 23 46 2" xfId="38585"/>
    <cellStyle name="Uwaga 2 23 46 3" xfId="38586"/>
    <cellStyle name="Uwaga 2 23 47" xfId="38587"/>
    <cellStyle name="Uwaga 2 23 47 2" xfId="38588"/>
    <cellStyle name="Uwaga 2 23 47 3" xfId="38589"/>
    <cellStyle name="Uwaga 2 23 48" xfId="38590"/>
    <cellStyle name="Uwaga 2 23 48 2" xfId="38591"/>
    <cellStyle name="Uwaga 2 23 48 3" xfId="38592"/>
    <cellStyle name="Uwaga 2 23 49" xfId="38593"/>
    <cellStyle name="Uwaga 2 23 49 2" xfId="38594"/>
    <cellStyle name="Uwaga 2 23 49 3" xfId="38595"/>
    <cellStyle name="Uwaga 2 23 5" xfId="38596"/>
    <cellStyle name="Uwaga 2 23 5 2" xfId="38597"/>
    <cellStyle name="Uwaga 2 23 5 3" xfId="38598"/>
    <cellStyle name="Uwaga 2 23 5 4" xfId="38599"/>
    <cellStyle name="Uwaga 2 23 50" xfId="38600"/>
    <cellStyle name="Uwaga 2 23 50 2" xfId="38601"/>
    <cellStyle name="Uwaga 2 23 50 3" xfId="38602"/>
    <cellStyle name="Uwaga 2 23 51" xfId="38603"/>
    <cellStyle name="Uwaga 2 23 51 2" xfId="38604"/>
    <cellStyle name="Uwaga 2 23 51 3" xfId="38605"/>
    <cellStyle name="Uwaga 2 23 52" xfId="38606"/>
    <cellStyle name="Uwaga 2 23 52 2" xfId="38607"/>
    <cellStyle name="Uwaga 2 23 52 3" xfId="38608"/>
    <cellStyle name="Uwaga 2 23 53" xfId="38609"/>
    <cellStyle name="Uwaga 2 23 53 2" xfId="38610"/>
    <cellStyle name="Uwaga 2 23 53 3" xfId="38611"/>
    <cellStyle name="Uwaga 2 23 54" xfId="38612"/>
    <cellStyle name="Uwaga 2 23 54 2" xfId="38613"/>
    <cellStyle name="Uwaga 2 23 54 3" xfId="38614"/>
    <cellStyle name="Uwaga 2 23 55" xfId="38615"/>
    <cellStyle name="Uwaga 2 23 55 2" xfId="38616"/>
    <cellStyle name="Uwaga 2 23 55 3" xfId="38617"/>
    <cellStyle name="Uwaga 2 23 56" xfId="38618"/>
    <cellStyle name="Uwaga 2 23 56 2" xfId="38619"/>
    <cellStyle name="Uwaga 2 23 56 3" xfId="38620"/>
    <cellStyle name="Uwaga 2 23 57" xfId="38621"/>
    <cellStyle name="Uwaga 2 23 58" xfId="38622"/>
    <cellStyle name="Uwaga 2 23 6" xfId="38623"/>
    <cellStyle name="Uwaga 2 23 6 2" xfId="38624"/>
    <cellStyle name="Uwaga 2 23 6 3" xfId="38625"/>
    <cellStyle name="Uwaga 2 23 6 4" xfId="38626"/>
    <cellStyle name="Uwaga 2 23 7" xfId="38627"/>
    <cellStyle name="Uwaga 2 23 7 2" xfId="38628"/>
    <cellStyle name="Uwaga 2 23 7 3" xfId="38629"/>
    <cellStyle name="Uwaga 2 23 7 4" xfId="38630"/>
    <cellStyle name="Uwaga 2 23 8" xfId="38631"/>
    <cellStyle name="Uwaga 2 23 8 2" xfId="38632"/>
    <cellStyle name="Uwaga 2 23 8 3" xfId="38633"/>
    <cellStyle name="Uwaga 2 23 8 4" xfId="38634"/>
    <cellStyle name="Uwaga 2 23 9" xfId="38635"/>
    <cellStyle name="Uwaga 2 23 9 2" xfId="38636"/>
    <cellStyle name="Uwaga 2 23 9 3" xfId="38637"/>
    <cellStyle name="Uwaga 2 23 9 4" xfId="38638"/>
    <cellStyle name="Uwaga 2 24" xfId="38639"/>
    <cellStyle name="Uwaga 2 24 10" xfId="38640"/>
    <cellStyle name="Uwaga 2 24 10 2" xfId="38641"/>
    <cellStyle name="Uwaga 2 24 10 3" xfId="38642"/>
    <cellStyle name="Uwaga 2 24 10 4" xfId="38643"/>
    <cellStyle name="Uwaga 2 24 11" xfId="38644"/>
    <cellStyle name="Uwaga 2 24 11 2" xfId="38645"/>
    <cellStyle name="Uwaga 2 24 11 3" xfId="38646"/>
    <cellStyle name="Uwaga 2 24 11 4" xfId="38647"/>
    <cellStyle name="Uwaga 2 24 12" xfId="38648"/>
    <cellStyle name="Uwaga 2 24 12 2" xfId="38649"/>
    <cellStyle name="Uwaga 2 24 12 3" xfId="38650"/>
    <cellStyle name="Uwaga 2 24 12 4" xfId="38651"/>
    <cellStyle name="Uwaga 2 24 13" xfId="38652"/>
    <cellStyle name="Uwaga 2 24 13 2" xfId="38653"/>
    <cellStyle name="Uwaga 2 24 13 3" xfId="38654"/>
    <cellStyle name="Uwaga 2 24 13 4" xfId="38655"/>
    <cellStyle name="Uwaga 2 24 14" xfId="38656"/>
    <cellStyle name="Uwaga 2 24 14 2" xfId="38657"/>
    <cellStyle name="Uwaga 2 24 14 3" xfId="38658"/>
    <cellStyle name="Uwaga 2 24 14 4" xfId="38659"/>
    <cellStyle name="Uwaga 2 24 15" xfId="38660"/>
    <cellStyle name="Uwaga 2 24 15 2" xfId="38661"/>
    <cellStyle name="Uwaga 2 24 15 3" xfId="38662"/>
    <cellStyle name="Uwaga 2 24 15 4" xfId="38663"/>
    <cellStyle name="Uwaga 2 24 16" xfId="38664"/>
    <cellStyle name="Uwaga 2 24 16 2" xfId="38665"/>
    <cellStyle name="Uwaga 2 24 16 3" xfId="38666"/>
    <cellStyle name="Uwaga 2 24 16 4" xfId="38667"/>
    <cellStyle name="Uwaga 2 24 17" xfId="38668"/>
    <cellStyle name="Uwaga 2 24 17 2" xfId="38669"/>
    <cellStyle name="Uwaga 2 24 17 3" xfId="38670"/>
    <cellStyle name="Uwaga 2 24 17 4" xfId="38671"/>
    <cellStyle name="Uwaga 2 24 18" xfId="38672"/>
    <cellStyle name="Uwaga 2 24 18 2" xfId="38673"/>
    <cellStyle name="Uwaga 2 24 18 3" xfId="38674"/>
    <cellStyle name="Uwaga 2 24 18 4" xfId="38675"/>
    <cellStyle name="Uwaga 2 24 19" xfId="38676"/>
    <cellStyle name="Uwaga 2 24 19 2" xfId="38677"/>
    <cellStyle name="Uwaga 2 24 19 3" xfId="38678"/>
    <cellStyle name="Uwaga 2 24 19 4" xfId="38679"/>
    <cellStyle name="Uwaga 2 24 2" xfId="38680"/>
    <cellStyle name="Uwaga 2 24 2 2" xfId="38681"/>
    <cellStyle name="Uwaga 2 24 2 3" xfId="38682"/>
    <cellStyle name="Uwaga 2 24 2 4" xfId="38683"/>
    <cellStyle name="Uwaga 2 24 20" xfId="38684"/>
    <cellStyle name="Uwaga 2 24 20 2" xfId="38685"/>
    <cellStyle name="Uwaga 2 24 20 3" xfId="38686"/>
    <cellStyle name="Uwaga 2 24 20 4" xfId="38687"/>
    <cellStyle name="Uwaga 2 24 21" xfId="38688"/>
    <cellStyle name="Uwaga 2 24 21 2" xfId="38689"/>
    <cellStyle name="Uwaga 2 24 21 3" xfId="38690"/>
    <cellStyle name="Uwaga 2 24 22" xfId="38691"/>
    <cellStyle name="Uwaga 2 24 22 2" xfId="38692"/>
    <cellStyle name="Uwaga 2 24 22 3" xfId="38693"/>
    <cellStyle name="Uwaga 2 24 23" xfId="38694"/>
    <cellStyle name="Uwaga 2 24 23 2" xfId="38695"/>
    <cellStyle name="Uwaga 2 24 23 3" xfId="38696"/>
    <cellStyle name="Uwaga 2 24 24" xfId="38697"/>
    <cellStyle name="Uwaga 2 24 24 2" xfId="38698"/>
    <cellStyle name="Uwaga 2 24 24 3" xfId="38699"/>
    <cellStyle name="Uwaga 2 24 25" xfId="38700"/>
    <cellStyle name="Uwaga 2 24 25 2" xfId="38701"/>
    <cellStyle name="Uwaga 2 24 25 3" xfId="38702"/>
    <cellStyle name="Uwaga 2 24 26" xfId="38703"/>
    <cellStyle name="Uwaga 2 24 26 2" xfId="38704"/>
    <cellStyle name="Uwaga 2 24 26 3" xfId="38705"/>
    <cellStyle name="Uwaga 2 24 27" xfId="38706"/>
    <cellStyle name="Uwaga 2 24 27 2" xfId="38707"/>
    <cellStyle name="Uwaga 2 24 27 3" xfId="38708"/>
    <cellStyle name="Uwaga 2 24 28" xfId="38709"/>
    <cellStyle name="Uwaga 2 24 28 2" xfId="38710"/>
    <cellStyle name="Uwaga 2 24 28 3" xfId="38711"/>
    <cellStyle name="Uwaga 2 24 29" xfId="38712"/>
    <cellStyle name="Uwaga 2 24 29 2" xfId="38713"/>
    <cellStyle name="Uwaga 2 24 29 3" xfId="38714"/>
    <cellStyle name="Uwaga 2 24 3" xfId="38715"/>
    <cellStyle name="Uwaga 2 24 3 2" xfId="38716"/>
    <cellStyle name="Uwaga 2 24 3 3" xfId="38717"/>
    <cellStyle name="Uwaga 2 24 3 4" xfId="38718"/>
    <cellStyle name="Uwaga 2 24 30" xfId="38719"/>
    <cellStyle name="Uwaga 2 24 30 2" xfId="38720"/>
    <cellStyle name="Uwaga 2 24 30 3" xfId="38721"/>
    <cellStyle name="Uwaga 2 24 31" xfId="38722"/>
    <cellStyle name="Uwaga 2 24 31 2" xfId="38723"/>
    <cellStyle name="Uwaga 2 24 31 3" xfId="38724"/>
    <cellStyle name="Uwaga 2 24 32" xfId="38725"/>
    <cellStyle name="Uwaga 2 24 32 2" xfId="38726"/>
    <cellStyle name="Uwaga 2 24 32 3" xfId="38727"/>
    <cellStyle name="Uwaga 2 24 33" xfId="38728"/>
    <cellStyle name="Uwaga 2 24 33 2" xfId="38729"/>
    <cellStyle name="Uwaga 2 24 33 3" xfId="38730"/>
    <cellStyle name="Uwaga 2 24 34" xfId="38731"/>
    <cellStyle name="Uwaga 2 24 34 2" xfId="38732"/>
    <cellStyle name="Uwaga 2 24 34 3" xfId="38733"/>
    <cellStyle name="Uwaga 2 24 35" xfId="38734"/>
    <cellStyle name="Uwaga 2 24 35 2" xfId="38735"/>
    <cellStyle name="Uwaga 2 24 35 3" xfId="38736"/>
    <cellStyle name="Uwaga 2 24 36" xfId="38737"/>
    <cellStyle name="Uwaga 2 24 36 2" xfId="38738"/>
    <cellStyle name="Uwaga 2 24 36 3" xfId="38739"/>
    <cellStyle name="Uwaga 2 24 37" xfId="38740"/>
    <cellStyle name="Uwaga 2 24 37 2" xfId="38741"/>
    <cellStyle name="Uwaga 2 24 37 3" xfId="38742"/>
    <cellStyle name="Uwaga 2 24 38" xfId="38743"/>
    <cellStyle name="Uwaga 2 24 38 2" xfId="38744"/>
    <cellStyle name="Uwaga 2 24 38 3" xfId="38745"/>
    <cellStyle name="Uwaga 2 24 39" xfId="38746"/>
    <cellStyle name="Uwaga 2 24 39 2" xfId="38747"/>
    <cellStyle name="Uwaga 2 24 39 3" xfId="38748"/>
    <cellStyle name="Uwaga 2 24 4" xfId="38749"/>
    <cellStyle name="Uwaga 2 24 4 2" xfId="38750"/>
    <cellStyle name="Uwaga 2 24 4 3" xfId="38751"/>
    <cellStyle name="Uwaga 2 24 4 4" xfId="38752"/>
    <cellStyle name="Uwaga 2 24 40" xfId="38753"/>
    <cellStyle name="Uwaga 2 24 40 2" xfId="38754"/>
    <cellStyle name="Uwaga 2 24 40 3" xfId="38755"/>
    <cellStyle name="Uwaga 2 24 41" xfId="38756"/>
    <cellStyle name="Uwaga 2 24 41 2" xfId="38757"/>
    <cellStyle name="Uwaga 2 24 41 3" xfId="38758"/>
    <cellStyle name="Uwaga 2 24 42" xfId="38759"/>
    <cellStyle name="Uwaga 2 24 42 2" xfId="38760"/>
    <cellStyle name="Uwaga 2 24 42 3" xfId="38761"/>
    <cellStyle name="Uwaga 2 24 43" xfId="38762"/>
    <cellStyle name="Uwaga 2 24 43 2" xfId="38763"/>
    <cellStyle name="Uwaga 2 24 43 3" xfId="38764"/>
    <cellStyle name="Uwaga 2 24 44" xfId="38765"/>
    <cellStyle name="Uwaga 2 24 44 2" xfId="38766"/>
    <cellStyle name="Uwaga 2 24 44 3" xfId="38767"/>
    <cellStyle name="Uwaga 2 24 45" xfId="38768"/>
    <cellStyle name="Uwaga 2 24 45 2" xfId="38769"/>
    <cellStyle name="Uwaga 2 24 45 3" xfId="38770"/>
    <cellStyle name="Uwaga 2 24 46" xfId="38771"/>
    <cellStyle name="Uwaga 2 24 46 2" xfId="38772"/>
    <cellStyle name="Uwaga 2 24 46 3" xfId="38773"/>
    <cellStyle name="Uwaga 2 24 47" xfId="38774"/>
    <cellStyle name="Uwaga 2 24 47 2" xfId="38775"/>
    <cellStyle name="Uwaga 2 24 47 3" xfId="38776"/>
    <cellStyle name="Uwaga 2 24 48" xfId="38777"/>
    <cellStyle name="Uwaga 2 24 48 2" xfId="38778"/>
    <cellStyle name="Uwaga 2 24 48 3" xfId="38779"/>
    <cellStyle name="Uwaga 2 24 49" xfId="38780"/>
    <cellStyle name="Uwaga 2 24 49 2" xfId="38781"/>
    <cellStyle name="Uwaga 2 24 49 3" xfId="38782"/>
    <cellStyle name="Uwaga 2 24 5" xfId="38783"/>
    <cellStyle name="Uwaga 2 24 5 2" xfId="38784"/>
    <cellStyle name="Uwaga 2 24 5 3" xfId="38785"/>
    <cellStyle name="Uwaga 2 24 5 4" xfId="38786"/>
    <cellStyle name="Uwaga 2 24 50" xfId="38787"/>
    <cellStyle name="Uwaga 2 24 50 2" xfId="38788"/>
    <cellStyle name="Uwaga 2 24 50 3" xfId="38789"/>
    <cellStyle name="Uwaga 2 24 51" xfId="38790"/>
    <cellStyle name="Uwaga 2 24 51 2" xfId="38791"/>
    <cellStyle name="Uwaga 2 24 51 3" xfId="38792"/>
    <cellStyle name="Uwaga 2 24 52" xfId="38793"/>
    <cellStyle name="Uwaga 2 24 52 2" xfId="38794"/>
    <cellStyle name="Uwaga 2 24 52 3" xfId="38795"/>
    <cellStyle name="Uwaga 2 24 53" xfId="38796"/>
    <cellStyle name="Uwaga 2 24 53 2" xfId="38797"/>
    <cellStyle name="Uwaga 2 24 53 3" xfId="38798"/>
    <cellStyle name="Uwaga 2 24 54" xfId="38799"/>
    <cellStyle name="Uwaga 2 24 54 2" xfId="38800"/>
    <cellStyle name="Uwaga 2 24 54 3" xfId="38801"/>
    <cellStyle name="Uwaga 2 24 55" xfId="38802"/>
    <cellStyle name="Uwaga 2 24 55 2" xfId="38803"/>
    <cellStyle name="Uwaga 2 24 55 3" xfId="38804"/>
    <cellStyle name="Uwaga 2 24 56" xfId="38805"/>
    <cellStyle name="Uwaga 2 24 56 2" xfId="38806"/>
    <cellStyle name="Uwaga 2 24 56 3" xfId="38807"/>
    <cellStyle name="Uwaga 2 24 57" xfId="38808"/>
    <cellStyle name="Uwaga 2 24 58" xfId="38809"/>
    <cellStyle name="Uwaga 2 24 6" xfId="38810"/>
    <cellStyle name="Uwaga 2 24 6 2" xfId="38811"/>
    <cellStyle name="Uwaga 2 24 6 3" xfId="38812"/>
    <cellStyle name="Uwaga 2 24 6 4" xfId="38813"/>
    <cellStyle name="Uwaga 2 24 7" xfId="38814"/>
    <cellStyle name="Uwaga 2 24 7 2" xfId="38815"/>
    <cellStyle name="Uwaga 2 24 7 3" xfId="38816"/>
    <cellStyle name="Uwaga 2 24 7 4" xfId="38817"/>
    <cellStyle name="Uwaga 2 24 8" xfId="38818"/>
    <cellStyle name="Uwaga 2 24 8 2" xfId="38819"/>
    <cellStyle name="Uwaga 2 24 8 3" xfId="38820"/>
    <cellStyle name="Uwaga 2 24 8 4" xfId="38821"/>
    <cellStyle name="Uwaga 2 24 9" xfId="38822"/>
    <cellStyle name="Uwaga 2 24 9 2" xfId="38823"/>
    <cellStyle name="Uwaga 2 24 9 3" xfId="38824"/>
    <cellStyle name="Uwaga 2 24 9 4" xfId="38825"/>
    <cellStyle name="Uwaga 2 25" xfId="38826"/>
    <cellStyle name="Uwaga 2 25 10" xfId="38827"/>
    <cellStyle name="Uwaga 2 25 10 2" xfId="38828"/>
    <cellStyle name="Uwaga 2 25 10 3" xfId="38829"/>
    <cellStyle name="Uwaga 2 25 10 4" xfId="38830"/>
    <cellStyle name="Uwaga 2 25 11" xfId="38831"/>
    <cellStyle name="Uwaga 2 25 11 2" xfId="38832"/>
    <cellStyle name="Uwaga 2 25 11 3" xfId="38833"/>
    <cellStyle name="Uwaga 2 25 11 4" xfId="38834"/>
    <cellStyle name="Uwaga 2 25 12" xfId="38835"/>
    <cellStyle name="Uwaga 2 25 12 2" xfId="38836"/>
    <cellStyle name="Uwaga 2 25 12 3" xfId="38837"/>
    <cellStyle name="Uwaga 2 25 12 4" xfId="38838"/>
    <cellStyle name="Uwaga 2 25 13" xfId="38839"/>
    <cellStyle name="Uwaga 2 25 13 2" xfId="38840"/>
    <cellStyle name="Uwaga 2 25 13 3" xfId="38841"/>
    <cellStyle name="Uwaga 2 25 13 4" xfId="38842"/>
    <cellStyle name="Uwaga 2 25 14" xfId="38843"/>
    <cellStyle name="Uwaga 2 25 14 2" xfId="38844"/>
    <cellStyle name="Uwaga 2 25 14 3" xfId="38845"/>
    <cellStyle name="Uwaga 2 25 14 4" xfId="38846"/>
    <cellStyle name="Uwaga 2 25 15" xfId="38847"/>
    <cellStyle name="Uwaga 2 25 15 2" xfId="38848"/>
    <cellStyle name="Uwaga 2 25 15 3" xfId="38849"/>
    <cellStyle name="Uwaga 2 25 15 4" xfId="38850"/>
    <cellStyle name="Uwaga 2 25 16" xfId="38851"/>
    <cellStyle name="Uwaga 2 25 16 2" xfId="38852"/>
    <cellStyle name="Uwaga 2 25 16 3" xfId="38853"/>
    <cellStyle name="Uwaga 2 25 16 4" xfId="38854"/>
    <cellStyle name="Uwaga 2 25 17" xfId="38855"/>
    <cellStyle name="Uwaga 2 25 17 2" xfId="38856"/>
    <cellStyle name="Uwaga 2 25 17 3" xfId="38857"/>
    <cellStyle name="Uwaga 2 25 17 4" xfId="38858"/>
    <cellStyle name="Uwaga 2 25 18" xfId="38859"/>
    <cellStyle name="Uwaga 2 25 18 2" xfId="38860"/>
    <cellStyle name="Uwaga 2 25 18 3" xfId="38861"/>
    <cellStyle name="Uwaga 2 25 18 4" xfId="38862"/>
    <cellStyle name="Uwaga 2 25 19" xfId="38863"/>
    <cellStyle name="Uwaga 2 25 19 2" xfId="38864"/>
    <cellStyle name="Uwaga 2 25 19 3" xfId="38865"/>
    <cellStyle name="Uwaga 2 25 19 4" xfId="38866"/>
    <cellStyle name="Uwaga 2 25 2" xfId="38867"/>
    <cellStyle name="Uwaga 2 25 2 2" xfId="38868"/>
    <cellStyle name="Uwaga 2 25 2 3" xfId="38869"/>
    <cellStyle name="Uwaga 2 25 2 4" xfId="38870"/>
    <cellStyle name="Uwaga 2 25 20" xfId="38871"/>
    <cellStyle name="Uwaga 2 25 20 2" xfId="38872"/>
    <cellStyle name="Uwaga 2 25 20 3" xfId="38873"/>
    <cellStyle name="Uwaga 2 25 20 4" xfId="38874"/>
    <cellStyle name="Uwaga 2 25 21" xfId="38875"/>
    <cellStyle name="Uwaga 2 25 21 2" xfId="38876"/>
    <cellStyle name="Uwaga 2 25 21 3" xfId="38877"/>
    <cellStyle name="Uwaga 2 25 22" xfId="38878"/>
    <cellStyle name="Uwaga 2 25 22 2" xfId="38879"/>
    <cellStyle name="Uwaga 2 25 22 3" xfId="38880"/>
    <cellStyle name="Uwaga 2 25 23" xfId="38881"/>
    <cellStyle name="Uwaga 2 25 23 2" xfId="38882"/>
    <cellStyle name="Uwaga 2 25 23 3" xfId="38883"/>
    <cellStyle name="Uwaga 2 25 24" xfId="38884"/>
    <cellStyle name="Uwaga 2 25 24 2" xfId="38885"/>
    <cellStyle name="Uwaga 2 25 24 3" xfId="38886"/>
    <cellStyle name="Uwaga 2 25 25" xfId="38887"/>
    <cellStyle name="Uwaga 2 25 25 2" xfId="38888"/>
    <cellStyle name="Uwaga 2 25 25 3" xfId="38889"/>
    <cellStyle name="Uwaga 2 25 26" xfId="38890"/>
    <cellStyle name="Uwaga 2 25 26 2" xfId="38891"/>
    <cellStyle name="Uwaga 2 25 26 3" xfId="38892"/>
    <cellStyle name="Uwaga 2 25 27" xfId="38893"/>
    <cellStyle name="Uwaga 2 25 27 2" xfId="38894"/>
    <cellStyle name="Uwaga 2 25 27 3" xfId="38895"/>
    <cellStyle name="Uwaga 2 25 28" xfId="38896"/>
    <cellStyle name="Uwaga 2 25 28 2" xfId="38897"/>
    <cellStyle name="Uwaga 2 25 28 3" xfId="38898"/>
    <cellStyle name="Uwaga 2 25 29" xfId="38899"/>
    <cellStyle name="Uwaga 2 25 29 2" xfId="38900"/>
    <cellStyle name="Uwaga 2 25 29 3" xfId="38901"/>
    <cellStyle name="Uwaga 2 25 3" xfId="38902"/>
    <cellStyle name="Uwaga 2 25 3 2" xfId="38903"/>
    <cellStyle name="Uwaga 2 25 3 3" xfId="38904"/>
    <cellStyle name="Uwaga 2 25 3 4" xfId="38905"/>
    <cellStyle name="Uwaga 2 25 30" xfId="38906"/>
    <cellStyle name="Uwaga 2 25 30 2" xfId="38907"/>
    <cellStyle name="Uwaga 2 25 30 3" xfId="38908"/>
    <cellStyle name="Uwaga 2 25 31" xfId="38909"/>
    <cellStyle name="Uwaga 2 25 31 2" xfId="38910"/>
    <cellStyle name="Uwaga 2 25 31 3" xfId="38911"/>
    <cellStyle name="Uwaga 2 25 32" xfId="38912"/>
    <cellStyle name="Uwaga 2 25 32 2" xfId="38913"/>
    <cellStyle name="Uwaga 2 25 32 3" xfId="38914"/>
    <cellStyle name="Uwaga 2 25 33" xfId="38915"/>
    <cellStyle name="Uwaga 2 25 33 2" xfId="38916"/>
    <cellStyle name="Uwaga 2 25 33 3" xfId="38917"/>
    <cellStyle name="Uwaga 2 25 34" xfId="38918"/>
    <cellStyle name="Uwaga 2 25 34 2" xfId="38919"/>
    <cellStyle name="Uwaga 2 25 34 3" xfId="38920"/>
    <cellStyle name="Uwaga 2 25 35" xfId="38921"/>
    <cellStyle name="Uwaga 2 25 35 2" xfId="38922"/>
    <cellStyle name="Uwaga 2 25 35 3" xfId="38923"/>
    <cellStyle name="Uwaga 2 25 36" xfId="38924"/>
    <cellStyle name="Uwaga 2 25 36 2" xfId="38925"/>
    <cellStyle name="Uwaga 2 25 36 3" xfId="38926"/>
    <cellStyle name="Uwaga 2 25 37" xfId="38927"/>
    <cellStyle name="Uwaga 2 25 37 2" xfId="38928"/>
    <cellStyle name="Uwaga 2 25 37 3" xfId="38929"/>
    <cellStyle name="Uwaga 2 25 38" xfId="38930"/>
    <cellStyle name="Uwaga 2 25 38 2" xfId="38931"/>
    <cellStyle name="Uwaga 2 25 38 3" xfId="38932"/>
    <cellStyle name="Uwaga 2 25 39" xfId="38933"/>
    <cellStyle name="Uwaga 2 25 39 2" xfId="38934"/>
    <cellStyle name="Uwaga 2 25 39 3" xfId="38935"/>
    <cellStyle name="Uwaga 2 25 4" xfId="38936"/>
    <cellStyle name="Uwaga 2 25 4 2" xfId="38937"/>
    <cellStyle name="Uwaga 2 25 4 3" xfId="38938"/>
    <cellStyle name="Uwaga 2 25 4 4" xfId="38939"/>
    <cellStyle name="Uwaga 2 25 40" xfId="38940"/>
    <cellStyle name="Uwaga 2 25 40 2" xfId="38941"/>
    <cellStyle name="Uwaga 2 25 40 3" xfId="38942"/>
    <cellStyle name="Uwaga 2 25 41" xfId="38943"/>
    <cellStyle name="Uwaga 2 25 41 2" xfId="38944"/>
    <cellStyle name="Uwaga 2 25 41 3" xfId="38945"/>
    <cellStyle name="Uwaga 2 25 42" xfId="38946"/>
    <cellStyle name="Uwaga 2 25 42 2" xfId="38947"/>
    <cellStyle name="Uwaga 2 25 42 3" xfId="38948"/>
    <cellStyle name="Uwaga 2 25 43" xfId="38949"/>
    <cellStyle name="Uwaga 2 25 43 2" xfId="38950"/>
    <cellStyle name="Uwaga 2 25 43 3" xfId="38951"/>
    <cellStyle name="Uwaga 2 25 44" xfId="38952"/>
    <cellStyle name="Uwaga 2 25 44 2" xfId="38953"/>
    <cellStyle name="Uwaga 2 25 44 3" xfId="38954"/>
    <cellStyle name="Uwaga 2 25 45" xfId="38955"/>
    <cellStyle name="Uwaga 2 25 45 2" xfId="38956"/>
    <cellStyle name="Uwaga 2 25 45 3" xfId="38957"/>
    <cellStyle name="Uwaga 2 25 46" xfId="38958"/>
    <cellStyle name="Uwaga 2 25 46 2" xfId="38959"/>
    <cellStyle name="Uwaga 2 25 46 3" xfId="38960"/>
    <cellStyle name="Uwaga 2 25 47" xfId="38961"/>
    <cellStyle name="Uwaga 2 25 47 2" xfId="38962"/>
    <cellStyle name="Uwaga 2 25 47 3" xfId="38963"/>
    <cellStyle name="Uwaga 2 25 48" xfId="38964"/>
    <cellStyle name="Uwaga 2 25 48 2" xfId="38965"/>
    <cellStyle name="Uwaga 2 25 48 3" xfId="38966"/>
    <cellStyle name="Uwaga 2 25 49" xfId="38967"/>
    <cellStyle name="Uwaga 2 25 49 2" xfId="38968"/>
    <cellStyle name="Uwaga 2 25 49 3" xfId="38969"/>
    <cellStyle name="Uwaga 2 25 5" xfId="38970"/>
    <cellStyle name="Uwaga 2 25 5 2" xfId="38971"/>
    <cellStyle name="Uwaga 2 25 5 3" xfId="38972"/>
    <cellStyle name="Uwaga 2 25 5 4" xfId="38973"/>
    <cellStyle name="Uwaga 2 25 50" xfId="38974"/>
    <cellStyle name="Uwaga 2 25 50 2" xfId="38975"/>
    <cellStyle name="Uwaga 2 25 50 3" xfId="38976"/>
    <cellStyle name="Uwaga 2 25 51" xfId="38977"/>
    <cellStyle name="Uwaga 2 25 51 2" xfId="38978"/>
    <cellStyle name="Uwaga 2 25 51 3" xfId="38979"/>
    <cellStyle name="Uwaga 2 25 52" xfId="38980"/>
    <cellStyle name="Uwaga 2 25 52 2" xfId="38981"/>
    <cellStyle name="Uwaga 2 25 52 3" xfId="38982"/>
    <cellStyle name="Uwaga 2 25 53" xfId="38983"/>
    <cellStyle name="Uwaga 2 25 53 2" xfId="38984"/>
    <cellStyle name="Uwaga 2 25 53 3" xfId="38985"/>
    <cellStyle name="Uwaga 2 25 54" xfId="38986"/>
    <cellStyle name="Uwaga 2 25 54 2" xfId="38987"/>
    <cellStyle name="Uwaga 2 25 54 3" xfId="38988"/>
    <cellStyle name="Uwaga 2 25 55" xfId="38989"/>
    <cellStyle name="Uwaga 2 25 55 2" xfId="38990"/>
    <cellStyle name="Uwaga 2 25 55 3" xfId="38991"/>
    <cellStyle name="Uwaga 2 25 56" xfId="38992"/>
    <cellStyle name="Uwaga 2 25 56 2" xfId="38993"/>
    <cellStyle name="Uwaga 2 25 56 3" xfId="38994"/>
    <cellStyle name="Uwaga 2 25 57" xfId="38995"/>
    <cellStyle name="Uwaga 2 25 58" xfId="38996"/>
    <cellStyle name="Uwaga 2 25 6" xfId="38997"/>
    <cellStyle name="Uwaga 2 25 6 2" xfId="38998"/>
    <cellStyle name="Uwaga 2 25 6 3" xfId="38999"/>
    <cellStyle name="Uwaga 2 25 6 4" xfId="39000"/>
    <cellStyle name="Uwaga 2 25 7" xfId="39001"/>
    <cellStyle name="Uwaga 2 25 7 2" xfId="39002"/>
    <cellStyle name="Uwaga 2 25 7 3" xfId="39003"/>
    <cellStyle name="Uwaga 2 25 7 4" xfId="39004"/>
    <cellStyle name="Uwaga 2 25 8" xfId="39005"/>
    <cellStyle name="Uwaga 2 25 8 2" xfId="39006"/>
    <cellStyle name="Uwaga 2 25 8 3" xfId="39007"/>
    <cellStyle name="Uwaga 2 25 8 4" xfId="39008"/>
    <cellStyle name="Uwaga 2 25 9" xfId="39009"/>
    <cellStyle name="Uwaga 2 25 9 2" xfId="39010"/>
    <cellStyle name="Uwaga 2 25 9 3" xfId="39011"/>
    <cellStyle name="Uwaga 2 25 9 4" xfId="39012"/>
    <cellStyle name="Uwaga 2 26" xfId="39013"/>
    <cellStyle name="Uwaga 2 26 10" xfId="39014"/>
    <cellStyle name="Uwaga 2 26 10 2" xfId="39015"/>
    <cellStyle name="Uwaga 2 26 10 3" xfId="39016"/>
    <cellStyle name="Uwaga 2 26 10 4" xfId="39017"/>
    <cellStyle name="Uwaga 2 26 11" xfId="39018"/>
    <cellStyle name="Uwaga 2 26 11 2" xfId="39019"/>
    <cellStyle name="Uwaga 2 26 11 3" xfId="39020"/>
    <cellStyle name="Uwaga 2 26 11 4" xfId="39021"/>
    <cellStyle name="Uwaga 2 26 12" xfId="39022"/>
    <cellStyle name="Uwaga 2 26 12 2" xfId="39023"/>
    <cellStyle name="Uwaga 2 26 12 3" xfId="39024"/>
    <cellStyle name="Uwaga 2 26 12 4" xfId="39025"/>
    <cellStyle name="Uwaga 2 26 13" xfId="39026"/>
    <cellStyle name="Uwaga 2 26 13 2" xfId="39027"/>
    <cellStyle name="Uwaga 2 26 13 3" xfId="39028"/>
    <cellStyle name="Uwaga 2 26 13 4" xfId="39029"/>
    <cellStyle name="Uwaga 2 26 14" xfId="39030"/>
    <cellStyle name="Uwaga 2 26 14 2" xfId="39031"/>
    <cellStyle name="Uwaga 2 26 14 3" xfId="39032"/>
    <cellStyle name="Uwaga 2 26 14 4" xfId="39033"/>
    <cellStyle name="Uwaga 2 26 15" xfId="39034"/>
    <cellStyle name="Uwaga 2 26 15 2" xfId="39035"/>
    <cellStyle name="Uwaga 2 26 15 3" xfId="39036"/>
    <cellStyle name="Uwaga 2 26 15 4" xfId="39037"/>
    <cellStyle name="Uwaga 2 26 16" xfId="39038"/>
    <cellStyle name="Uwaga 2 26 16 2" xfId="39039"/>
    <cellStyle name="Uwaga 2 26 16 3" xfId="39040"/>
    <cellStyle name="Uwaga 2 26 16 4" xfId="39041"/>
    <cellStyle name="Uwaga 2 26 17" xfId="39042"/>
    <cellStyle name="Uwaga 2 26 17 2" xfId="39043"/>
    <cellStyle name="Uwaga 2 26 17 3" xfId="39044"/>
    <cellStyle name="Uwaga 2 26 17 4" xfId="39045"/>
    <cellStyle name="Uwaga 2 26 18" xfId="39046"/>
    <cellStyle name="Uwaga 2 26 18 2" xfId="39047"/>
    <cellStyle name="Uwaga 2 26 18 3" xfId="39048"/>
    <cellStyle name="Uwaga 2 26 18 4" xfId="39049"/>
    <cellStyle name="Uwaga 2 26 19" xfId="39050"/>
    <cellStyle name="Uwaga 2 26 19 2" xfId="39051"/>
    <cellStyle name="Uwaga 2 26 19 3" xfId="39052"/>
    <cellStyle name="Uwaga 2 26 19 4" xfId="39053"/>
    <cellStyle name="Uwaga 2 26 2" xfId="39054"/>
    <cellStyle name="Uwaga 2 26 2 2" xfId="39055"/>
    <cellStyle name="Uwaga 2 26 2 3" xfId="39056"/>
    <cellStyle name="Uwaga 2 26 2 4" xfId="39057"/>
    <cellStyle name="Uwaga 2 26 20" xfId="39058"/>
    <cellStyle name="Uwaga 2 26 20 2" xfId="39059"/>
    <cellStyle name="Uwaga 2 26 20 3" xfId="39060"/>
    <cellStyle name="Uwaga 2 26 20 4" xfId="39061"/>
    <cellStyle name="Uwaga 2 26 21" xfId="39062"/>
    <cellStyle name="Uwaga 2 26 21 2" xfId="39063"/>
    <cellStyle name="Uwaga 2 26 21 3" xfId="39064"/>
    <cellStyle name="Uwaga 2 26 22" xfId="39065"/>
    <cellStyle name="Uwaga 2 26 22 2" xfId="39066"/>
    <cellStyle name="Uwaga 2 26 22 3" xfId="39067"/>
    <cellStyle name="Uwaga 2 26 23" xfId="39068"/>
    <cellStyle name="Uwaga 2 26 23 2" xfId="39069"/>
    <cellStyle name="Uwaga 2 26 23 3" xfId="39070"/>
    <cellStyle name="Uwaga 2 26 24" xfId="39071"/>
    <cellStyle name="Uwaga 2 26 24 2" xfId="39072"/>
    <cellStyle name="Uwaga 2 26 24 3" xfId="39073"/>
    <cellStyle name="Uwaga 2 26 25" xfId="39074"/>
    <cellStyle name="Uwaga 2 26 25 2" xfId="39075"/>
    <cellStyle name="Uwaga 2 26 25 3" xfId="39076"/>
    <cellStyle name="Uwaga 2 26 26" xfId="39077"/>
    <cellStyle name="Uwaga 2 26 26 2" xfId="39078"/>
    <cellStyle name="Uwaga 2 26 26 3" xfId="39079"/>
    <cellStyle name="Uwaga 2 26 27" xfId="39080"/>
    <cellStyle name="Uwaga 2 26 27 2" xfId="39081"/>
    <cellStyle name="Uwaga 2 26 27 3" xfId="39082"/>
    <cellStyle name="Uwaga 2 26 28" xfId="39083"/>
    <cellStyle name="Uwaga 2 26 28 2" xfId="39084"/>
    <cellStyle name="Uwaga 2 26 28 3" xfId="39085"/>
    <cellStyle name="Uwaga 2 26 29" xfId="39086"/>
    <cellStyle name="Uwaga 2 26 29 2" xfId="39087"/>
    <cellStyle name="Uwaga 2 26 29 3" xfId="39088"/>
    <cellStyle name="Uwaga 2 26 3" xfId="39089"/>
    <cellStyle name="Uwaga 2 26 3 2" xfId="39090"/>
    <cellStyle name="Uwaga 2 26 3 3" xfId="39091"/>
    <cellStyle name="Uwaga 2 26 3 4" xfId="39092"/>
    <cellStyle name="Uwaga 2 26 30" xfId="39093"/>
    <cellStyle name="Uwaga 2 26 30 2" xfId="39094"/>
    <cellStyle name="Uwaga 2 26 30 3" xfId="39095"/>
    <cellStyle name="Uwaga 2 26 31" xfId="39096"/>
    <cellStyle name="Uwaga 2 26 31 2" xfId="39097"/>
    <cellStyle name="Uwaga 2 26 31 3" xfId="39098"/>
    <cellStyle name="Uwaga 2 26 32" xfId="39099"/>
    <cellStyle name="Uwaga 2 26 32 2" xfId="39100"/>
    <cellStyle name="Uwaga 2 26 32 3" xfId="39101"/>
    <cellStyle name="Uwaga 2 26 33" xfId="39102"/>
    <cellStyle name="Uwaga 2 26 33 2" xfId="39103"/>
    <cellStyle name="Uwaga 2 26 33 3" xfId="39104"/>
    <cellStyle name="Uwaga 2 26 34" xfId="39105"/>
    <cellStyle name="Uwaga 2 26 34 2" xfId="39106"/>
    <cellStyle name="Uwaga 2 26 34 3" xfId="39107"/>
    <cellStyle name="Uwaga 2 26 35" xfId="39108"/>
    <cellStyle name="Uwaga 2 26 35 2" xfId="39109"/>
    <cellStyle name="Uwaga 2 26 35 3" xfId="39110"/>
    <cellStyle name="Uwaga 2 26 36" xfId="39111"/>
    <cellStyle name="Uwaga 2 26 36 2" xfId="39112"/>
    <cellStyle name="Uwaga 2 26 36 3" xfId="39113"/>
    <cellStyle name="Uwaga 2 26 37" xfId="39114"/>
    <cellStyle name="Uwaga 2 26 37 2" xfId="39115"/>
    <cellStyle name="Uwaga 2 26 37 3" xfId="39116"/>
    <cellStyle name="Uwaga 2 26 38" xfId="39117"/>
    <cellStyle name="Uwaga 2 26 38 2" xfId="39118"/>
    <cellStyle name="Uwaga 2 26 38 3" xfId="39119"/>
    <cellStyle name="Uwaga 2 26 39" xfId="39120"/>
    <cellStyle name="Uwaga 2 26 39 2" xfId="39121"/>
    <cellStyle name="Uwaga 2 26 39 3" xfId="39122"/>
    <cellStyle name="Uwaga 2 26 4" xfId="39123"/>
    <cellStyle name="Uwaga 2 26 4 2" xfId="39124"/>
    <cellStyle name="Uwaga 2 26 4 3" xfId="39125"/>
    <cellStyle name="Uwaga 2 26 4 4" xfId="39126"/>
    <cellStyle name="Uwaga 2 26 40" xfId="39127"/>
    <cellStyle name="Uwaga 2 26 40 2" xfId="39128"/>
    <cellStyle name="Uwaga 2 26 40 3" xfId="39129"/>
    <cellStyle name="Uwaga 2 26 41" xfId="39130"/>
    <cellStyle name="Uwaga 2 26 41 2" xfId="39131"/>
    <cellStyle name="Uwaga 2 26 41 3" xfId="39132"/>
    <cellStyle name="Uwaga 2 26 42" xfId="39133"/>
    <cellStyle name="Uwaga 2 26 42 2" xfId="39134"/>
    <cellStyle name="Uwaga 2 26 42 3" xfId="39135"/>
    <cellStyle name="Uwaga 2 26 43" xfId="39136"/>
    <cellStyle name="Uwaga 2 26 43 2" xfId="39137"/>
    <cellStyle name="Uwaga 2 26 43 3" xfId="39138"/>
    <cellStyle name="Uwaga 2 26 44" xfId="39139"/>
    <cellStyle name="Uwaga 2 26 44 2" xfId="39140"/>
    <cellStyle name="Uwaga 2 26 44 3" xfId="39141"/>
    <cellStyle name="Uwaga 2 26 45" xfId="39142"/>
    <cellStyle name="Uwaga 2 26 45 2" xfId="39143"/>
    <cellStyle name="Uwaga 2 26 45 3" xfId="39144"/>
    <cellStyle name="Uwaga 2 26 46" xfId="39145"/>
    <cellStyle name="Uwaga 2 26 46 2" xfId="39146"/>
    <cellStyle name="Uwaga 2 26 46 3" xfId="39147"/>
    <cellStyle name="Uwaga 2 26 47" xfId="39148"/>
    <cellStyle name="Uwaga 2 26 47 2" xfId="39149"/>
    <cellStyle name="Uwaga 2 26 47 3" xfId="39150"/>
    <cellStyle name="Uwaga 2 26 48" xfId="39151"/>
    <cellStyle name="Uwaga 2 26 48 2" xfId="39152"/>
    <cellStyle name="Uwaga 2 26 48 3" xfId="39153"/>
    <cellStyle name="Uwaga 2 26 49" xfId="39154"/>
    <cellStyle name="Uwaga 2 26 49 2" xfId="39155"/>
    <cellStyle name="Uwaga 2 26 49 3" xfId="39156"/>
    <cellStyle name="Uwaga 2 26 5" xfId="39157"/>
    <cellStyle name="Uwaga 2 26 5 2" xfId="39158"/>
    <cellStyle name="Uwaga 2 26 5 3" xfId="39159"/>
    <cellStyle name="Uwaga 2 26 5 4" xfId="39160"/>
    <cellStyle name="Uwaga 2 26 50" xfId="39161"/>
    <cellStyle name="Uwaga 2 26 50 2" xfId="39162"/>
    <cellStyle name="Uwaga 2 26 50 3" xfId="39163"/>
    <cellStyle name="Uwaga 2 26 51" xfId="39164"/>
    <cellStyle name="Uwaga 2 26 51 2" xfId="39165"/>
    <cellStyle name="Uwaga 2 26 51 3" xfId="39166"/>
    <cellStyle name="Uwaga 2 26 52" xfId="39167"/>
    <cellStyle name="Uwaga 2 26 52 2" xfId="39168"/>
    <cellStyle name="Uwaga 2 26 52 3" xfId="39169"/>
    <cellStyle name="Uwaga 2 26 53" xfId="39170"/>
    <cellStyle name="Uwaga 2 26 53 2" xfId="39171"/>
    <cellStyle name="Uwaga 2 26 53 3" xfId="39172"/>
    <cellStyle name="Uwaga 2 26 54" xfId="39173"/>
    <cellStyle name="Uwaga 2 26 54 2" xfId="39174"/>
    <cellStyle name="Uwaga 2 26 54 3" xfId="39175"/>
    <cellStyle name="Uwaga 2 26 55" xfId="39176"/>
    <cellStyle name="Uwaga 2 26 55 2" xfId="39177"/>
    <cellStyle name="Uwaga 2 26 55 3" xfId="39178"/>
    <cellStyle name="Uwaga 2 26 56" xfId="39179"/>
    <cellStyle name="Uwaga 2 26 56 2" xfId="39180"/>
    <cellStyle name="Uwaga 2 26 56 3" xfId="39181"/>
    <cellStyle name="Uwaga 2 26 57" xfId="39182"/>
    <cellStyle name="Uwaga 2 26 58" xfId="39183"/>
    <cellStyle name="Uwaga 2 26 6" xfId="39184"/>
    <cellStyle name="Uwaga 2 26 6 2" xfId="39185"/>
    <cellStyle name="Uwaga 2 26 6 3" xfId="39186"/>
    <cellStyle name="Uwaga 2 26 6 4" xfId="39187"/>
    <cellStyle name="Uwaga 2 26 7" xfId="39188"/>
    <cellStyle name="Uwaga 2 26 7 2" xfId="39189"/>
    <cellStyle name="Uwaga 2 26 7 3" xfId="39190"/>
    <cellStyle name="Uwaga 2 26 7 4" xfId="39191"/>
    <cellStyle name="Uwaga 2 26 8" xfId="39192"/>
    <cellStyle name="Uwaga 2 26 8 2" xfId="39193"/>
    <cellStyle name="Uwaga 2 26 8 3" xfId="39194"/>
    <cellStyle name="Uwaga 2 26 8 4" xfId="39195"/>
    <cellStyle name="Uwaga 2 26 9" xfId="39196"/>
    <cellStyle name="Uwaga 2 26 9 2" xfId="39197"/>
    <cellStyle name="Uwaga 2 26 9 3" xfId="39198"/>
    <cellStyle name="Uwaga 2 26 9 4" xfId="39199"/>
    <cellStyle name="Uwaga 2 27" xfId="39200"/>
    <cellStyle name="Uwaga 2 27 10" xfId="39201"/>
    <cellStyle name="Uwaga 2 27 10 2" xfId="39202"/>
    <cellStyle name="Uwaga 2 27 10 3" xfId="39203"/>
    <cellStyle name="Uwaga 2 27 10 4" xfId="39204"/>
    <cellStyle name="Uwaga 2 27 11" xfId="39205"/>
    <cellStyle name="Uwaga 2 27 11 2" xfId="39206"/>
    <cellStyle name="Uwaga 2 27 11 3" xfId="39207"/>
    <cellStyle name="Uwaga 2 27 11 4" xfId="39208"/>
    <cellStyle name="Uwaga 2 27 12" xfId="39209"/>
    <cellStyle name="Uwaga 2 27 12 2" xfId="39210"/>
    <cellStyle name="Uwaga 2 27 12 3" xfId="39211"/>
    <cellStyle name="Uwaga 2 27 12 4" xfId="39212"/>
    <cellStyle name="Uwaga 2 27 13" xfId="39213"/>
    <cellStyle name="Uwaga 2 27 13 2" xfId="39214"/>
    <cellStyle name="Uwaga 2 27 13 3" xfId="39215"/>
    <cellStyle name="Uwaga 2 27 13 4" xfId="39216"/>
    <cellStyle name="Uwaga 2 27 14" xfId="39217"/>
    <cellStyle name="Uwaga 2 27 14 2" xfId="39218"/>
    <cellStyle name="Uwaga 2 27 14 3" xfId="39219"/>
    <cellStyle name="Uwaga 2 27 14 4" xfId="39220"/>
    <cellStyle name="Uwaga 2 27 15" xfId="39221"/>
    <cellStyle name="Uwaga 2 27 15 2" xfId="39222"/>
    <cellStyle name="Uwaga 2 27 15 3" xfId="39223"/>
    <cellStyle name="Uwaga 2 27 15 4" xfId="39224"/>
    <cellStyle name="Uwaga 2 27 16" xfId="39225"/>
    <cellStyle name="Uwaga 2 27 16 2" xfId="39226"/>
    <cellStyle name="Uwaga 2 27 16 3" xfId="39227"/>
    <cellStyle name="Uwaga 2 27 16 4" xfId="39228"/>
    <cellStyle name="Uwaga 2 27 17" xfId="39229"/>
    <cellStyle name="Uwaga 2 27 17 2" xfId="39230"/>
    <cellStyle name="Uwaga 2 27 17 3" xfId="39231"/>
    <cellStyle name="Uwaga 2 27 17 4" xfId="39232"/>
    <cellStyle name="Uwaga 2 27 18" xfId="39233"/>
    <cellStyle name="Uwaga 2 27 18 2" xfId="39234"/>
    <cellStyle name="Uwaga 2 27 18 3" xfId="39235"/>
    <cellStyle name="Uwaga 2 27 18 4" xfId="39236"/>
    <cellStyle name="Uwaga 2 27 19" xfId="39237"/>
    <cellStyle name="Uwaga 2 27 19 2" xfId="39238"/>
    <cellStyle name="Uwaga 2 27 19 3" xfId="39239"/>
    <cellStyle name="Uwaga 2 27 19 4" xfId="39240"/>
    <cellStyle name="Uwaga 2 27 2" xfId="39241"/>
    <cellStyle name="Uwaga 2 27 2 2" xfId="39242"/>
    <cellStyle name="Uwaga 2 27 2 3" xfId="39243"/>
    <cellStyle name="Uwaga 2 27 2 4" xfId="39244"/>
    <cellStyle name="Uwaga 2 27 20" xfId="39245"/>
    <cellStyle name="Uwaga 2 27 20 2" xfId="39246"/>
    <cellStyle name="Uwaga 2 27 20 3" xfId="39247"/>
    <cellStyle name="Uwaga 2 27 20 4" xfId="39248"/>
    <cellStyle name="Uwaga 2 27 21" xfId="39249"/>
    <cellStyle name="Uwaga 2 27 21 2" xfId="39250"/>
    <cellStyle name="Uwaga 2 27 21 3" xfId="39251"/>
    <cellStyle name="Uwaga 2 27 22" xfId="39252"/>
    <cellStyle name="Uwaga 2 27 22 2" xfId="39253"/>
    <cellStyle name="Uwaga 2 27 22 3" xfId="39254"/>
    <cellStyle name="Uwaga 2 27 23" xfId="39255"/>
    <cellStyle name="Uwaga 2 27 23 2" xfId="39256"/>
    <cellStyle name="Uwaga 2 27 23 3" xfId="39257"/>
    <cellStyle name="Uwaga 2 27 24" xfId="39258"/>
    <cellStyle name="Uwaga 2 27 24 2" xfId="39259"/>
    <cellStyle name="Uwaga 2 27 24 3" xfId="39260"/>
    <cellStyle name="Uwaga 2 27 25" xfId="39261"/>
    <cellStyle name="Uwaga 2 27 25 2" xfId="39262"/>
    <cellStyle name="Uwaga 2 27 25 3" xfId="39263"/>
    <cellStyle name="Uwaga 2 27 26" xfId="39264"/>
    <cellStyle name="Uwaga 2 27 26 2" xfId="39265"/>
    <cellStyle name="Uwaga 2 27 26 3" xfId="39266"/>
    <cellStyle name="Uwaga 2 27 27" xfId="39267"/>
    <cellStyle name="Uwaga 2 27 27 2" xfId="39268"/>
    <cellStyle name="Uwaga 2 27 27 3" xfId="39269"/>
    <cellStyle name="Uwaga 2 27 28" xfId="39270"/>
    <cellStyle name="Uwaga 2 27 28 2" xfId="39271"/>
    <cellStyle name="Uwaga 2 27 28 3" xfId="39272"/>
    <cellStyle name="Uwaga 2 27 29" xfId="39273"/>
    <cellStyle name="Uwaga 2 27 29 2" xfId="39274"/>
    <cellStyle name="Uwaga 2 27 29 3" xfId="39275"/>
    <cellStyle name="Uwaga 2 27 3" xfId="39276"/>
    <cellStyle name="Uwaga 2 27 3 2" xfId="39277"/>
    <cellStyle name="Uwaga 2 27 3 3" xfId="39278"/>
    <cellStyle name="Uwaga 2 27 3 4" xfId="39279"/>
    <cellStyle name="Uwaga 2 27 30" xfId="39280"/>
    <cellStyle name="Uwaga 2 27 30 2" xfId="39281"/>
    <cellStyle name="Uwaga 2 27 30 3" xfId="39282"/>
    <cellStyle name="Uwaga 2 27 31" xfId="39283"/>
    <cellStyle name="Uwaga 2 27 31 2" xfId="39284"/>
    <cellStyle name="Uwaga 2 27 31 3" xfId="39285"/>
    <cellStyle name="Uwaga 2 27 32" xfId="39286"/>
    <cellStyle name="Uwaga 2 27 32 2" xfId="39287"/>
    <cellStyle name="Uwaga 2 27 32 3" xfId="39288"/>
    <cellStyle name="Uwaga 2 27 33" xfId="39289"/>
    <cellStyle name="Uwaga 2 27 33 2" xfId="39290"/>
    <cellStyle name="Uwaga 2 27 33 3" xfId="39291"/>
    <cellStyle name="Uwaga 2 27 34" xfId="39292"/>
    <cellStyle name="Uwaga 2 27 34 2" xfId="39293"/>
    <cellStyle name="Uwaga 2 27 34 3" xfId="39294"/>
    <cellStyle name="Uwaga 2 27 35" xfId="39295"/>
    <cellStyle name="Uwaga 2 27 35 2" xfId="39296"/>
    <cellStyle name="Uwaga 2 27 35 3" xfId="39297"/>
    <cellStyle name="Uwaga 2 27 36" xfId="39298"/>
    <cellStyle name="Uwaga 2 27 36 2" xfId="39299"/>
    <cellStyle name="Uwaga 2 27 36 3" xfId="39300"/>
    <cellStyle name="Uwaga 2 27 37" xfId="39301"/>
    <cellStyle name="Uwaga 2 27 37 2" xfId="39302"/>
    <cellStyle name="Uwaga 2 27 37 3" xfId="39303"/>
    <cellStyle name="Uwaga 2 27 38" xfId="39304"/>
    <cellStyle name="Uwaga 2 27 38 2" xfId="39305"/>
    <cellStyle name="Uwaga 2 27 38 3" xfId="39306"/>
    <cellStyle name="Uwaga 2 27 39" xfId="39307"/>
    <cellStyle name="Uwaga 2 27 39 2" xfId="39308"/>
    <cellStyle name="Uwaga 2 27 39 3" xfId="39309"/>
    <cellStyle name="Uwaga 2 27 4" xfId="39310"/>
    <cellStyle name="Uwaga 2 27 4 2" xfId="39311"/>
    <cellStyle name="Uwaga 2 27 4 3" xfId="39312"/>
    <cellStyle name="Uwaga 2 27 4 4" xfId="39313"/>
    <cellStyle name="Uwaga 2 27 40" xfId="39314"/>
    <cellStyle name="Uwaga 2 27 40 2" xfId="39315"/>
    <cellStyle name="Uwaga 2 27 40 3" xfId="39316"/>
    <cellStyle name="Uwaga 2 27 41" xfId="39317"/>
    <cellStyle name="Uwaga 2 27 41 2" xfId="39318"/>
    <cellStyle name="Uwaga 2 27 41 3" xfId="39319"/>
    <cellStyle name="Uwaga 2 27 42" xfId="39320"/>
    <cellStyle name="Uwaga 2 27 42 2" xfId="39321"/>
    <cellStyle name="Uwaga 2 27 42 3" xfId="39322"/>
    <cellStyle name="Uwaga 2 27 43" xfId="39323"/>
    <cellStyle name="Uwaga 2 27 43 2" xfId="39324"/>
    <cellStyle name="Uwaga 2 27 43 3" xfId="39325"/>
    <cellStyle name="Uwaga 2 27 44" xfId="39326"/>
    <cellStyle name="Uwaga 2 27 44 2" xfId="39327"/>
    <cellStyle name="Uwaga 2 27 44 3" xfId="39328"/>
    <cellStyle name="Uwaga 2 27 45" xfId="39329"/>
    <cellStyle name="Uwaga 2 27 45 2" xfId="39330"/>
    <cellStyle name="Uwaga 2 27 45 3" xfId="39331"/>
    <cellStyle name="Uwaga 2 27 46" xfId="39332"/>
    <cellStyle name="Uwaga 2 27 46 2" xfId="39333"/>
    <cellStyle name="Uwaga 2 27 46 3" xfId="39334"/>
    <cellStyle name="Uwaga 2 27 47" xfId="39335"/>
    <cellStyle name="Uwaga 2 27 47 2" xfId="39336"/>
    <cellStyle name="Uwaga 2 27 47 3" xfId="39337"/>
    <cellStyle name="Uwaga 2 27 48" xfId="39338"/>
    <cellStyle name="Uwaga 2 27 48 2" xfId="39339"/>
    <cellStyle name="Uwaga 2 27 48 3" xfId="39340"/>
    <cellStyle name="Uwaga 2 27 49" xfId="39341"/>
    <cellStyle name="Uwaga 2 27 49 2" xfId="39342"/>
    <cellStyle name="Uwaga 2 27 49 3" xfId="39343"/>
    <cellStyle name="Uwaga 2 27 5" xfId="39344"/>
    <cellStyle name="Uwaga 2 27 5 2" xfId="39345"/>
    <cellStyle name="Uwaga 2 27 5 3" xfId="39346"/>
    <cellStyle name="Uwaga 2 27 5 4" xfId="39347"/>
    <cellStyle name="Uwaga 2 27 50" xfId="39348"/>
    <cellStyle name="Uwaga 2 27 50 2" xfId="39349"/>
    <cellStyle name="Uwaga 2 27 50 3" xfId="39350"/>
    <cellStyle name="Uwaga 2 27 51" xfId="39351"/>
    <cellStyle name="Uwaga 2 27 51 2" xfId="39352"/>
    <cellStyle name="Uwaga 2 27 51 3" xfId="39353"/>
    <cellStyle name="Uwaga 2 27 52" xfId="39354"/>
    <cellStyle name="Uwaga 2 27 52 2" xfId="39355"/>
    <cellStyle name="Uwaga 2 27 52 3" xfId="39356"/>
    <cellStyle name="Uwaga 2 27 53" xfId="39357"/>
    <cellStyle name="Uwaga 2 27 53 2" xfId="39358"/>
    <cellStyle name="Uwaga 2 27 53 3" xfId="39359"/>
    <cellStyle name="Uwaga 2 27 54" xfId="39360"/>
    <cellStyle name="Uwaga 2 27 54 2" xfId="39361"/>
    <cellStyle name="Uwaga 2 27 54 3" xfId="39362"/>
    <cellStyle name="Uwaga 2 27 55" xfId="39363"/>
    <cellStyle name="Uwaga 2 27 55 2" xfId="39364"/>
    <cellStyle name="Uwaga 2 27 55 3" xfId="39365"/>
    <cellStyle name="Uwaga 2 27 56" xfId="39366"/>
    <cellStyle name="Uwaga 2 27 56 2" xfId="39367"/>
    <cellStyle name="Uwaga 2 27 56 3" xfId="39368"/>
    <cellStyle name="Uwaga 2 27 57" xfId="39369"/>
    <cellStyle name="Uwaga 2 27 58" xfId="39370"/>
    <cellStyle name="Uwaga 2 27 6" xfId="39371"/>
    <cellStyle name="Uwaga 2 27 6 2" xfId="39372"/>
    <cellStyle name="Uwaga 2 27 6 3" xfId="39373"/>
    <cellStyle name="Uwaga 2 27 6 4" xfId="39374"/>
    <cellStyle name="Uwaga 2 27 7" xfId="39375"/>
    <cellStyle name="Uwaga 2 27 7 2" xfId="39376"/>
    <cellStyle name="Uwaga 2 27 7 3" xfId="39377"/>
    <cellStyle name="Uwaga 2 27 7 4" xfId="39378"/>
    <cellStyle name="Uwaga 2 27 8" xfId="39379"/>
    <cellStyle name="Uwaga 2 27 8 2" xfId="39380"/>
    <cellStyle name="Uwaga 2 27 8 3" xfId="39381"/>
    <cellStyle name="Uwaga 2 27 8 4" xfId="39382"/>
    <cellStyle name="Uwaga 2 27 9" xfId="39383"/>
    <cellStyle name="Uwaga 2 27 9 2" xfId="39384"/>
    <cellStyle name="Uwaga 2 27 9 3" xfId="39385"/>
    <cellStyle name="Uwaga 2 27 9 4" xfId="39386"/>
    <cellStyle name="Uwaga 2 28" xfId="39387"/>
    <cellStyle name="Uwaga 2 28 10" xfId="39388"/>
    <cellStyle name="Uwaga 2 28 10 2" xfId="39389"/>
    <cellStyle name="Uwaga 2 28 10 3" xfId="39390"/>
    <cellStyle name="Uwaga 2 28 10 4" xfId="39391"/>
    <cellStyle name="Uwaga 2 28 11" xfId="39392"/>
    <cellStyle name="Uwaga 2 28 11 2" xfId="39393"/>
    <cellStyle name="Uwaga 2 28 11 3" xfId="39394"/>
    <cellStyle name="Uwaga 2 28 11 4" xfId="39395"/>
    <cellStyle name="Uwaga 2 28 12" xfId="39396"/>
    <cellStyle name="Uwaga 2 28 12 2" xfId="39397"/>
    <cellStyle name="Uwaga 2 28 12 3" xfId="39398"/>
    <cellStyle name="Uwaga 2 28 12 4" xfId="39399"/>
    <cellStyle name="Uwaga 2 28 13" xfId="39400"/>
    <cellStyle name="Uwaga 2 28 13 2" xfId="39401"/>
    <cellStyle name="Uwaga 2 28 13 3" xfId="39402"/>
    <cellStyle name="Uwaga 2 28 13 4" xfId="39403"/>
    <cellStyle name="Uwaga 2 28 14" xfId="39404"/>
    <cellStyle name="Uwaga 2 28 14 2" xfId="39405"/>
    <cellStyle name="Uwaga 2 28 14 3" xfId="39406"/>
    <cellStyle name="Uwaga 2 28 14 4" xfId="39407"/>
    <cellStyle name="Uwaga 2 28 15" xfId="39408"/>
    <cellStyle name="Uwaga 2 28 15 2" xfId="39409"/>
    <cellStyle name="Uwaga 2 28 15 3" xfId="39410"/>
    <cellStyle name="Uwaga 2 28 15 4" xfId="39411"/>
    <cellStyle name="Uwaga 2 28 16" xfId="39412"/>
    <cellStyle name="Uwaga 2 28 16 2" xfId="39413"/>
    <cellStyle name="Uwaga 2 28 16 3" xfId="39414"/>
    <cellStyle name="Uwaga 2 28 16 4" xfId="39415"/>
    <cellStyle name="Uwaga 2 28 17" xfId="39416"/>
    <cellStyle name="Uwaga 2 28 17 2" xfId="39417"/>
    <cellStyle name="Uwaga 2 28 17 3" xfId="39418"/>
    <cellStyle name="Uwaga 2 28 17 4" xfId="39419"/>
    <cellStyle name="Uwaga 2 28 18" xfId="39420"/>
    <cellStyle name="Uwaga 2 28 18 2" xfId="39421"/>
    <cellStyle name="Uwaga 2 28 18 3" xfId="39422"/>
    <cellStyle name="Uwaga 2 28 18 4" xfId="39423"/>
    <cellStyle name="Uwaga 2 28 19" xfId="39424"/>
    <cellStyle name="Uwaga 2 28 19 2" xfId="39425"/>
    <cellStyle name="Uwaga 2 28 19 3" xfId="39426"/>
    <cellStyle name="Uwaga 2 28 19 4" xfId="39427"/>
    <cellStyle name="Uwaga 2 28 2" xfId="39428"/>
    <cellStyle name="Uwaga 2 28 2 2" xfId="39429"/>
    <cellStyle name="Uwaga 2 28 2 3" xfId="39430"/>
    <cellStyle name="Uwaga 2 28 2 4" xfId="39431"/>
    <cellStyle name="Uwaga 2 28 20" xfId="39432"/>
    <cellStyle name="Uwaga 2 28 20 2" xfId="39433"/>
    <cellStyle name="Uwaga 2 28 20 3" xfId="39434"/>
    <cellStyle name="Uwaga 2 28 20 4" xfId="39435"/>
    <cellStyle name="Uwaga 2 28 21" xfId="39436"/>
    <cellStyle name="Uwaga 2 28 21 2" xfId="39437"/>
    <cellStyle name="Uwaga 2 28 21 3" xfId="39438"/>
    <cellStyle name="Uwaga 2 28 22" xfId="39439"/>
    <cellStyle name="Uwaga 2 28 22 2" xfId="39440"/>
    <cellStyle name="Uwaga 2 28 22 3" xfId="39441"/>
    <cellStyle name="Uwaga 2 28 23" xfId="39442"/>
    <cellStyle name="Uwaga 2 28 23 2" xfId="39443"/>
    <cellStyle name="Uwaga 2 28 23 3" xfId="39444"/>
    <cellStyle name="Uwaga 2 28 24" xfId="39445"/>
    <cellStyle name="Uwaga 2 28 24 2" xfId="39446"/>
    <cellStyle name="Uwaga 2 28 24 3" xfId="39447"/>
    <cellStyle name="Uwaga 2 28 25" xfId="39448"/>
    <cellStyle name="Uwaga 2 28 25 2" xfId="39449"/>
    <cellStyle name="Uwaga 2 28 25 3" xfId="39450"/>
    <cellStyle name="Uwaga 2 28 26" xfId="39451"/>
    <cellStyle name="Uwaga 2 28 26 2" xfId="39452"/>
    <cellStyle name="Uwaga 2 28 26 3" xfId="39453"/>
    <cellStyle name="Uwaga 2 28 27" xfId="39454"/>
    <cellStyle name="Uwaga 2 28 27 2" xfId="39455"/>
    <cellStyle name="Uwaga 2 28 27 3" xfId="39456"/>
    <cellStyle name="Uwaga 2 28 28" xfId="39457"/>
    <cellStyle name="Uwaga 2 28 28 2" xfId="39458"/>
    <cellStyle name="Uwaga 2 28 28 3" xfId="39459"/>
    <cellStyle name="Uwaga 2 28 29" xfId="39460"/>
    <cellStyle name="Uwaga 2 28 29 2" xfId="39461"/>
    <cellStyle name="Uwaga 2 28 29 3" xfId="39462"/>
    <cellStyle name="Uwaga 2 28 3" xfId="39463"/>
    <cellStyle name="Uwaga 2 28 3 2" xfId="39464"/>
    <cellStyle name="Uwaga 2 28 3 3" xfId="39465"/>
    <cellStyle name="Uwaga 2 28 3 4" xfId="39466"/>
    <cellStyle name="Uwaga 2 28 30" xfId="39467"/>
    <cellStyle name="Uwaga 2 28 30 2" xfId="39468"/>
    <cellStyle name="Uwaga 2 28 30 3" xfId="39469"/>
    <cellStyle name="Uwaga 2 28 31" xfId="39470"/>
    <cellStyle name="Uwaga 2 28 31 2" xfId="39471"/>
    <cellStyle name="Uwaga 2 28 31 3" xfId="39472"/>
    <cellStyle name="Uwaga 2 28 32" xfId="39473"/>
    <cellStyle name="Uwaga 2 28 32 2" xfId="39474"/>
    <cellStyle name="Uwaga 2 28 32 3" xfId="39475"/>
    <cellStyle name="Uwaga 2 28 33" xfId="39476"/>
    <cellStyle name="Uwaga 2 28 33 2" xfId="39477"/>
    <cellStyle name="Uwaga 2 28 33 3" xfId="39478"/>
    <cellStyle name="Uwaga 2 28 34" xfId="39479"/>
    <cellStyle name="Uwaga 2 28 34 2" xfId="39480"/>
    <cellStyle name="Uwaga 2 28 34 3" xfId="39481"/>
    <cellStyle name="Uwaga 2 28 35" xfId="39482"/>
    <cellStyle name="Uwaga 2 28 35 2" xfId="39483"/>
    <cellStyle name="Uwaga 2 28 35 3" xfId="39484"/>
    <cellStyle name="Uwaga 2 28 36" xfId="39485"/>
    <cellStyle name="Uwaga 2 28 36 2" xfId="39486"/>
    <cellStyle name="Uwaga 2 28 36 3" xfId="39487"/>
    <cellStyle name="Uwaga 2 28 37" xfId="39488"/>
    <cellStyle name="Uwaga 2 28 37 2" xfId="39489"/>
    <cellStyle name="Uwaga 2 28 37 3" xfId="39490"/>
    <cellStyle name="Uwaga 2 28 38" xfId="39491"/>
    <cellStyle name="Uwaga 2 28 38 2" xfId="39492"/>
    <cellStyle name="Uwaga 2 28 38 3" xfId="39493"/>
    <cellStyle name="Uwaga 2 28 39" xfId="39494"/>
    <cellStyle name="Uwaga 2 28 39 2" xfId="39495"/>
    <cellStyle name="Uwaga 2 28 39 3" xfId="39496"/>
    <cellStyle name="Uwaga 2 28 4" xfId="39497"/>
    <cellStyle name="Uwaga 2 28 4 2" xfId="39498"/>
    <cellStyle name="Uwaga 2 28 4 3" xfId="39499"/>
    <cellStyle name="Uwaga 2 28 4 4" xfId="39500"/>
    <cellStyle name="Uwaga 2 28 40" xfId="39501"/>
    <cellStyle name="Uwaga 2 28 40 2" xfId="39502"/>
    <cellStyle name="Uwaga 2 28 40 3" xfId="39503"/>
    <cellStyle name="Uwaga 2 28 41" xfId="39504"/>
    <cellStyle name="Uwaga 2 28 41 2" xfId="39505"/>
    <cellStyle name="Uwaga 2 28 41 3" xfId="39506"/>
    <cellStyle name="Uwaga 2 28 42" xfId="39507"/>
    <cellStyle name="Uwaga 2 28 42 2" xfId="39508"/>
    <cellStyle name="Uwaga 2 28 42 3" xfId="39509"/>
    <cellStyle name="Uwaga 2 28 43" xfId="39510"/>
    <cellStyle name="Uwaga 2 28 43 2" xfId="39511"/>
    <cellStyle name="Uwaga 2 28 43 3" xfId="39512"/>
    <cellStyle name="Uwaga 2 28 44" xfId="39513"/>
    <cellStyle name="Uwaga 2 28 44 2" xfId="39514"/>
    <cellStyle name="Uwaga 2 28 44 3" xfId="39515"/>
    <cellStyle name="Uwaga 2 28 45" xfId="39516"/>
    <cellStyle name="Uwaga 2 28 45 2" xfId="39517"/>
    <cellStyle name="Uwaga 2 28 45 3" xfId="39518"/>
    <cellStyle name="Uwaga 2 28 46" xfId="39519"/>
    <cellStyle name="Uwaga 2 28 46 2" xfId="39520"/>
    <cellStyle name="Uwaga 2 28 46 3" xfId="39521"/>
    <cellStyle name="Uwaga 2 28 47" xfId="39522"/>
    <cellStyle name="Uwaga 2 28 47 2" xfId="39523"/>
    <cellStyle name="Uwaga 2 28 47 3" xfId="39524"/>
    <cellStyle name="Uwaga 2 28 48" xfId="39525"/>
    <cellStyle name="Uwaga 2 28 48 2" xfId="39526"/>
    <cellStyle name="Uwaga 2 28 48 3" xfId="39527"/>
    <cellStyle name="Uwaga 2 28 49" xfId="39528"/>
    <cellStyle name="Uwaga 2 28 49 2" xfId="39529"/>
    <cellStyle name="Uwaga 2 28 49 3" xfId="39530"/>
    <cellStyle name="Uwaga 2 28 5" xfId="39531"/>
    <cellStyle name="Uwaga 2 28 5 2" xfId="39532"/>
    <cellStyle name="Uwaga 2 28 5 3" xfId="39533"/>
    <cellStyle name="Uwaga 2 28 5 4" xfId="39534"/>
    <cellStyle name="Uwaga 2 28 50" xfId="39535"/>
    <cellStyle name="Uwaga 2 28 50 2" xfId="39536"/>
    <cellStyle name="Uwaga 2 28 50 3" xfId="39537"/>
    <cellStyle name="Uwaga 2 28 51" xfId="39538"/>
    <cellStyle name="Uwaga 2 28 51 2" xfId="39539"/>
    <cellStyle name="Uwaga 2 28 51 3" xfId="39540"/>
    <cellStyle name="Uwaga 2 28 52" xfId="39541"/>
    <cellStyle name="Uwaga 2 28 52 2" xfId="39542"/>
    <cellStyle name="Uwaga 2 28 52 3" xfId="39543"/>
    <cellStyle name="Uwaga 2 28 53" xfId="39544"/>
    <cellStyle name="Uwaga 2 28 53 2" xfId="39545"/>
    <cellStyle name="Uwaga 2 28 53 3" xfId="39546"/>
    <cellStyle name="Uwaga 2 28 54" xfId="39547"/>
    <cellStyle name="Uwaga 2 28 54 2" xfId="39548"/>
    <cellStyle name="Uwaga 2 28 54 3" xfId="39549"/>
    <cellStyle name="Uwaga 2 28 55" xfId="39550"/>
    <cellStyle name="Uwaga 2 28 55 2" xfId="39551"/>
    <cellStyle name="Uwaga 2 28 55 3" xfId="39552"/>
    <cellStyle name="Uwaga 2 28 56" xfId="39553"/>
    <cellStyle name="Uwaga 2 28 56 2" xfId="39554"/>
    <cellStyle name="Uwaga 2 28 56 3" xfId="39555"/>
    <cellStyle name="Uwaga 2 28 57" xfId="39556"/>
    <cellStyle name="Uwaga 2 28 58" xfId="39557"/>
    <cellStyle name="Uwaga 2 28 6" xfId="39558"/>
    <cellStyle name="Uwaga 2 28 6 2" xfId="39559"/>
    <cellStyle name="Uwaga 2 28 6 3" xfId="39560"/>
    <cellStyle name="Uwaga 2 28 6 4" xfId="39561"/>
    <cellStyle name="Uwaga 2 28 7" xfId="39562"/>
    <cellStyle name="Uwaga 2 28 7 2" xfId="39563"/>
    <cellStyle name="Uwaga 2 28 7 3" xfId="39564"/>
    <cellStyle name="Uwaga 2 28 7 4" xfId="39565"/>
    <cellStyle name="Uwaga 2 28 8" xfId="39566"/>
    <cellStyle name="Uwaga 2 28 8 2" xfId="39567"/>
    <cellStyle name="Uwaga 2 28 8 3" xfId="39568"/>
    <cellStyle name="Uwaga 2 28 8 4" xfId="39569"/>
    <cellStyle name="Uwaga 2 28 9" xfId="39570"/>
    <cellStyle name="Uwaga 2 28 9 2" xfId="39571"/>
    <cellStyle name="Uwaga 2 28 9 3" xfId="39572"/>
    <cellStyle name="Uwaga 2 28 9 4" xfId="39573"/>
    <cellStyle name="Uwaga 2 29" xfId="39574"/>
    <cellStyle name="Uwaga 2 29 2" xfId="39575"/>
    <cellStyle name="Uwaga 2 3" xfId="39576"/>
    <cellStyle name="Uwaga 2 3 10" xfId="39577"/>
    <cellStyle name="Uwaga 2 3 10 2" xfId="39578"/>
    <cellStyle name="Uwaga 2 3 10 3" xfId="39579"/>
    <cellStyle name="Uwaga 2 3 10 4" xfId="39580"/>
    <cellStyle name="Uwaga 2 3 11" xfId="39581"/>
    <cellStyle name="Uwaga 2 3 11 2" xfId="39582"/>
    <cellStyle name="Uwaga 2 3 11 3" xfId="39583"/>
    <cellStyle name="Uwaga 2 3 11 4" xfId="39584"/>
    <cellStyle name="Uwaga 2 3 12" xfId="39585"/>
    <cellStyle name="Uwaga 2 3 12 2" xfId="39586"/>
    <cellStyle name="Uwaga 2 3 12 3" xfId="39587"/>
    <cellStyle name="Uwaga 2 3 12 4" xfId="39588"/>
    <cellStyle name="Uwaga 2 3 13" xfId="39589"/>
    <cellStyle name="Uwaga 2 3 13 2" xfId="39590"/>
    <cellStyle name="Uwaga 2 3 13 3" xfId="39591"/>
    <cellStyle name="Uwaga 2 3 13 4" xfId="39592"/>
    <cellStyle name="Uwaga 2 3 14" xfId="39593"/>
    <cellStyle name="Uwaga 2 3 14 2" xfId="39594"/>
    <cellStyle name="Uwaga 2 3 14 3" xfId="39595"/>
    <cellStyle name="Uwaga 2 3 14 4" xfId="39596"/>
    <cellStyle name="Uwaga 2 3 15" xfId="39597"/>
    <cellStyle name="Uwaga 2 3 15 2" xfId="39598"/>
    <cellStyle name="Uwaga 2 3 15 3" xfId="39599"/>
    <cellStyle name="Uwaga 2 3 15 4" xfId="39600"/>
    <cellStyle name="Uwaga 2 3 16" xfId="39601"/>
    <cellStyle name="Uwaga 2 3 16 2" xfId="39602"/>
    <cellStyle name="Uwaga 2 3 16 3" xfId="39603"/>
    <cellStyle name="Uwaga 2 3 16 4" xfId="39604"/>
    <cellStyle name="Uwaga 2 3 17" xfId="39605"/>
    <cellStyle name="Uwaga 2 3 17 2" xfId="39606"/>
    <cellStyle name="Uwaga 2 3 17 3" xfId="39607"/>
    <cellStyle name="Uwaga 2 3 17 4" xfId="39608"/>
    <cellStyle name="Uwaga 2 3 18" xfId="39609"/>
    <cellStyle name="Uwaga 2 3 18 2" xfId="39610"/>
    <cellStyle name="Uwaga 2 3 18 3" xfId="39611"/>
    <cellStyle name="Uwaga 2 3 18 4" xfId="39612"/>
    <cellStyle name="Uwaga 2 3 19" xfId="39613"/>
    <cellStyle name="Uwaga 2 3 19 2" xfId="39614"/>
    <cellStyle name="Uwaga 2 3 19 3" xfId="39615"/>
    <cellStyle name="Uwaga 2 3 19 4" xfId="39616"/>
    <cellStyle name="Uwaga 2 3 2" xfId="39617"/>
    <cellStyle name="Uwaga 2 3 2 2" xfId="39618"/>
    <cellStyle name="Uwaga 2 3 2 3" xfId="39619"/>
    <cellStyle name="Uwaga 2 3 2 4" xfId="39620"/>
    <cellStyle name="Uwaga 2 3 20" xfId="39621"/>
    <cellStyle name="Uwaga 2 3 20 2" xfId="39622"/>
    <cellStyle name="Uwaga 2 3 20 3" xfId="39623"/>
    <cellStyle name="Uwaga 2 3 20 4" xfId="39624"/>
    <cellStyle name="Uwaga 2 3 21" xfId="39625"/>
    <cellStyle name="Uwaga 2 3 21 2" xfId="39626"/>
    <cellStyle name="Uwaga 2 3 21 3" xfId="39627"/>
    <cellStyle name="Uwaga 2 3 22" xfId="39628"/>
    <cellStyle name="Uwaga 2 3 22 2" xfId="39629"/>
    <cellStyle name="Uwaga 2 3 22 3" xfId="39630"/>
    <cellStyle name="Uwaga 2 3 23" xfId="39631"/>
    <cellStyle name="Uwaga 2 3 23 2" xfId="39632"/>
    <cellStyle name="Uwaga 2 3 23 3" xfId="39633"/>
    <cellStyle name="Uwaga 2 3 24" xfId="39634"/>
    <cellStyle name="Uwaga 2 3 24 2" xfId="39635"/>
    <cellStyle name="Uwaga 2 3 24 3" xfId="39636"/>
    <cellStyle name="Uwaga 2 3 25" xfId="39637"/>
    <cellStyle name="Uwaga 2 3 25 2" xfId="39638"/>
    <cellStyle name="Uwaga 2 3 25 3" xfId="39639"/>
    <cellStyle name="Uwaga 2 3 26" xfId="39640"/>
    <cellStyle name="Uwaga 2 3 26 2" xfId="39641"/>
    <cellStyle name="Uwaga 2 3 26 3" xfId="39642"/>
    <cellStyle name="Uwaga 2 3 27" xfId="39643"/>
    <cellStyle name="Uwaga 2 3 27 2" xfId="39644"/>
    <cellStyle name="Uwaga 2 3 27 3" xfId="39645"/>
    <cellStyle name="Uwaga 2 3 28" xfId="39646"/>
    <cellStyle name="Uwaga 2 3 28 2" xfId="39647"/>
    <cellStyle name="Uwaga 2 3 28 3" xfId="39648"/>
    <cellStyle name="Uwaga 2 3 29" xfId="39649"/>
    <cellStyle name="Uwaga 2 3 29 2" xfId="39650"/>
    <cellStyle name="Uwaga 2 3 29 3" xfId="39651"/>
    <cellStyle name="Uwaga 2 3 3" xfId="39652"/>
    <cellStyle name="Uwaga 2 3 3 2" xfId="39653"/>
    <cellStyle name="Uwaga 2 3 3 3" xfId="39654"/>
    <cellStyle name="Uwaga 2 3 3 4" xfId="39655"/>
    <cellStyle name="Uwaga 2 3 30" xfId="39656"/>
    <cellStyle name="Uwaga 2 3 30 2" xfId="39657"/>
    <cellStyle name="Uwaga 2 3 30 3" xfId="39658"/>
    <cellStyle name="Uwaga 2 3 31" xfId="39659"/>
    <cellStyle name="Uwaga 2 3 31 2" xfId="39660"/>
    <cellStyle name="Uwaga 2 3 31 3" xfId="39661"/>
    <cellStyle name="Uwaga 2 3 32" xfId="39662"/>
    <cellStyle name="Uwaga 2 3 32 2" xfId="39663"/>
    <cellStyle name="Uwaga 2 3 32 3" xfId="39664"/>
    <cellStyle name="Uwaga 2 3 33" xfId="39665"/>
    <cellStyle name="Uwaga 2 3 33 2" xfId="39666"/>
    <cellStyle name="Uwaga 2 3 33 3" xfId="39667"/>
    <cellStyle name="Uwaga 2 3 34" xfId="39668"/>
    <cellStyle name="Uwaga 2 3 34 2" xfId="39669"/>
    <cellStyle name="Uwaga 2 3 34 3" xfId="39670"/>
    <cellStyle name="Uwaga 2 3 35" xfId="39671"/>
    <cellStyle name="Uwaga 2 3 35 2" xfId="39672"/>
    <cellStyle name="Uwaga 2 3 35 3" xfId="39673"/>
    <cellStyle name="Uwaga 2 3 36" xfId="39674"/>
    <cellStyle name="Uwaga 2 3 36 2" xfId="39675"/>
    <cellStyle name="Uwaga 2 3 36 3" xfId="39676"/>
    <cellStyle name="Uwaga 2 3 37" xfId="39677"/>
    <cellStyle name="Uwaga 2 3 37 2" xfId="39678"/>
    <cellStyle name="Uwaga 2 3 37 3" xfId="39679"/>
    <cellStyle name="Uwaga 2 3 38" xfId="39680"/>
    <cellStyle name="Uwaga 2 3 38 2" xfId="39681"/>
    <cellStyle name="Uwaga 2 3 38 3" xfId="39682"/>
    <cellStyle name="Uwaga 2 3 39" xfId="39683"/>
    <cellStyle name="Uwaga 2 3 39 2" xfId="39684"/>
    <cellStyle name="Uwaga 2 3 39 3" xfId="39685"/>
    <cellStyle name="Uwaga 2 3 4" xfId="39686"/>
    <cellStyle name="Uwaga 2 3 4 2" xfId="39687"/>
    <cellStyle name="Uwaga 2 3 4 3" xfId="39688"/>
    <cellStyle name="Uwaga 2 3 4 4" xfId="39689"/>
    <cellStyle name="Uwaga 2 3 40" xfId="39690"/>
    <cellStyle name="Uwaga 2 3 40 2" xfId="39691"/>
    <cellStyle name="Uwaga 2 3 40 3" xfId="39692"/>
    <cellStyle name="Uwaga 2 3 41" xfId="39693"/>
    <cellStyle name="Uwaga 2 3 41 2" xfId="39694"/>
    <cellStyle name="Uwaga 2 3 41 3" xfId="39695"/>
    <cellStyle name="Uwaga 2 3 42" xfId="39696"/>
    <cellStyle name="Uwaga 2 3 42 2" xfId="39697"/>
    <cellStyle name="Uwaga 2 3 42 3" xfId="39698"/>
    <cellStyle name="Uwaga 2 3 43" xfId="39699"/>
    <cellStyle name="Uwaga 2 3 43 2" xfId="39700"/>
    <cellStyle name="Uwaga 2 3 43 3" xfId="39701"/>
    <cellStyle name="Uwaga 2 3 44" xfId="39702"/>
    <cellStyle name="Uwaga 2 3 44 2" xfId="39703"/>
    <cellStyle name="Uwaga 2 3 44 3" xfId="39704"/>
    <cellStyle name="Uwaga 2 3 45" xfId="39705"/>
    <cellStyle name="Uwaga 2 3 45 2" xfId="39706"/>
    <cellStyle name="Uwaga 2 3 45 3" xfId="39707"/>
    <cellStyle name="Uwaga 2 3 46" xfId="39708"/>
    <cellStyle name="Uwaga 2 3 46 2" xfId="39709"/>
    <cellStyle name="Uwaga 2 3 46 3" xfId="39710"/>
    <cellStyle name="Uwaga 2 3 47" xfId="39711"/>
    <cellStyle name="Uwaga 2 3 47 2" xfId="39712"/>
    <cellStyle name="Uwaga 2 3 47 3" xfId="39713"/>
    <cellStyle name="Uwaga 2 3 48" xfId="39714"/>
    <cellStyle name="Uwaga 2 3 48 2" xfId="39715"/>
    <cellStyle name="Uwaga 2 3 48 3" xfId="39716"/>
    <cellStyle name="Uwaga 2 3 49" xfId="39717"/>
    <cellStyle name="Uwaga 2 3 49 2" xfId="39718"/>
    <cellStyle name="Uwaga 2 3 49 3" xfId="39719"/>
    <cellStyle name="Uwaga 2 3 5" xfId="39720"/>
    <cellStyle name="Uwaga 2 3 5 2" xfId="39721"/>
    <cellStyle name="Uwaga 2 3 5 3" xfId="39722"/>
    <cellStyle name="Uwaga 2 3 5 4" xfId="39723"/>
    <cellStyle name="Uwaga 2 3 50" xfId="39724"/>
    <cellStyle name="Uwaga 2 3 50 2" xfId="39725"/>
    <cellStyle name="Uwaga 2 3 50 3" xfId="39726"/>
    <cellStyle name="Uwaga 2 3 51" xfId="39727"/>
    <cellStyle name="Uwaga 2 3 51 2" xfId="39728"/>
    <cellStyle name="Uwaga 2 3 51 3" xfId="39729"/>
    <cellStyle name="Uwaga 2 3 52" xfId="39730"/>
    <cellStyle name="Uwaga 2 3 52 2" xfId="39731"/>
    <cellStyle name="Uwaga 2 3 52 3" xfId="39732"/>
    <cellStyle name="Uwaga 2 3 53" xfId="39733"/>
    <cellStyle name="Uwaga 2 3 53 2" xfId="39734"/>
    <cellStyle name="Uwaga 2 3 53 3" xfId="39735"/>
    <cellStyle name="Uwaga 2 3 54" xfId="39736"/>
    <cellStyle name="Uwaga 2 3 54 2" xfId="39737"/>
    <cellStyle name="Uwaga 2 3 54 3" xfId="39738"/>
    <cellStyle name="Uwaga 2 3 55" xfId="39739"/>
    <cellStyle name="Uwaga 2 3 55 2" xfId="39740"/>
    <cellStyle name="Uwaga 2 3 55 3" xfId="39741"/>
    <cellStyle name="Uwaga 2 3 56" xfId="39742"/>
    <cellStyle name="Uwaga 2 3 56 2" xfId="39743"/>
    <cellStyle name="Uwaga 2 3 56 3" xfId="39744"/>
    <cellStyle name="Uwaga 2 3 57" xfId="39745"/>
    <cellStyle name="Uwaga 2 3 58" xfId="39746"/>
    <cellStyle name="Uwaga 2 3 59" xfId="39747"/>
    <cellStyle name="Uwaga 2 3 6" xfId="39748"/>
    <cellStyle name="Uwaga 2 3 6 2" xfId="39749"/>
    <cellStyle name="Uwaga 2 3 6 3" xfId="39750"/>
    <cellStyle name="Uwaga 2 3 6 4" xfId="39751"/>
    <cellStyle name="Uwaga 2 3 7" xfId="39752"/>
    <cellStyle name="Uwaga 2 3 7 2" xfId="39753"/>
    <cellStyle name="Uwaga 2 3 7 3" xfId="39754"/>
    <cellStyle name="Uwaga 2 3 7 4" xfId="39755"/>
    <cellStyle name="Uwaga 2 3 8" xfId="39756"/>
    <cellStyle name="Uwaga 2 3 8 2" xfId="39757"/>
    <cellStyle name="Uwaga 2 3 8 3" xfId="39758"/>
    <cellStyle name="Uwaga 2 3 8 4" xfId="39759"/>
    <cellStyle name="Uwaga 2 3 9" xfId="39760"/>
    <cellStyle name="Uwaga 2 3 9 2" xfId="39761"/>
    <cellStyle name="Uwaga 2 3 9 3" xfId="39762"/>
    <cellStyle name="Uwaga 2 3 9 4" xfId="39763"/>
    <cellStyle name="Uwaga 2 30" xfId="39764"/>
    <cellStyle name="Uwaga 2 30 2" xfId="39765"/>
    <cellStyle name="Uwaga 2 31" xfId="39766"/>
    <cellStyle name="Uwaga 2 31 2" xfId="39767"/>
    <cellStyle name="Uwaga 2 31 3" xfId="39768"/>
    <cellStyle name="Uwaga 2 31 4" xfId="39769"/>
    <cellStyle name="Uwaga 2 32" xfId="39770"/>
    <cellStyle name="Uwaga 2 32 2" xfId="39771"/>
    <cellStyle name="Uwaga 2 32 3" xfId="39772"/>
    <cellStyle name="Uwaga 2 32 4" xfId="39773"/>
    <cellStyle name="Uwaga 2 33" xfId="39774"/>
    <cellStyle name="Uwaga 2 33 2" xfId="39775"/>
    <cellStyle name="Uwaga 2 33 3" xfId="39776"/>
    <cellStyle name="Uwaga 2 33 4" xfId="39777"/>
    <cellStyle name="Uwaga 2 34" xfId="39778"/>
    <cellStyle name="Uwaga 2 34 2" xfId="39779"/>
    <cellStyle name="Uwaga 2 34 3" xfId="39780"/>
    <cellStyle name="Uwaga 2 34 4" xfId="39781"/>
    <cellStyle name="Uwaga 2 35" xfId="39782"/>
    <cellStyle name="Uwaga 2 35 2" xfId="39783"/>
    <cellStyle name="Uwaga 2 35 3" xfId="39784"/>
    <cellStyle name="Uwaga 2 35 4" xfId="39785"/>
    <cellStyle name="Uwaga 2 36" xfId="39786"/>
    <cellStyle name="Uwaga 2 36 2" xfId="39787"/>
    <cellStyle name="Uwaga 2 36 3" xfId="39788"/>
    <cellStyle name="Uwaga 2 36 4" xfId="39789"/>
    <cellStyle name="Uwaga 2 37" xfId="39790"/>
    <cellStyle name="Uwaga 2 37 2" xfId="39791"/>
    <cellStyle name="Uwaga 2 37 3" xfId="39792"/>
    <cellStyle name="Uwaga 2 37 4" xfId="39793"/>
    <cellStyle name="Uwaga 2 38" xfId="39794"/>
    <cellStyle name="Uwaga 2 38 2" xfId="39795"/>
    <cellStyle name="Uwaga 2 38 3" xfId="39796"/>
    <cellStyle name="Uwaga 2 38 4" xfId="39797"/>
    <cellStyle name="Uwaga 2 39" xfId="39798"/>
    <cellStyle name="Uwaga 2 39 2" xfId="39799"/>
    <cellStyle name="Uwaga 2 39 3" xfId="39800"/>
    <cellStyle name="Uwaga 2 39 4" xfId="39801"/>
    <cellStyle name="Uwaga 2 4" xfId="39802"/>
    <cellStyle name="Uwaga 2 4 10" xfId="39803"/>
    <cellStyle name="Uwaga 2 4 10 2" xfId="39804"/>
    <cellStyle name="Uwaga 2 4 10 3" xfId="39805"/>
    <cellStyle name="Uwaga 2 4 10 4" xfId="39806"/>
    <cellStyle name="Uwaga 2 4 11" xfId="39807"/>
    <cellStyle name="Uwaga 2 4 11 2" xfId="39808"/>
    <cellStyle name="Uwaga 2 4 11 3" xfId="39809"/>
    <cellStyle name="Uwaga 2 4 11 4" xfId="39810"/>
    <cellStyle name="Uwaga 2 4 12" xfId="39811"/>
    <cellStyle name="Uwaga 2 4 12 2" xfId="39812"/>
    <cellStyle name="Uwaga 2 4 12 3" xfId="39813"/>
    <cellStyle name="Uwaga 2 4 12 4" xfId="39814"/>
    <cellStyle name="Uwaga 2 4 13" xfId="39815"/>
    <cellStyle name="Uwaga 2 4 13 2" xfId="39816"/>
    <cellStyle name="Uwaga 2 4 13 3" xfId="39817"/>
    <cellStyle name="Uwaga 2 4 13 4" xfId="39818"/>
    <cellStyle name="Uwaga 2 4 14" xfId="39819"/>
    <cellStyle name="Uwaga 2 4 14 2" xfId="39820"/>
    <cellStyle name="Uwaga 2 4 14 3" xfId="39821"/>
    <cellStyle name="Uwaga 2 4 14 4" xfId="39822"/>
    <cellStyle name="Uwaga 2 4 15" xfId="39823"/>
    <cellStyle name="Uwaga 2 4 15 2" xfId="39824"/>
    <cellStyle name="Uwaga 2 4 15 3" xfId="39825"/>
    <cellStyle name="Uwaga 2 4 15 4" xfId="39826"/>
    <cellStyle name="Uwaga 2 4 16" xfId="39827"/>
    <cellStyle name="Uwaga 2 4 16 2" xfId="39828"/>
    <cellStyle name="Uwaga 2 4 16 3" xfId="39829"/>
    <cellStyle name="Uwaga 2 4 16 4" xfId="39830"/>
    <cellStyle name="Uwaga 2 4 17" xfId="39831"/>
    <cellStyle name="Uwaga 2 4 17 2" xfId="39832"/>
    <cellStyle name="Uwaga 2 4 17 3" xfId="39833"/>
    <cellStyle name="Uwaga 2 4 17 4" xfId="39834"/>
    <cellStyle name="Uwaga 2 4 18" xfId="39835"/>
    <cellStyle name="Uwaga 2 4 18 2" xfId="39836"/>
    <cellStyle name="Uwaga 2 4 18 3" xfId="39837"/>
    <cellStyle name="Uwaga 2 4 18 4" xfId="39838"/>
    <cellStyle name="Uwaga 2 4 19" xfId="39839"/>
    <cellStyle name="Uwaga 2 4 19 2" xfId="39840"/>
    <cellStyle name="Uwaga 2 4 19 3" xfId="39841"/>
    <cellStyle name="Uwaga 2 4 19 4" xfId="39842"/>
    <cellStyle name="Uwaga 2 4 2" xfId="39843"/>
    <cellStyle name="Uwaga 2 4 2 2" xfId="39844"/>
    <cellStyle name="Uwaga 2 4 2 3" xfId="39845"/>
    <cellStyle name="Uwaga 2 4 2 4" xfId="39846"/>
    <cellStyle name="Uwaga 2 4 20" xfId="39847"/>
    <cellStyle name="Uwaga 2 4 20 2" xfId="39848"/>
    <cellStyle name="Uwaga 2 4 20 3" xfId="39849"/>
    <cellStyle name="Uwaga 2 4 20 4" xfId="39850"/>
    <cellStyle name="Uwaga 2 4 21" xfId="39851"/>
    <cellStyle name="Uwaga 2 4 21 2" xfId="39852"/>
    <cellStyle name="Uwaga 2 4 21 3" xfId="39853"/>
    <cellStyle name="Uwaga 2 4 22" xfId="39854"/>
    <cellStyle name="Uwaga 2 4 22 2" xfId="39855"/>
    <cellStyle name="Uwaga 2 4 22 3" xfId="39856"/>
    <cellStyle name="Uwaga 2 4 23" xfId="39857"/>
    <cellStyle name="Uwaga 2 4 23 2" xfId="39858"/>
    <cellStyle name="Uwaga 2 4 23 3" xfId="39859"/>
    <cellStyle name="Uwaga 2 4 24" xfId="39860"/>
    <cellStyle name="Uwaga 2 4 24 2" xfId="39861"/>
    <cellStyle name="Uwaga 2 4 24 3" xfId="39862"/>
    <cellStyle name="Uwaga 2 4 25" xfId="39863"/>
    <cellStyle name="Uwaga 2 4 25 2" xfId="39864"/>
    <cellStyle name="Uwaga 2 4 25 3" xfId="39865"/>
    <cellStyle name="Uwaga 2 4 26" xfId="39866"/>
    <cellStyle name="Uwaga 2 4 26 2" xfId="39867"/>
    <cellStyle name="Uwaga 2 4 26 3" xfId="39868"/>
    <cellStyle name="Uwaga 2 4 27" xfId="39869"/>
    <cellStyle name="Uwaga 2 4 27 2" xfId="39870"/>
    <cellStyle name="Uwaga 2 4 27 3" xfId="39871"/>
    <cellStyle name="Uwaga 2 4 28" xfId="39872"/>
    <cellStyle name="Uwaga 2 4 28 2" xfId="39873"/>
    <cellStyle name="Uwaga 2 4 28 3" xfId="39874"/>
    <cellStyle name="Uwaga 2 4 29" xfId="39875"/>
    <cellStyle name="Uwaga 2 4 29 2" xfId="39876"/>
    <cellStyle name="Uwaga 2 4 29 3" xfId="39877"/>
    <cellStyle name="Uwaga 2 4 3" xfId="39878"/>
    <cellStyle name="Uwaga 2 4 3 2" xfId="39879"/>
    <cellStyle name="Uwaga 2 4 3 3" xfId="39880"/>
    <cellStyle name="Uwaga 2 4 3 4" xfId="39881"/>
    <cellStyle name="Uwaga 2 4 30" xfId="39882"/>
    <cellStyle name="Uwaga 2 4 30 2" xfId="39883"/>
    <cellStyle name="Uwaga 2 4 30 3" xfId="39884"/>
    <cellStyle name="Uwaga 2 4 31" xfId="39885"/>
    <cellStyle name="Uwaga 2 4 31 2" xfId="39886"/>
    <cellStyle name="Uwaga 2 4 31 3" xfId="39887"/>
    <cellStyle name="Uwaga 2 4 32" xfId="39888"/>
    <cellStyle name="Uwaga 2 4 32 2" xfId="39889"/>
    <cellStyle name="Uwaga 2 4 32 3" xfId="39890"/>
    <cellStyle name="Uwaga 2 4 33" xfId="39891"/>
    <cellStyle name="Uwaga 2 4 33 2" xfId="39892"/>
    <cellStyle name="Uwaga 2 4 33 3" xfId="39893"/>
    <cellStyle name="Uwaga 2 4 34" xfId="39894"/>
    <cellStyle name="Uwaga 2 4 34 2" xfId="39895"/>
    <cellStyle name="Uwaga 2 4 34 3" xfId="39896"/>
    <cellStyle name="Uwaga 2 4 35" xfId="39897"/>
    <cellStyle name="Uwaga 2 4 35 2" xfId="39898"/>
    <cellStyle name="Uwaga 2 4 35 3" xfId="39899"/>
    <cellStyle name="Uwaga 2 4 36" xfId="39900"/>
    <cellStyle name="Uwaga 2 4 36 2" xfId="39901"/>
    <cellStyle name="Uwaga 2 4 36 3" xfId="39902"/>
    <cellStyle name="Uwaga 2 4 37" xfId="39903"/>
    <cellStyle name="Uwaga 2 4 37 2" xfId="39904"/>
    <cellStyle name="Uwaga 2 4 37 3" xfId="39905"/>
    <cellStyle name="Uwaga 2 4 38" xfId="39906"/>
    <cellStyle name="Uwaga 2 4 38 2" xfId="39907"/>
    <cellStyle name="Uwaga 2 4 38 3" xfId="39908"/>
    <cellStyle name="Uwaga 2 4 39" xfId="39909"/>
    <cellStyle name="Uwaga 2 4 39 2" xfId="39910"/>
    <cellStyle name="Uwaga 2 4 39 3" xfId="39911"/>
    <cellStyle name="Uwaga 2 4 4" xfId="39912"/>
    <cellStyle name="Uwaga 2 4 4 2" xfId="39913"/>
    <cellStyle name="Uwaga 2 4 4 3" xfId="39914"/>
    <cellStyle name="Uwaga 2 4 4 4" xfId="39915"/>
    <cellStyle name="Uwaga 2 4 40" xfId="39916"/>
    <cellStyle name="Uwaga 2 4 40 2" xfId="39917"/>
    <cellStyle name="Uwaga 2 4 40 3" xfId="39918"/>
    <cellStyle name="Uwaga 2 4 41" xfId="39919"/>
    <cellStyle name="Uwaga 2 4 41 2" xfId="39920"/>
    <cellStyle name="Uwaga 2 4 41 3" xfId="39921"/>
    <cellStyle name="Uwaga 2 4 42" xfId="39922"/>
    <cellStyle name="Uwaga 2 4 42 2" xfId="39923"/>
    <cellStyle name="Uwaga 2 4 42 3" xfId="39924"/>
    <cellStyle name="Uwaga 2 4 43" xfId="39925"/>
    <cellStyle name="Uwaga 2 4 43 2" xfId="39926"/>
    <cellStyle name="Uwaga 2 4 43 3" xfId="39927"/>
    <cellStyle name="Uwaga 2 4 44" xfId="39928"/>
    <cellStyle name="Uwaga 2 4 44 2" xfId="39929"/>
    <cellStyle name="Uwaga 2 4 44 3" xfId="39930"/>
    <cellStyle name="Uwaga 2 4 45" xfId="39931"/>
    <cellStyle name="Uwaga 2 4 45 2" xfId="39932"/>
    <cellStyle name="Uwaga 2 4 45 3" xfId="39933"/>
    <cellStyle name="Uwaga 2 4 46" xfId="39934"/>
    <cellStyle name="Uwaga 2 4 46 2" xfId="39935"/>
    <cellStyle name="Uwaga 2 4 46 3" xfId="39936"/>
    <cellStyle name="Uwaga 2 4 47" xfId="39937"/>
    <cellStyle name="Uwaga 2 4 47 2" xfId="39938"/>
    <cellStyle name="Uwaga 2 4 47 3" xfId="39939"/>
    <cellStyle name="Uwaga 2 4 48" xfId="39940"/>
    <cellStyle name="Uwaga 2 4 48 2" xfId="39941"/>
    <cellStyle name="Uwaga 2 4 48 3" xfId="39942"/>
    <cellStyle name="Uwaga 2 4 49" xfId="39943"/>
    <cellStyle name="Uwaga 2 4 49 2" xfId="39944"/>
    <cellStyle name="Uwaga 2 4 49 3" xfId="39945"/>
    <cellStyle name="Uwaga 2 4 5" xfId="39946"/>
    <cellStyle name="Uwaga 2 4 5 2" xfId="39947"/>
    <cellStyle name="Uwaga 2 4 5 3" xfId="39948"/>
    <cellStyle name="Uwaga 2 4 5 4" xfId="39949"/>
    <cellStyle name="Uwaga 2 4 50" xfId="39950"/>
    <cellStyle name="Uwaga 2 4 50 2" xfId="39951"/>
    <cellStyle name="Uwaga 2 4 50 3" xfId="39952"/>
    <cellStyle name="Uwaga 2 4 51" xfId="39953"/>
    <cellStyle name="Uwaga 2 4 51 2" xfId="39954"/>
    <cellStyle name="Uwaga 2 4 51 3" xfId="39955"/>
    <cellStyle name="Uwaga 2 4 52" xfId="39956"/>
    <cellStyle name="Uwaga 2 4 52 2" xfId="39957"/>
    <cellStyle name="Uwaga 2 4 52 3" xfId="39958"/>
    <cellStyle name="Uwaga 2 4 53" xfId="39959"/>
    <cellStyle name="Uwaga 2 4 53 2" xfId="39960"/>
    <cellStyle name="Uwaga 2 4 53 3" xfId="39961"/>
    <cellStyle name="Uwaga 2 4 54" xfId="39962"/>
    <cellStyle name="Uwaga 2 4 54 2" xfId="39963"/>
    <cellStyle name="Uwaga 2 4 54 3" xfId="39964"/>
    <cellStyle name="Uwaga 2 4 55" xfId="39965"/>
    <cellStyle name="Uwaga 2 4 55 2" xfId="39966"/>
    <cellStyle name="Uwaga 2 4 55 3" xfId="39967"/>
    <cellStyle name="Uwaga 2 4 56" xfId="39968"/>
    <cellStyle name="Uwaga 2 4 56 2" xfId="39969"/>
    <cellStyle name="Uwaga 2 4 56 3" xfId="39970"/>
    <cellStyle name="Uwaga 2 4 57" xfId="39971"/>
    <cellStyle name="Uwaga 2 4 58" xfId="39972"/>
    <cellStyle name="Uwaga 2 4 59" xfId="39973"/>
    <cellStyle name="Uwaga 2 4 6" xfId="39974"/>
    <cellStyle name="Uwaga 2 4 6 2" xfId="39975"/>
    <cellStyle name="Uwaga 2 4 6 3" xfId="39976"/>
    <cellStyle name="Uwaga 2 4 6 4" xfId="39977"/>
    <cellStyle name="Uwaga 2 4 7" xfId="39978"/>
    <cellStyle name="Uwaga 2 4 7 2" xfId="39979"/>
    <cellStyle name="Uwaga 2 4 7 3" xfId="39980"/>
    <cellStyle name="Uwaga 2 4 7 4" xfId="39981"/>
    <cellStyle name="Uwaga 2 4 8" xfId="39982"/>
    <cellStyle name="Uwaga 2 4 8 2" xfId="39983"/>
    <cellStyle name="Uwaga 2 4 8 3" xfId="39984"/>
    <cellStyle name="Uwaga 2 4 8 4" xfId="39985"/>
    <cellStyle name="Uwaga 2 4 9" xfId="39986"/>
    <cellStyle name="Uwaga 2 4 9 2" xfId="39987"/>
    <cellStyle name="Uwaga 2 4 9 3" xfId="39988"/>
    <cellStyle name="Uwaga 2 4 9 4" xfId="39989"/>
    <cellStyle name="Uwaga 2 40" xfId="39990"/>
    <cellStyle name="Uwaga 2 40 2" xfId="39991"/>
    <cellStyle name="Uwaga 2 40 3" xfId="39992"/>
    <cellStyle name="Uwaga 2 40 4" xfId="39993"/>
    <cellStyle name="Uwaga 2 41" xfId="39994"/>
    <cellStyle name="Uwaga 2 41 2" xfId="39995"/>
    <cellStyle name="Uwaga 2 41 3" xfId="39996"/>
    <cellStyle name="Uwaga 2 41 4" xfId="39997"/>
    <cellStyle name="Uwaga 2 42" xfId="39998"/>
    <cellStyle name="Uwaga 2 42 2" xfId="39999"/>
    <cellStyle name="Uwaga 2 42 3" xfId="40000"/>
    <cellStyle name="Uwaga 2 42 4" xfId="40001"/>
    <cellStyle name="Uwaga 2 43" xfId="40002"/>
    <cellStyle name="Uwaga 2 43 2" xfId="40003"/>
    <cellStyle name="Uwaga 2 43 3" xfId="40004"/>
    <cellStyle name="Uwaga 2 43 4" xfId="40005"/>
    <cellStyle name="Uwaga 2 44" xfId="40006"/>
    <cellStyle name="Uwaga 2 44 2" xfId="40007"/>
    <cellStyle name="Uwaga 2 44 3" xfId="40008"/>
    <cellStyle name="Uwaga 2 44 4" xfId="40009"/>
    <cellStyle name="Uwaga 2 45" xfId="40010"/>
    <cellStyle name="Uwaga 2 45 2" xfId="40011"/>
    <cellStyle name="Uwaga 2 45 3" xfId="40012"/>
    <cellStyle name="Uwaga 2 45 4" xfId="40013"/>
    <cellStyle name="Uwaga 2 46" xfId="40014"/>
    <cellStyle name="Uwaga 2 46 2" xfId="40015"/>
    <cellStyle name="Uwaga 2 46 3" xfId="40016"/>
    <cellStyle name="Uwaga 2 46 4" xfId="40017"/>
    <cellStyle name="Uwaga 2 47" xfId="40018"/>
    <cellStyle name="Uwaga 2 47 2" xfId="40019"/>
    <cellStyle name="Uwaga 2 47 3" xfId="40020"/>
    <cellStyle name="Uwaga 2 47 4" xfId="40021"/>
    <cellStyle name="Uwaga 2 48" xfId="40022"/>
    <cellStyle name="Uwaga 2 48 2" xfId="40023"/>
    <cellStyle name="Uwaga 2 48 3" xfId="40024"/>
    <cellStyle name="Uwaga 2 48 4" xfId="40025"/>
    <cellStyle name="Uwaga 2 49" xfId="40026"/>
    <cellStyle name="Uwaga 2 49 2" xfId="40027"/>
    <cellStyle name="Uwaga 2 49 3" xfId="40028"/>
    <cellStyle name="Uwaga 2 49 4" xfId="40029"/>
    <cellStyle name="Uwaga 2 5" xfId="40030"/>
    <cellStyle name="Uwaga 2 5 10" xfId="40031"/>
    <cellStyle name="Uwaga 2 5 10 2" xfId="40032"/>
    <cellStyle name="Uwaga 2 5 10 3" xfId="40033"/>
    <cellStyle name="Uwaga 2 5 10 4" xfId="40034"/>
    <cellStyle name="Uwaga 2 5 11" xfId="40035"/>
    <cellStyle name="Uwaga 2 5 11 2" xfId="40036"/>
    <cellStyle name="Uwaga 2 5 11 3" xfId="40037"/>
    <cellStyle name="Uwaga 2 5 11 4" xfId="40038"/>
    <cellStyle name="Uwaga 2 5 12" xfId="40039"/>
    <cellStyle name="Uwaga 2 5 12 2" xfId="40040"/>
    <cellStyle name="Uwaga 2 5 12 3" xfId="40041"/>
    <cellStyle name="Uwaga 2 5 12 4" xfId="40042"/>
    <cellStyle name="Uwaga 2 5 13" xfId="40043"/>
    <cellStyle name="Uwaga 2 5 13 2" xfId="40044"/>
    <cellStyle name="Uwaga 2 5 13 3" xfId="40045"/>
    <cellStyle name="Uwaga 2 5 13 4" xfId="40046"/>
    <cellStyle name="Uwaga 2 5 14" xfId="40047"/>
    <cellStyle name="Uwaga 2 5 14 2" xfId="40048"/>
    <cellStyle name="Uwaga 2 5 14 3" xfId="40049"/>
    <cellStyle name="Uwaga 2 5 14 4" xfId="40050"/>
    <cellStyle name="Uwaga 2 5 15" xfId="40051"/>
    <cellStyle name="Uwaga 2 5 15 2" xfId="40052"/>
    <cellStyle name="Uwaga 2 5 15 3" xfId="40053"/>
    <cellStyle name="Uwaga 2 5 15 4" xfId="40054"/>
    <cellStyle name="Uwaga 2 5 16" xfId="40055"/>
    <cellStyle name="Uwaga 2 5 16 2" xfId="40056"/>
    <cellStyle name="Uwaga 2 5 16 3" xfId="40057"/>
    <cellStyle name="Uwaga 2 5 16 4" xfId="40058"/>
    <cellStyle name="Uwaga 2 5 17" xfId="40059"/>
    <cellStyle name="Uwaga 2 5 17 2" xfId="40060"/>
    <cellStyle name="Uwaga 2 5 17 3" xfId="40061"/>
    <cellStyle name="Uwaga 2 5 17 4" xfId="40062"/>
    <cellStyle name="Uwaga 2 5 18" xfId="40063"/>
    <cellStyle name="Uwaga 2 5 18 2" xfId="40064"/>
    <cellStyle name="Uwaga 2 5 18 3" xfId="40065"/>
    <cellStyle name="Uwaga 2 5 18 4" xfId="40066"/>
    <cellStyle name="Uwaga 2 5 19" xfId="40067"/>
    <cellStyle name="Uwaga 2 5 19 2" xfId="40068"/>
    <cellStyle name="Uwaga 2 5 19 3" xfId="40069"/>
    <cellStyle name="Uwaga 2 5 19 4" xfId="40070"/>
    <cellStyle name="Uwaga 2 5 2" xfId="40071"/>
    <cellStyle name="Uwaga 2 5 2 2" xfId="40072"/>
    <cellStyle name="Uwaga 2 5 2 3" xfId="40073"/>
    <cellStyle name="Uwaga 2 5 2 4" xfId="40074"/>
    <cellStyle name="Uwaga 2 5 20" xfId="40075"/>
    <cellStyle name="Uwaga 2 5 20 2" xfId="40076"/>
    <cellStyle name="Uwaga 2 5 20 3" xfId="40077"/>
    <cellStyle name="Uwaga 2 5 20 4" xfId="40078"/>
    <cellStyle name="Uwaga 2 5 21" xfId="40079"/>
    <cellStyle name="Uwaga 2 5 21 2" xfId="40080"/>
    <cellStyle name="Uwaga 2 5 21 3" xfId="40081"/>
    <cellStyle name="Uwaga 2 5 22" xfId="40082"/>
    <cellStyle name="Uwaga 2 5 22 2" xfId="40083"/>
    <cellStyle name="Uwaga 2 5 22 3" xfId="40084"/>
    <cellStyle name="Uwaga 2 5 23" xfId="40085"/>
    <cellStyle name="Uwaga 2 5 23 2" xfId="40086"/>
    <cellStyle name="Uwaga 2 5 23 3" xfId="40087"/>
    <cellStyle name="Uwaga 2 5 24" xfId="40088"/>
    <cellStyle name="Uwaga 2 5 24 2" xfId="40089"/>
    <cellStyle name="Uwaga 2 5 24 3" xfId="40090"/>
    <cellStyle name="Uwaga 2 5 25" xfId="40091"/>
    <cellStyle name="Uwaga 2 5 25 2" xfId="40092"/>
    <cellStyle name="Uwaga 2 5 25 3" xfId="40093"/>
    <cellStyle name="Uwaga 2 5 26" xfId="40094"/>
    <cellStyle name="Uwaga 2 5 26 2" xfId="40095"/>
    <cellStyle name="Uwaga 2 5 26 3" xfId="40096"/>
    <cellStyle name="Uwaga 2 5 27" xfId="40097"/>
    <cellStyle name="Uwaga 2 5 27 2" xfId="40098"/>
    <cellStyle name="Uwaga 2 5 27 3" xfId="40099"/>
    <cellStyle name="Uwaga 2 5 28" xfId="40100"/>
    <cellStyle name="Uwaga 2 5 28 2" xfId="40101"/>
    <cellStyle name="Uwaga 2 5 28 3" xfId="40102"/>
    <cellStyle name="Uwaga 2 5 29" xfId="40103"/>
    <cellStyle name="Uwaga 2 5 29 2" xfId="40104"/>
    <cellStyle name="Uwaga 2 5 29 3" xfId="40105"/>
    <cellStyle name="Uwaga 2 5 3" xfId="40106"/>
    <cellStyle name="Uwaga 2 5 3 2" xfId="40107"/>
    <cellStyle name="Uwaga 2 5 3 3" xfId="40108"/>
    <cellStyle name="Uwaga 2 5 3 4" xfId="40109"/>
    <cellStyle name="Uwaga 2 5 30" xfId="40110"/>
    <cellStyle name="Uwaga 2 5 30 2" xfId="40111"/>
    <cellStyle name="Uwaga 2 5 30 3" xfId="40112"/>
    <cellStyle name="Uwaga 2 5 31" xfId="40113"/>
    <cellStyle name="Uwaga 2 5 31 2" xfId="40114"/>
    <cellStyle name="Uwaga 2 5 31 3" xfId="40115"/>
    <cellStyle name="Uwaga 2 5 32" xfId="40116"/>
    <cellStyle name="Uwaga 2 5 32 2" xfId="40117"/>
    <cellStyle name="Uwaga 2 5 32 3" xfId="40118"/>
    <cellStyle name="Uwaga 2 5 33" xfId="40119"/>
    <cellStyle name="Uwaga 2 5 33 2" xfId="40120"/>
    <cellStyle name="Uwaga 2 5 33 3" xfId="40121"/>
    <cellStyle name="Uwaga 2 5 34" xfId="40122"/>
    <cellStyle name="Uwaga 2 5 34 2" xfId="40123"/>
    <cellStyle name="Uwaga 2 5 34 3" xfId="40124"/>
    <cellStyle name="Uwaga 2 5 35" xfId="40125"/>
    <cellStyle name="Uwaga 2 5 35 2" xfId="40126"/>
    <cellStyle name="Uwaga 2 5 35 3" xfId="40127"/>
    <cellStyle name="Uwaga 2 5 36" xfId="40128"/>
    <cellStyle name="Uwaga 2 5 36 2" xfId="40129"/>
    <cellStyle name="Uwaga 2 5 36 3" xfId="40130"/>
    <cellStyle name="Uwaga 2 5 37" xfId="40131"/>
    <cellStyle name="Uwaga 2 5 37 2" xfId="40132"/>
    <cellStyle name="Uwaga 2 5 37 3" xfId="40133"/>
    <cellStyle name="Uwaga 2 5 38" xfId="40134"/>
    <cellStyle name="Uwaga 2 5 38 2" xfId="40135"/>
    <cellStyle name="Uwaga 2 5 38 3" xfId="40136"/>
    <cellStyle name="Uwaga 2 5 39" xfId="40137"/>
    <cellStyle name="Uwaga 2 5 39 2" xfId="40138"/>
    <cellStyle name="Uwaga 2 5 39 3" xfId="40139"/>
    <cellStyle name="Uwaga 2 5 4" xfId="40140"/>
    <cellStyle name="Uwaga 2 5 4 2" xfId="40141"/>
    <cellStyle name="Uwaga 2 5 4 3" xfId="40142"/>
    <cellStyle name="Uwaga 2 5 4 4" xfId="40143"/>
    <cellStyle name="Uwaga 2 5 40" xfId="40144"/>
    <cellStyle name="Uwaga 2 5 40 2" xfId="40145"/>
    <cellStyle name="Uwaga 2 5 40 3" xfId="40146"/>
    <cellStyle name="Uwaga 2 5 41" xfId="40147"/>
    <cellStyle name="Uwaga 2 5 41 2" xfId="40148"/>
    <cellStyle name="Uwaga 2 5 41 3" xfId="40149"/>
    <cellStyle name="Uwaga 2 5 42" xfId="40150"/>
    <cellStyle name="Uwaga 2 5 42 2" xfId="40151"/>
    <cellStyle name="Uwaga 2 5 42 3" xfId="40152"/>
    <cellStyle name="Uwaga 2 5 43" xfId="40153"/>
    <cellStyle name="Uwaga 2 5 43 2" xfId="40154"/>
    <cellStyle name="Uwaga 2 5 43 3" xfId="40155"/>
    <cellStyle name="Uwaga 2 5 44" xfId="40156"/>
    <cellStyle name="Uwaga 2 5 44 2" xfId="40157"/>
    <cellStyle name="Uwaga 2 5 44 3" xfId="40158"/>
    <cellStyle name="Uwaga 2 5 45" xfId="40159"/>
    <cellStyle name="Uwaga 2 5 45 2" xfId="40160"/>
    <cellStyle name="Uwaga 2 5 45 3" xfId="40161"/>
    <cellStyle name="Uwaga 2 5 46" xfId="40162"/>
    <cellStyle name="Uwaga 2 5 46 2" xfId="40163"/>
    <cellStyle name="Uwaga 2 5 46 3" xfId="40164"/>
    <cellStyle name="Uwaga 2 5 47" xfId="40165"/>
    <cellStyle name="Uwaga 2 5 47 2" xfId="40166"/>
    <cellStyle name="Uwaga 2 5 47 3" xfId="40167"/>
    <cellStyle name="Uwaga 2 5 48" xfId="40168"/>
    <cellStyle name="Uwaga 2 5 48 2" xfId="40169"/>
    <cellStyle name="Uwaga 2 5 48 3" xfId="40170"/>
    <cellStyle name="Uwaga 2 5 49" xfId="40171"/>
    <cellStyle name="Uwaga 2 5 49 2" xfId="40172"/>
    <cellStyle name="Uwaga 2 5 49 3" xfId="40173"/>
    <cellStyle name="Uwaga 2 5 5" xfId="40174"/>
    <cellStyle name="Uwaga 2 5 5 2" xfId="40175"/>
    <cellStyle name="Uwaga 2 5 5 3" xfId="40176"/>
    <cellStyle name="Uwaga 2 5 5 4" xfId="40177"/>
    <cellStyle name="Uwaga 2 5 50" xfId="40178"/>
    <cellStyle name="Uwaga 2 5 50 2" xfId="40179"/>
    <cellStyle name="Uwaga 2 5 50 3" xfId="40180"/>
    <cellStyle name="Uwaga 2 5 51" xfId="40181"/>
    <cellStyle name="Uwaga 2 5 51 2" xfId="40182"/>
    <cellStyle name="Uwaga 2 5 51 3" xfId="40183"/>
    <cellStyle name="Uwaga 2 5 52" xfId="40184"/>
    <cellStyle name="Uwaga 2 5 52 2" xfId="40185"/>
    <cellStyle name="Uwaga 2 5 52 3" xfId="40186"/>
    <cellStyle name="Uwaga 2 5 53" xfId="40187"/>
    <cellStyle name="Uwaga 2 5 53 2" xfId="40188"/>
    <cellStyle name="Uwaga 2 5 53 3" xfId="40189"/>
    <cellStyle name="Uwaga 2 5 54" xfId="40190"/>
    <cellStyle name="Uwaga 2 5 54 2" xfId="40191"/>
    <cellStyle name="Uwaga 2 5 54 3" xfId="40192"/>
    <cellStyle name="Uwaga 2 5 55" xfId="40193"/>
    <cellStyle name="Uwaga 2 5 55 2" xfId="40194"/>
    <cellStyle name="Uwaga 2 5 55 3" xfId="40195"/>
    <cellStyle name="Uwaga 2 5 56" xfId="40196"/>
    <cellStyle name="Uwaga 2 5 56 2" xfId="40197"/>
    <cellStyle name="Uwaga 2 5 56 3" xfId="40198"/>
    <cellStyle name="Uwaga 2 5 57" xfId="40199"/>
    <cellStyle name="Uwaga 2 5 58" xfId="40200"/>
    <cellStyle name="Uwaga 2 5 6" xfId="40201"/>
    <cellStyle name="Uwaga 2 5 6 2" xfId="40202"/>
    <cellStyle name="Uwaga 2 5 6 3" xfId="40203"/>
    <cellStyle name="Uwaga 2 5 6 4" xfId="40204"/>
    <cellStyle name="Uwaga 2 5 7" xfId="40205"/>
    <cellStyle name="Uwaga 2 5 7 2" xfId="40206"/>
    <cellStyle name="Uwaga 2 5 7 3" xfId="40207"/>
    <cellStyle name="Uwaga 2 5 7 4" xfId="40208"/>
    <cellStyle name="Uwaga 2 5 8" xfId="40209"/>
    <cellStyle name="Uwaga 2 5 8 2" xfId="40210"/>
    <cellStyle name="Uwaga 2 5 8 3" xfId="40211"/>
    <cellStyle name="Uwaga 2 5 8 4" xfId="40212"/>
    <cellStyle name="Uwaga 2 5 9" xfId="40213"/>
    <cellStyle name="Uwaga 2 5 9 2" xfId="40214"/>
    <cellStyle name="Uwaga 2 5 9 3" xfId="40215"/>
    <cellStyle name="Uwaga 2 5 9 4" xfId="40216"/>
    <cellStyle name="Uwaga 2 50" xfId="40217"/>
    <cellStyle name="Uwaga 2 50 2" xfId="40218"/>
    <cellStyle name="Uwaga 2 50 3" xfId="40219"/>
    <cellStyle name="Uwaga 2 50 4" xfId="40220"/>
    <cellStyle name="Uwaga 2 51" xfId="40221"/>
    <cellStyle name="Uwaga 2 51 2" xfId="40222"/>
    <cellStyle name="Uwaga 2 51 3" xfId="40223"/>
    <cellStyle name="Uwaga 2 51 4" xfId="40224"/>
    <cellStyle name="Uwaga 2 52" xfId="40225"/>
    <cellStyle name="Uwaga 2 52 2" xfId="40226"/>
    <cellStyle name="Uwaga 2 52 3" xfId="40227"/>
    <cellStyle name="Uwaga 2 52 4" xfId="40228"/>
    <cellStyle name="Uwaga 2 53" xfId="40229"/>
    <cellStyle name="Uwaga 2 53 2" xfId="40230"/>
    <cellStyle name="Uwaga 2 53 3" xfId="40231"/>
    <cellStyle name="Uwaga 2 53 4" xfId="40232"/>
    <cellStyle name="Uwaga 2 54" xfId="40233"/>
    <cellStyle name="Uwaga 2 54 2" xfId="40234"/>
    <cellStyle name="Uwaga 2 54 3" xfId="40235"/>
    <cellStyle name="Uwaga 2 54 4" xfId="40236"/>
    <cellStyle name="Uwaga 2 55" xfId="40237"/>
    <cellStyle name="Uwaga 2 55 2" xfId="40238"/>
    <cellStyle name="Uwaga 2 55 3" xfId="40239"/>
    <cellStyle name="Uwaga 2 55 4" xfId="40240"/>
    <cellStyle name="Uwaga 2 56" xfId="40241"/>
    <cellStyle name="Uwaga 2 56 2" xfId="40242"/>
    <cellStyle name="Uwaga 2 56 3" xfId="40243"/>
    <cellStyle name="Uwaga 2 56 4" xfId="40244"/>
    <cellStyle name="Uwaga 2 57" xfId="40245"/>
    <cellStyle name="Uwaga 2 57 2" xfId="40246"/>
    <cellStyle name="Uwaga 2 57 3" xfId="40247"/>
    <cellStyle name="Uwaga 2 57 4" xfId="40248"/>
    <cellStyle name="Uwaga 2 58" xfId="40249"/>
    <cellStyle name="Uwaga 2 58 2" xfId="40250"/>
    <cellStyle name="Uwaga 2 58 3" xfId="40251"/>
    <cellStyle name="Uwaga 2 58 4" xfId="40252"/>
    <cellStyle name="Uwaga 2 59" xfId="40253"/>
    <cellStyle name="Uwaga 2 59 2" xfId="40254"/>
    <cellStyle name="Uwaga 2 59 3" xfId="40255"/>
    <cellStyle name="Uwaga 2 59 4" xfId="40256"/>
    <cellStyle name="Uwaga 2 6" xfId="40257"/>
    <cellStyle name="Uwaga 2 6 10" xfId="40258"/>
    <cellStyle name="Uwaga 2 6 10 2" xfId="40259"/>
    <cellStyle name="Uwaga 2 6 10 3" xfId="40260"/>
    <cellStyle name="Uwaga 2 6 10 4" xfId="40261"/>
    <cellStyle name="Uwaga 2 6 11" xfId="40262"/>
    <cellStyle name="Uwaga 2 6 11 2" xfId="40263"/>
    <cellStyle name="Uwaga 2 6 11 3" xfId="40264"/>
    <cellStyle name="Uwaga 2 6 11 4" xfId="40265"/>
    <cellStyle name="Uwaga 2 6 12" xfId="40266"/>
    <cellStyle name="Uwaga 2 6 12 2" xfId="40267"/>
    <cellStyle name="Uwaga 2 6 12 3" xfId="40268"/>
    <cellStyle name="Uwaga 2 6 12 4" xfId="40269"/>
    <cellStyle name="Uwaga 2 6 13" xfId="40270"/>
    <cellStyle name="Uwaga 2 6 13 2" xfId="40271"/>
    <cellStyle name="Uwaga 2 6 13 3" xfId="40272"/>
    <cellStyle name="Uwaga 2 6 13 4" xfId="40273"/>
    <cellStyle name="Uwaga 2 6 14" xfId="40274"/>
    <cellStyle name="Uwaga 2 6 14 2" xfId="40275"/>
    <cellStyle name="Uwaga 2 6 14 3" xfId="40276"/>
    <cellStyle name="Uwaga 2 6 14 4" xfId="40277"/>
    <cellStyle name="Uwaga 2 6 15" xfId="40278"/>
    <cellStyle name="Uwaga 2 6 15 2" xfId="40279"/>
    <cellStyle name="Uwaga 2 6 15 3" xfId="40280"/>
    <cellStyle name="Uwaga 2 6 15 4" xfId="40281"/>
    <cellStyle name="Uwaga 2 6 16" xfId="40282"/>
    <cellStyle name="Uwaga 2 6 16 2" xfId="40283"/>
    <cellStyle name="Uwaga 2 6 16 3" xfId="40284"/>
    <cellStyle name="Uwaga 2 6 16 4" xfId="40285"/>
    <cellStyle name="Uwaga 2 6 17" xfId="40286"/>
    <cellStyle name="Uwaga 2 6 17 2" xfId="40287"/>
    <cellStyle name="Uwaga 2 6 17 3" xfId="40288"/>
    <cellStyle name="Uwaga 2 6 17 4" xfId="40289"/>
    <cellStyle name="Uwaga 2 6 18" xfId="40290"/>
    <cellStyle name="Uwaga 2 6 18 2" xfId="40291"/>
    <cellStyle name="Uwaga 2 6 18 3" xfId="40292"/>
    <cellStyle name="Uwaga 2 6 18 4" xfId="40293"/>
    <cellStyle name="Uwaga 2 6 19" xfId="40294"/>
    <cellStyle name="Uwaga 2 6 19 2" xfId="40295"/>
    <cellStyle name="Uwaga 2 6 19 3" xfId="40296"/>
    <cellStyle name="Uwaga 2 6 19 4" xfId="40297"/>
    <cellStyle name="Uwaga 2 6 2" xfId="40298"/>
    <cellStyle name="Uwaga 2 6 2 2" xfId="40299"/>
    <cellStyle name="Uwaga 2 6 2 3" xfId="40300"/>
    <cellStyle name="Uwaga 2 6 2 4" xfId="40301"/>
    <cellStyle name="Uwaga 2 6 20" xfId="40302"/>
    <cellStyle name="Uwaga 2 6 20 2" xfId="40303"/>
    <cellStyle name="Uwaga 2 6 20 3" xfId="40304"/>
    <cellStyle name="Uwaga 2 6 20 4" xfId="40305"/>
    <cellStyle name="Uwaga 2 6 21" xfId="40306"/>
    <cellStyle name="Uwaga 2 6 21 2" xfId="40307"/>
    <cellStyle name="Uwaga 2 6 21 3" xfId="40308"/>
    <cellStyle name="Uwaga 2 6 22" xfId="40309"/>
    <cellStyle name="Uwaga 2 6 22 2" xfId="40310"/>
    <cellStyle name="Uwaga 2 6 22 3" xfId="40311"/>
    <cellStyle name="Uwaga 2 6 23" xfId="40312"/>
    <cellStyle name="Uwaga 2 6 23 2" xfId="40313"/>
    <cellStyle name="Uwaga 2 6 23 3" xfId="40314"/>
    <cellStyle name="Uwaga 2 6 24" xfId="40315"/>
    <cellStyle name="Uwaga 2 6 24 2" xfId="40316"/>
    <cellStyle name="Uwaga 2 6 24 3" xfId="40317"/>
    <cellStyle name="Uwaga 2 6 25" xfId="40318"/>
    <cellStyle name="Uwaga 2 6 25 2" xfId="40319"/>
    <cellStyle name="Uwaga 2 6 25 3" xfId="40320"/>
    <cellStyle name="Uwaga 2 6 26" xfId="40321"/>
    <cellStyle name="Uwaga 2 6 26 2" xfId="40322"/>
    <cellStyle name="Uwaga 2 6 26 3" xfId="40323"/>
    <cellStyle name="Uwaga 2 6 27" xfId="40324"/>
    <cellStyle name="Uwaga 2 6 27 2" xfId="40325"/>
    <cellStyle name="Uwaga 2 6 27 3" xfId="40326"/>
    <cellStyle name="Uwaga 2 6 28" xfId="40327"/>
    <cellStyle name="Uwaga 2 6 28 2" xfId="40328"/>
    <cellStyle name="Uwaga 2 6 28 3" xfId="40329"/>
    <cellStyle name="Uwaga 2 6 29" xfId="40330"/>
    <cellStyle name="Uwaga 2 6 29 2" xfId="40331"/>
    <cellStyle name="Uwaga 2 6 29 3" xfId="40332"/>
    <cellStyle name="Uwaga 2 6 3" xfId="40333"/>
    <cellStyle name="Uwaga 2 6 3 2" xfId="40334"/>
    <cellStyle name="Uwaga 2 6 3 3" xfId="40335"/>
    <cellStyle name="Uwaga 2 6 3 4" xfId="40336"/>
    <cellStyle name="Uwaga 2 6 30" xfId="40337"/>
    <cellStyle name="Uwaga 2 6 30 2" xfId="40338"/>
    <cellStyle name="Uwaga 2 6 30 3" xfId="40339"/>
    <cellStyle name="Uwaga 2 6 31" xfId="40340"/>
    <cellStyle name="Uwaga 2 6 31 2" xfId="40341"/>
    <cellStyle name="Uwaga 2 6 31 3" xfId="40342"/>
    <cellStyle name="Uwaga 2 6 32" xfId="40343"/>
    <cellStyle name="Uwaga 2 6 32 2" xfId="40344"/>
    <cellStyle name="Uwaga 2 6 32 3" xfId="40345"/>
    <cellStyle name="Uwaga 2 6 33" xfId="40346"/>
    <cellStyle name="Uwaga 2 6 33 2" xfId="40347"/>
    <cellStyle name="Uwaga 2 6 33 3" xfId="40348"/>
    <cellStyle name="Uwaga 2 6 34" xfId="40349"/>
    <cellStyle name="Uwaga 2 6 34 2" xfId="40350"/>
    <cellStyle name="Uwaga 2 6 34 3" xfId="40351"/>
    <cellStyle name="Uwaga 2 6 35" xfId="40352"/>
    <cellStyle name="Uwaga 2 6 35 2" xfId="40353"/>
    <cellStyle name="Uwaga 2 6 35 3" xfId="40354"/>
    <cellStyle name="Uwaga 2 6 36" xfId="40355"/>
    <cellStyle name="Uwaga 2 6 36 2" xfId="40356"/>
    <cellStyle name="Uwaga 2 6 36 3" xfId="40357"/>
    <cellStyle name="Uwaga 2 6 37" xfId="40358"/>
    <cellStyle name="Uwaga 2 6 37 2" xfId="40359"/>
    <cellStyle name="Uwaga 2 6 37 3" xfId="40360"/>
    <cellStyle name="Uwaga 2 6 38" xfId="40361"/>
    <cellStyle name="Uwaga 2 6 38 2" xfId="40362"/>
    <cellStyle name="Uwaga 2 6 38 3" xfId="40363"/>
    <cellStyle name="Uwaga 2 6 39" xfId="40364"/>
    <cellStyle name="Uwaga 2 6 39 2" xfId="40365"/>
    <cellStyle name="Uwaga 2 6 39 3" xfId="40366"/>
    <cellStyle name="Uwaga 2 6 4" xfId="40367"/>
    <cellStyle name="Uwaga 2 6 4 2" xfId="40368"/>
    <cellStyle name="Uwaga 2 6 4 3" xfId="40369"/>
    <cellStyle name="Uwaga 2 6 4 4" xfId="40370"/>
    <cellStyle name="Uwaga 2 6 40" xfId="40371"/>
    <cellStyle name="Uwaga 2 6 40 2" xfId="40372"/>
    <cellStyle name="Uwaga 2 6 40 3" xfId="40373"/>
    <cellStyle name="Uwaga 2 6 41" xfId="40374"/>
    <cellStyle name="Uwaga 2 6 41 2" xfId="40375"/>
    <cellStyle name="Uwaga 2 6 41 3" xfId="40376"/>
    <cellStyle name="Uwaga 2 6 42" xfId="40377"/>
    <cellStyle name="Uwaga 2 6 42 2" xfId="40378"/>
    <cellStyle name="Uwaga 2 6 42 3" xfId="40379"/>
    <cellStyle name="Uwaga 2 6 43" xfId="40380"/>
    <cellStyle name="Uwaga 2 6 43 2" xfId="40381"/>
    <cellStyle name="Uwaga 2 6 43 3" xfId="40382"/>
    <cellStyle name="Uwaga 2 6 44" xfId="40383"/>
    <cellStyle name="Uwaga 2 6 44 2" xfId="40384"/>
    <cellStyle name="Uwaga 2 6 44 3" xfId="40385"/>
    <cellStyle name="Uwaga 2 6 45" xfId="40386"/>
    <cellStyle name="Uwaga 2 6 45 2" xfId="40387"/>
    <cellStyle name="Uwaga 2 6 45 3" xfId="40388"/>
    <cellStyle name="Uwaga 2 6 46" xfId="40389"/>
    <cellStyle name="Uwaga 2 6 46 2" xfId="40390"/>
    <cellStyle name="Uwaga 2 6 46 3" xfId="40391"/>
    <cellStyle name="Uwaga 2 6 47" xfId="40392"/>
    <cellStyle name="Uwaga 2 6 47 2" xfId="40393"/>
    <cellStyle name="Uwaga 2 6 47 3" xfId="40394"/>
    <cellStyle name="Uwaga 2 6 48" xfId="40395"/>
    <cellStyle name="Uwaga 2 6 48 2" xfId="40396"/>
    <cellStyle name="Uwaga 2 6 48 3" xfId="40397"/>
    <cellStyle name="Uwaga 2 6 49" xfId="40398"/>
    <cellStyle name="Uwaga 2 6 49 2" xfId="40399"/>
    <cellStyle name="Uwaga 2 6 49 3" xfId="40400"/>
    <cellStyle name="Uwaga 2 6 5" xfId="40401"/>
    <cellStyle name="Uwaga 2 6 5 2" xfId="40402"/>
    <cellStyle name="Uwaga 2 6 5 3" xfId="40403"/>
    <cellStyle name="Uwaga 2 6 5 4" xfId="40404"/>
    <cellStyle name="Uwaga 2 6 50" xfId="40405"/>
    <cellStyle name="Uwaga 2 6 50 2" xfId="40406"/>
    <cellStyle name="Uwaga 2 6 50 3" xfId="40407"/>
    <cellStyle name="Uwaga 2 6 51" xfId="40408"/>
    <cellStyle name="Uwaga 2 6 51 2" xfId="40409"/>
    <cellStyle name="Uwaga 2 6 51 3" xfId="40410"/>
    <cellStyle name="Uwaga 2 6 52" xfId="40411"/>
    <cellStyle name="Uwaga 2 6 52 2" xfId="40412"/>
    <cellStyle name="Uwaga 2 6 52 3" xfId="40413"/>
    <cellStyle name="Uwaga 2 6 53" xfId="40414"/>
    <cellStyle name="Uwaga 2 6 53 2" xfId="40415"/>
    <cellStyle name="Uwaga 2 6 53 3" xfId="40416"/>
    <cellStyle name="Uwaga 2 6 54" xfId="40417"/>
    <cellStyle name="Uwaga 2 6 54 2" xfId="40418"/>
    <cellStyle name="Uwaga 2 6 54 3" xfId="40419"/>
    <cellStyle name="Uwaga 2 6 55" xfId="40420"/>
    <cellStyle name="Uwaga 2 6 55 2" xfId="40421"/>
    <cellStyle name="Uwaga 2 6 55 3" xfId="40422"/>
    <cellStyle name="Uwaga 2 6 56" xfId="40423"/>
    <cellStyle name="Uwaga 2 6 56 2" xfId="40424"/>
    <cellStyle name="Uwaga 2 6 56 3" xfId="40425"/>
    <cellStyle name="Uwaga 2 6 57" xfId="40426"/>
    <cellStyle name="Uwaga 2 6 58" xfId="40427"/>
    <cellStyle name="Uwaga 2 6 6" xfId="40428"/>
    <cellStyle name="Uwaga 2 6 6 2" xfId="40429"/>
    <cellStyle name="Uwaga 2 6 6 3" xfId="40430"/>
    <cellStyle name="Uwaga 2 6 6 4" xfId="40431"/>
    <cellStyle name="Uwaga 2 6 7" xfId="40432"/>
    <cellStyle name="Uwaga 2 6 7 2" xfId="40433"/>
    <cellStyle name="Uwaga 2 6 7 3" xfId="40434"/>
    <cellStyle name="Uwaga 2 6 7 4" xfId="40435"/>
    <cellStyle name="Uwaga 2 6 8" xfId="40436"/>
    <cellStyle name="Uwaga 2 6 8 2" xfId="40437"/>
    <cellStyle name="Uwaga 2 6 8 3" xfId="40438"/>
    <cellStyle name="Uwaga 2 6 8 4" xfId="40439"/>
    <cellStyle name="Uwaga 2 6 9" xfId="40440"/>
    <cellStyle name="Uwaga 2 6 9 2" xfId="40441"/>
    <cellStyle name="Uwaga 2 6 9 3" xfId="40442"/>
    <cellStyle name="Uwaga 2 6 9 4" xfId="40443"/>
    <cellStyle name="Uwaga 2 60" xfId="40444"/>
    <cellStyle name="Uwaga 2 60 2" xfId="40445"/>
    <cellStyle name="Uwaga 2 60 3" xfId="40446"/>
    <cellStyle name="Uwaga 2 60 4" xfId="40447"/>
    <cellStyle name="Uwaga 2 61" xfId="40448"/>
    <cellStyle name="Uwaga 2 61 2" xfId="40449"/>
    <cellStyle name="Uwaga 2 61 3" xfId="40450"/>
    <cellStyle name="Uwaga 2 61 4" xfId="40451"/>
    <cellStyle name="Uwaga 2 62" xfId="40452"/>
    <cellStyle name="Uwaga 2 62 2" xfId="40453"/>
    <cellStyle name="Uwaga 2 62 3" xfId="40454"/>
    <cellStyle name="Uwaga 2 62 4" xfId="40455"/>
    <cellStyle name="Uwaga 2 63" xfId="40456"/>
    <cellStyle name="Uwaga 2 63 2" xfId="40457"/>
    <cellStyle name="Uwaga 2 63 3" xfId="40458"/>
    <cellStyle name="Uwaga 2 63 4" xfId="40459"/>
    <cellStyle name="Uwaga 2 64" xfId="40460"/>
    <cellStyle name="Uwaga 2 64 2" xfId="40461"/>
    <cellStyle name="Uwaga 2 64 3" xfId="40462"/>
    <cellStyle name="Uwaga 2 64 4" xfId="40463"/>
    <cellStyle name="Uwaga 2 65" xfId="40464"/>
    <cellStyle name="Uwaga 2 65 2" xfId="40465"/>
    <cellStyle name="Uwaga 2 65 3" xfId="40466"/>
    <cellStyle name="Uwaga 2 65 4" xfId="40467"/>
    <cellStyle name="Uwaga 2 66" xfId="40468"/>
    <cellStyle name="Uwaga 2 66 2" xfId="40469"/>
    <cellStyle name="Uwaga 2 66 3" xfId="40470"/>
    <cellStyle name="Uwaga 2 66 4" xfId="40471"/>
    <cellStyle name="Uwaga 2 67" xfId="40472"/>
    <cellStyle name="Uwaga 2 67 2" xfId="40473"/>
    <cellStyle name="Uwaga 2 67 3" xfId="40474"/>
    <cellStyle name="Uwaga 2 67 4" xfId="40475"/>
    <cellStyle name="Uwaga 2 68" xfId="40476"/>
    <cellStyle name="Uwaga 2 68 2" xfId="40477"/>
    <cellStyle name="Uwaga 2 68 3" xfId="40478"/>
    <cellStyle name="Uwaga 2 68 4" xfId="40479"/>
    <cellStyle name="Uwaga 2 69" xfId="40480"/>
    <cellStyle name="Uwaga 2 69 2" xfId="40481"/>
    <cellStyle name="Uwaga 2 69 3" xfId="40482"/>
    <cellStyle name="Uwaga 2 69 4" xfId="40483"/>
    <cellStyle name="Uwaga 2 7" xfId="40484"/>
    <cellStyle name="Uwaga 2 7 10" xfId="40485"/>
    <cellStyle name="Uwaga 2 7 10 2" xfId="40486"/>
    <cellStyle name="Uwaga 2 7 10 3" xfId="40487"/>
    <cellStyle name="Uwaga 2 7 10 4" xfId="40488"/>
    <cellStyle name="Uwaga 2 7 11" xfId="40489"/>
    <cellStyle name="Uwaga 2 7 11 2" xfId="40490"/>
    <cellStyle name="Uwaga 2 7 11 3" xfId="40491"/>
    <cellStyle name="Uwaga 2 7 11 4" xfId="40492"/>
    <cellStyle name="Uwaga 2 7 12" xfId="40493"/>
    <cellStyle name="Uwaga 2 7 12 2" xfId="40494"/>
    <cellStyle name="Uwaga 2 7 12 3" xfId="40495"/>
    <cellStyle name="Uwaga 2 7 12 4" xfId="40496"/>
    <cellStyle name="Uwaga 2 7 13" xfId="40497"/>
    <cellStyle name="Uwaga 2 7 13 2" xfId="40498"/>
    <cellStyle name="Uwaga 2 7 13 3" xfId="40499"/>
    <cellStyle name="Uwaga 2 7 13 4" xfId="40500"/>
    <cellStyle name="Uwaga 2 7 14" xfId="40501"/>
    <cellStyle name="Uwaga 2 7 14 2" xfId="40502"/>
    <cellStyle name="Uwaga 2 7 14 3" xfId="40503"/>
    <cellStyle name="Uwaga 2 7 14 4" xfId="40504"/>
    <cellStyle name="Uwaga 2 7 15" xfId="40505"/>
    <cellStyle name="Uwaga 2 7 15 2" xfId="40506"/>
    <cellStyle name="Uwaga 2 7 15 3" xfId="40507"/>
    <cellStyle name="Uwaga 2 7 15 4" xfId="40508"/>
    <cellStyle name="Uwaga 2 7 16" xfId="40509"/>
    <cellStyle name="Uwaga 2 7 16 2" xfId="40510"/>
    <cellStyle name="Uwaga 2 7 16 3" xfId="40511"/>
    <cellStyle name="Uwaga 2 7 16 4" xfId="40512"/>
    <cellStyle name="Uwaga 2 7 17" xfId="40513"/>
    <cellStyle name="Uwaga 2 7 17 2" xfId="40514"/>
    <cellStyle name="Uwaga 2 7 17 3" xfId="40515"/>
    <cellStyle name="Uwaga 2 7 17 4" xfId="40516"/>
    <cellStyle name="Uwaga 2 7 18" xfId="40517"/>
    <cellStyle name="Uwaga 2 7 18 2" xfId="40518"/>
    <cellStyle name="Uwaga 2 7 18 3" xfId="40519"/>
    <cellStyle name="Uwaga 2 7 18 4" xfId="40520"/>
    <cellStyle name="Uwaga 2 7 19" xfId="40521"/>
    <cellStyle name="Uwaga 2 7 19 2" xfId="40522"/>
    <cellStyle name="Uwaga 2 7 19 3" xfId="40523"/>
    <cellStyle name="Uwaga 2 7 19 4" xfId="40524"/>
    <cellStyle name="Uwaga 2 7 2" xfId="40525"/>
    <cellStyle name="Uwaga 2 7 2 2" xfId="40526"/>
    <cellStyle name="Uwaga 2 7 2 3" xfId="40527"/>
    <cellStyle name="Uwaga 2 7 2 4" xfId="40528"/>
    <cellStyle name="Uwaga 2 7 20" xfId="40529"/>
    <cellStyle name="Uwaga 2 7 20 2" xfId="40530"/>
    <cellStyle name="Uwaga 2 7 20 3" xfId="40531"/>
    <cellStyle name="Uwaga 2 7 20 4" xfId="40532"/>
    <cellStyle name="Uwaga 2 7 21" xfId="40533"/>
    <cellStyle name="Uwaga 2 7 21 2" xfId="40534"/>
    <cellStyle name="Uwaga 2 7 21 3" xfId="40535"/>
    <cellStyle name="Uwaga 2 7 22" xfId="40536"/>
    <cellStyle name="Uwaga 2 7 22 2" xfId="40537"/>
    <cellStyle name="Uwaga 2 7 22 3" xfId="40538"/>
    <cellStyle name="Uwaga 2 7 23" xfId="40539"/>
    <cellStyle name="Uwaga 2 7 23 2" xfId="40540"/>
    <cellStyle name="Uwaga 2 7 23 3" xfId="40541"/>
    <cellStyle name="Uwaga 2 7 24" xfId="40542"/>
    <cellStyle name="Uwaga 2 7 24 2" xfId="40543"/>
    <cellStyle name="Uwaga 2 7 24 3" xfId="40544"/>
    <cellStyle name="Uwaga 2 7 25" xfId="40545"/>
    <cellStyle name="Uwaga 2 7 25 2" xfId="40546"/>
    <cellStyle name="Uwaga 2 7 25 3" xfId="40547"/>
    <cellStyle name="Uwaga 2 7 26" xfId="40548"/>
    <cellStyle name="Uwaga 2 7 26 2" xfId="40549"/>
    <cellStyle name="Uwaga 2 7 26 3" xfId="40550"/>
    <cellStyle name="Uwaga 2 7 27" xfId="40551"/>
    <cellStyle name="Uwaga 2 7 27 2" xfId="40552"/>
    <cellStyle name="Uwaga 2 7 27 3" xfId="40553"/>
    <cellStyle name="Uwaga 2 7 28" xfId="40554"/>
    <cellStyle name="Uwaga 2 7 28 2" xfId="40555"/>
    <cellStyle name="Uwaga 2 7 28 3" xfId="40556"/>
    <cellStyle name="Uwaga 2 7 29" xfId="40557"/>
    <cellStyle name="Uwaga 2 7 29 2" xfId="40558"/>
    <cellStyle name="Uwaga 2 7 29 3" xfId="40559"/>
    <cellStyle name="Uwaga 2 7 3" xfId="40560"/>
    <cellStyle name="Uwaga 2 7 3 2" xfId="40561"/>
    <cellStyle name="Uwaga 2 7 3 3" xfId="40562"/>
    <cellStyle name="Uwaga 2 7 3 4" xfId="40563"/>
    <cellStyle name="Uwaga 2 7 30" xfId="40564"/>
    <cellStyle name="Uwaga 2 7 30 2" xfId="40565"/>
    <cellStyle name="Uwaga 2 7 30 3" xfId="40566"/>
    <cellStyle name="Uwaga 2 7 31" xfId="40567"/>
    <cellStyle name="Uwaga 2 7 31 2" xfId="40568"/>
    <cellStyle name="Uwaga 2 7 31 3" xfId="40569"/>
    <cellStyle name="Uwaga 2 7 32" xfId="40570"/>
    <cellStyle name="Uwaga 2 7 32 2" xfId="40571"/>
    <cellStyle name="Uwaga 2 7 32 3" xfId="40572"/>
    <cellStyle name="Uwaga 2 7 33" xfId="40573"/>
    <cellStyle name="Uwaga 2 7 33 2" xfId="40574"/>
    <cellStyle name="Uwaga 2 7 33 3" xfId="40575"/>
    <cellStyle name="Uwaga 2 7 34" xfId="40576"/>
    <cellStyle name="Uwaga 2 7 34 2" xfId="40577"/>
    <cellStyle name="Uwaga 2 7 34 3" xfId="40578"/>
    <cellStyle name="Uwaga 2 7 35" xfId="40579"/>
    <cellStyle name="Uwaga 2 7 35 2" xfId="40580"/>
    <cellStyle name="Uwaga 2 7 35 3" xfId="40581"/>
    <cellStyle name="Uwaga 2 7 36" xfId="40582"/>
    <cellStyle name="Uwaga 2 7 36 2" xfId="40583"/>
    <cellStyle name="Uwaga 2 7 36 3" xfId="40584"/>
    <cellStyle name="Uwaga 2 7 37" xfId="40585"/>
    <cellStyle name="Uwaga 2 7 37 2" xfId="40586"/>
    <cellStyle name="Uwaga 2 7 37 3" xfId="40587"/>
    <cellStyle name="Uwaga 2 7 38" xfId="40588"/>
    <cellStyle name="Uwaga 2 7 38 2" xfId="40589"/>
    <cellStyle name="Uwaga 2 7 38 3" xfId="40590"/>
    <cellStyle name="Uwaga 2 7 39" xfId="40591"/>
    <cellStyle name="Uwaga 2 7 39 2" xfId="40592"/>
    <cellStyle name="Uwaga 2 7 39 3" xfId="40593"/>
    <cellStyle name="Uwaga 2 7 4" xfId="40594"/>
    <cellStyle name="Uwaga 2 7 4 2" xfId="40595"/>
    <cellStyle name="Uwaga 2 7 4 3" xfId="40596"/>
    <cellStyle name="Uwaga 2 7 4 4" xfId="40597"/>
    <cellStyle name="Uwaga 2 7 40" xfId="40598"/>
    <cellStyle name="Uwaga 2 7 40 2" xfId="40599"/>
    <cellStyle name="Uwaga 2 7 40 3" xfId="40600"/>
    <cellStyle name="Uwaga 2 7 41" xfId="40601"/>
    <cellStyle name="Uwaga 2 7 41 2" xfId="40602"/>
    <cellStyle name="Uwaga 2 7 41 3" xfId="40603"/>
    <cellStyle name="Uwaga 2 7 42" xfId="40604"/>
    <cellStyle name="Uwaga 2 7 42 2" xfId="40605"/>
    <cellStyle name="Uwaga 2 7 42 3" xfId="40606"/>
    <cellStyle name="Uwaga 2 7 43" xfId="40607"/>
    <cellStyle name="Uwaga 2 7 43 2" xfId="40608"/>
    <cellStyle name="Uwaga 2 7 43 3" xfId="40609"/>
    <cellStyle name="Uwaga 2 7 44" xfId="40610"/>
    <cellStyle name="Uwaga 2 7 44 2" xfId="40611"/>
    <cellStyle name="Uwaga 2 7 44 3" xfId="40612"/>
    <cellStyle name="Uwaga 2 7 45" xfId="40613"/>
    <cellStyle name="Uwaga 2 7 45 2" xfId="40614"/>
    <cellStyle name="Uwaga 2 7 45 3" xfId="40615"/>
    <cellStyle name="Uwaga 2 7 46" xfId="40616"/>
    <cellStyle name="Uwaga 2 7 46 2" xfId="40617"/>
    <cellStyle name="Uwaga 2 7 46 3" xfId="40618"/>
    <cellStyle name="Uwaga 2 7 47" xfId="40619"/>
    <cellStyle name="Uwaga 2 7 47 2" xfId="40620"/>
    <cellStyle name="Uwaga 2 7 47 3" xfId="40621"/>
    <cellStyle name="Uwaga 2 7 48" xfId="40622"/>
    <cellStyle name="Uwaga 2 7 48 2" xfId="40623"/>
    <cellStyle name="Uwaga 2 7 48 3" xfId="40624"/>
    <cellStyle name="Uwaga 2 7 49" xfId="40625"/>
    <cellStyle name="Uwaga 2 7 49 2" xfId="40626"/>
    <cellStyle name="Uwaga 2 7 49 3" xfId="40627"/>
    <cellStyle name="Uwaga 2 7 5" xfId="40628"/>
    <cellStyle name="Uwaga 2 7 5 2" xfId="40629"/>
    <cellStyle name="Uwaga 2 7 5 3" xfId="40630"/>
    <cellStyle name="Uwaga 2 7 5 4" xfId="40631"/>
    <cellStyle name="Uwaga 2 7 50" xfId="40632"/>
    <cellStyle name="Uwaga 2 7 50 2" xfId="40633"/>
    <cellStyle name="Uwaga 2 7 50 3" xfId="40634"/>
    <cellStyle name="Uwaga 2 7 51" xfId="40635"/>
    <cellStyle name="Uwaga 2 7 51 2" xfId="40636"/>
    <cellStyle name="Uwaga 2 7 51 3" xfId="40637"/>
    <cellStyle name="Uwaga 2 7 52" xfId="40638"/>
    <cellStyle name="Uwaga 2 7 52 2" xfId="40639"/>
    <cellStyle name="Uwaga 2 7 52 3" xfId="40640"/>
    <cellStyle name="Uwaga 2 7 53" xfId="40641"/>
    <cellStyle name="Uwaga 2 7 53 2" xfId="40642"/>
    <cellStyle name="Uwaga 2 7 53 3" xfId="40643"/>
    <cellStyle name="Uwaga 2 7 54" xfId="40644"/>
    <cellStyle name="Uwaga 2 7 54 2" xfId="40645"/>
    <cellStyle name="Uwaga 2 7 54 3" xfId="40646"/>
    <cellStyle name="Uwaga 2 7 55" xfId="40647"/>
    <cellStyle name="Uwaga 2 7 55 2" xfId="40648"/>
    <cellStyle name="Uwaga 2 7 55 3" xfId="40649"/>
    <cellStyle name="Uwaga 2 7 56" xfId="40650"/>
    <cellStyle name="Uwaga 2 7 56 2" xfId="40651"/>
    <cellStyle name="Uwaga 2 7 56 3" xfId="40652"/>
    <cellStyle name="Uwaga 2 7 57" xfId="40653"/>
    <cellStyle name="Uwaga 2 7 58" xfId="40654"/>
    <cellStyle name="Uwaga 2 7 6" xfId="40655"/>
    <cellStyle name="Uwaga 2 7 6 2" xfId="40656"/>
    <cellStyle name="Uwaga 2 7 6 3" xfId="40657"/>
    <cellStyle name="Uwaga 2 7 6 4" xfId="40658"/>
    <cellStyle name="Uwaga 2 7 7" xfId="40659"/>
    <cellStyle name="Uwaga 2 7 7 2" xfId="40660"/>
    <cellStyle name="Uwaga 2 7 7 3" xfId="40661"/>
    <cellStyle name="Uwaga 2 7 7 4" xfId="40662"/>
    <cellStyle name="Uwaga 2 7 8" xfId="40663"/>
    <cellStyle name="Uwaga 2 7 8 2" xfId="40664"/>
    <cellStyle name="Uwaga 2 7 8 3" xfId="40665"/>
    <cellStyle name="Uwaga 2 7 8 4" xfId="40666"/>
    <cellStyle name="Uwaga 2 7 9" xfId="40667"/>
    <cellStyle name="Uwaga 2 7 9 2" xfId="40668"/>
    <cellStyle name="Uwaga 2 7 9 3" xfId="40669"/>
    <cellStyle name="Uwaga 2 7 9 4" xfId="40670"/>
    <cellStyle name="Uwaga 2 70" xfId="40671"/>
    <cellStyle name="Uwaga 2 70 2" xfId="40672"/>
    <cellStyle name="Uwaga 2 70 3" xfId="40673"/>
    <cellStyle name="Uwaga 2 71" xfId="40674"/>
    <cellStyle name="Uwaga 2 71 2" xfId="40675"/>
    <cellStyle name="Uwaga 2 71 3" xfId="40676"/>
    <cellStyle name="Uwaga 2 72" xfId="40677"/>
    <cellStyle name="Uwaga 2 72 2" xfId="40678"/>
    <cellStyle name="Uwaga 2 72 3" xfId="40679"/>
    <cellStyle name="Uwaga 2 73" xfId="40680"/>
    <cellStyle name="Uwaga 2 73 2" xfId="40681"/>
    <cellStyle name="Uwaga 2 73 3" xfId="40682"/>
    <cellStyle name="Uwaga 2 74" xfId="40683"/>
    <cellStyle name="Uwaga 2 74 2" xfId="40684"/>
    <cellStyle name="Uwaga 2 74 3" xfId="40685"/>
    <cellStyle name="Uwaga 2 75" xfId="40686"/>
    <cellStyle name="Uwaga 2 75 2" xfId="40687"/>
    <cellStyle name="Uwaga 2 75 3" xfId="40688"/>
    <cellStyle name="Uwaga 2 76" xfId="40689"/>
    <cellStyle name="Uwaga 2 76 2" xfId="40690"/>
    <cellStyle name="Uwaga 2 76 3" xfId="40691"/>
    <cellStyle name="Uwaga 2 77" xfId="40692"/>
    <cellStyle name="Uwaga 2 77 2" xfId="40693"/>
    <cellStyle name="Uwaga 2 77 3" xfId="40694"/>
    <cellStyle name="Uwaga 2 78" xfId="40695"/>
    <cellStyle name="Uwaga 2 78 2" xfId="40696"/>
    <cellStyle name="Uwaga 2 78 3" xfId="40697"/>
    <cellStyle name="Uwaga 2 79" xfId="40698"/>
    <cellStyle name="Uwaga 2 79 2" xfId="40699"/>
    <cellStyle name="Uwaga 2 79 3" xfId="40700"/>
    <cellStyle name="Uwaga 2 8" xfId="40701"/>
    <cellStyle name="Uwaga 2 8 10" xfId="40702"/>
    <cellStyle name="Uwaga 2 8 10 2" xfId="40703"/>
    <cellStyle name="Uwaga 2 8 10 3" xfId="40704"/>
    <cellStyle name="Uwaga 2 8 10 4" xfId="40705"/>
    <cellStyle name="Uwaga 2 8 11" xfId="40706"/>
    <cellStyle name="Uwaga 2 8 11 2" xfId="40707"/>
    <cellStyle name="Uwaga 2 8 11 3" xfId="40708"/>
    <cellStyle name="Uwaga 2 8 11 4" xfId="40709"/>
    <cellStyle name="Uwaga 2 8 12" xfId="40710"/>
    <cellStyle name="Uwaga 2 8 12 2" xfId="40711"/>
    <cellStyle name="Uwaga 2 8 12 3" xfId="40712"/>
    <cellStyle name="Uwaga 2 8 12 4" xfId="40713"/>
    <cellStyle name="Uwaga 2 8 13" xfId="40714"/>
    <cellStyle name="Uwaga 2 8 13 2" xfId="40715"/>
    <cellStyle name="Uwaga 2 8 13 3" xfId="40716"/>
    <cellStyle name="Uwaga 2 8 13 4" xfId="40717"/>
    <cellStyle name="Uwaga 2 8 14" xfId="40718"/>
    <cellStyle name="Uwaga 2 8 14 2" xfId="40719"/>
    <cellStyle name="Uwaga 2 8 14 3" xfId="40720"/>
    <cellStyle name="Uwaga 2 8 14 4" xfId="40721"/>
    <cellStyle name="Uwaga 2 8 15" xfId="40722"/>
    <cellStyle name="Uwaga 2 8 15 2" xfId="40723"/>
    <cellStyle name="Uwaga 2 8 15 3" xfId="40724"/>
    <cellStyle name="Uwaga 2 8 15 4" xfId="40725"/>
    <cellStyle name="Uwaga 2 8 16" xfId="40726"/>
    <cellStyle name="Uwaga 2 8 16 2" xfId="40727"/>
    <cellStyle name="Uwaga 2 8 16 3" xfId="40728"/>
    <cellStyle name="Uwaga 2 8 16 4" xfId="40729"/>
    <cellStyle name="Uwaga 2 8 17" xfId="40730"/>
    <cellStyle name="Uwaga 2 8 17 2" xfId="40731"/>
    <cellStyle name="Uwaga 2 8 17 3" xfId="40732"/>
    <cellStyle name="Uwaga 2 8 17 4" xfId="40733"/>
    <cellStyle name="Uwaga 2 8 18" xfId="40734"/>
    <cellStyle name="Uwaga 2 8 18 2" xfId="40735"/>
    <cellStyle name="Uwaga 2 8 18 3" xfId="40736"/>
    <cellStyle name="Uwaga 2 8 18 4" xfId="40737"/>
    <cellStyle name="Uwaga 2 8 19" xfId="40738"/>
    <cellStyle name="Uwaga 2 8 19 2" xfId="40739"/>
    <cellStyle name="Uwaga 2 8 19 3" xfId="40740"/>
    <cellStyle name="Uwaga 2 8 19 4" xfId="40741"/>
    <cellStyle name="Uwaga 2 8 2" xfId="40742"/>
    <cellStyle name="Uwaga 2 8 2 2" xfId="40743"/>
    <cellStyle name="Uwaga 2 8 2 3" xfId="40744"/>
    <cellStyle name="Uwaga 2 8 2 4" xfId="40745"/>
    <cellStyle name="Uwaga 2 8 20" xfId="40746"/>
    <cellStyle name="Uwaga 2 8 20 2" xfId="40747"/>
    <cellStyle name="Uwaga 2 8 20 3" xfId="40748"/>
    <cellStyle name="Uwaga 2 8 20 4" xfId="40749"/>
    <cellStyle name="Uwaga 2 8 21" xfId="40750"/>
    <cellStyle name="Uwaga 2 8 21 2" xfId="40751"/>
    <cellStyle name="Uwaga 2 8 21 3" xfId="40752"/>
    <cellStyle name="Uwaga 2 8 22" xfId="40753"/>
    <cellStyle name="Uwaga 2 8 22 2" xfId="40754"/>
    <cellStyle name="Uwaga 2 8 22 3" xfId="40755"/>
    <cellStyle name="Uwaga 2 8 23" xfId="40756"/>
    <cellStyle name="Uwaga 2 8 23 2" xfId="40757"/>
    <cellStyle name="Uwaga 2 8 23 3" xfId="40758"/>
    <cellStyle name="Uwaga 2 8 24" xfId="40759"/>
    <cellStyle name="Uwaga 2 8 24 2" xfId="40760"/>
    <cellStyle name="Uwaga 2 8 24 3" xfId="40761"/>
    <cellStyle name="Uwaga 2 8 25" xfId="40762"/>
    <cellStyle name="Uwaga 2 8 25 2" xfId="40763"/>
    <cellStyle name="Uwaga 2 8 25 3" xfId="40764"/>
    <cellStyle name="Uwaga 2 8 26" xfId="40765"/>
    <cellStyle name="Uwaga 2 8 26 2" xfId="40766"/>
    <cellStyle name="Uwaga 2 8 26 3" xfId="40767"/>
    <cellStyle name="Uwaga 2 8 27" xfId="40768"/>
    <cellStyle name="Uwaga 2 8 27 2" xfId="40769"/>
    <cellStyle name="Uwaga 2 8 27 3" xfId="40770"/>
    <cellStyle name="Uwaga 2 8 28" xfId="40771"/>
    <cellStyle name="Uwaga 2 8 28 2" xfId="40772"/>
    <cellStyle name="Uwaga 2 8 28 3" xfId="40773"/>
    <cellStyle name="Uwaga 2 8 29" xfId="40774"/>
    <cellStyle name="Uwaga 2 8 29 2" xfId="40775"/>
    <cellStyle name="Uwaga 2 8 29 3" xfId="40776"/>
    <cellStyle name="Uwaga 2 8 3" xfId="40777"/>
    <cellStyle name="Uwaga 2 8 3 2" xfId="40778"/>
    <cellStyle name="Uwaga 2 8 3 3" xfId="40779"/>
    <cellStyle name="Uwaga 2 8 3 4" xfId="40780"/>
    <cellStyle name="Uwaga 2 8 30" xfId="40781"/>
    <cellStyle name="Uwaga 2 8 30 2" xfId="40782"/>
    <cellStyle name="Uwaga 2 8 30 3" xfId="40783"/>
    <cellStyle name="Uwaga 2 8 31" xfId="40784"/>
    <cellStyle name="Uwaga 2 8 31 2" xfId="40785"/>
    <cellStyle name="Uwaga 2 8 31 3" xfId="40786"/>
    <cellStyle name="Uwaga 2 8 32" xfId="40787"/>
    <cellStyle name="Uwaga 2 8 32 2" xfId="40788"/>
    <cellStyle name="Uwaga 2 8 32 3" xfId="40789"/>
    <cellStyle name="Uwaga 2 8 33" xfId="40790"/>
    <cellStyle name="Uwaga 2 8 33 2" xfId="40791"/>
    <cellStyle name="Uwaga 2 8 33 3" xfId="40792"/>
    <cellStyle name="Uwaga 2 8 34" xfId="40793"/>
    <cellStyle name="Uwaga 2 8 34 2" xfId="40794"/>
    <cellStyle name="Uwaga 2 8 34 3" xfId="40795"/>
    <cellStyle name="Uwaga 2 8 35" xfId="40796"/>
    <cellStyle name="Uwaga 2 8 35 2" xfId="40797"/>
    <cellStyle name="Uwaga 2 8 35 3" xfId="40798"/>
    <cellStyle name="Uwaga 2 8 36" xfId="40799"/>
    <cellStyle name="Uwaga 2 8 36 2" xfId="40800"/>
    <cellStyle name="Uwaga 2 8 36 3" xfId="40801"/>
    <cellStyle name="Uwaga 2 8 37" xfId="40802"/>
    <cellStyle name="Uwaga 2 8 37 2" xfId="40803"/>
    <cellStyle name="Uwaga 2 8 37 3" xfId="40804"/>
    <cellStyle name="Uwaga 2 8 38" xfId="40805"/>
    <cellStyle name="Uwaga 2 8 38 2" xfId="40806"/>
    <cellStyle name="Uwaga 2 8 38 3" xfId="40807"/>
    <cellStyle name="Uwaga 2 8 39" xfId="40808"/>
    <cellStyle name="Uwaga 2 8 39 2" xfId="40809"/>
    <cellStyle name="Uwaga 2 8 39 3" xfId="40810"/>
    <cellStyle name="Uwaga 2 8 4" xfId="40811"/>
    <cellStyle name="Uwaga 2 8 4 2" xfId="40812"/>
    <cellStyle name="Uwaga 2 8 4 3" xfId="40813"/>
    <cellStyle name="Uwaga 2 8 4 4" xfId="40814"/>
    <cellStyle name="Uwaga 2 8 40" xfId="40815"/>
    <cellStyle name="Uwaga 2 8 40 2" xfId="40816"/>
    <cellStyle name="Uwaga 2 8 40 3" xfId="40817"/>
    <cellStyle name="Uwaga 2 8 41" xfId="40818"/>
    <cellStyle name="Uwaga 2 8 41 2" xfId="40819"/>
    <cellStyle name="Uwaga 2 8 41 3" xfId="40820"/>
    <cellStyle name="Uwaga 2 8 42" xfId="40821"/>
    <cellStyle name="Uwaga 2 8 42 2" xfId="40822"/>
    <cellStyle name="Uwaga 2 8 42 3" xfId="40823"/>
    <cellStyle name="Uwaga 2 8 43" xfId="40824"/>
    <cellStyle name="Uwaga 2 8 43 2" xfId="40825"/>
    <cellStyle name="Uwaga 2 8 43 3" xfId="40826"/>
    <cellStyle name="Uwaga 2 8 44" xfId="40827"/>
    <cellStyle name="Uwaga 2 8 44 2" xfId="40828"/>
    <cellStyle name="Uwaga 2 8 44 3" xfId="40829"/>
    <cellStyle name="Uwaga 2 8 45" xfId="40830"/>
    <cellStyle name="Uwaga 2 8 45 2" xfId="40831"/>
    <cellStyle name="Uwaga 2 8 45 3" xfId="40832"/>
    <cellStyle name="Uwaga 2 8 46" xfId="40833"/>
    <cellStyle name="Uwaga 2 8 46 2" xfId="40834"/>
    <cellStyle name="Uwaga 2 8 46 3" xfId="40835"/>
    <cellStyle name="Uwaga 2 8 47" xfId="40836"/>
    <cellStyle name="Uwaga 2 8 47 2" xfId="40837"/>
    <cellStyle name="Uwaga 2 8 47 3" xfId="40838"/>
    <cellStyle name="Uwaga 2 8 48" xfId="40839"/>
    <cellStyle name="Uwaga 2 8 48 2" xfId="40840"/>
    <cellStyle name="Uwaga 2 8 48 3" xfId="40841"/>
    <cellStyle name="Uwaga 2 8 49" xfId="40842"/>
    <cellStyle name="Uwaga 2 8 49 2" xfId="40843"/>
    <cellStyle name="Uwaga 2 8 49 3" xfId="40844"/>
    <cellStyle name="Uwaga 2 8 5" xfId="40845"/>
    <cellStyle name="Uwaga 2 8 5 2" xfId="40846"/>
    <cellStyle name="Uwaga 2 8 5 3" xfId="40847"/>
    <cellStyle name="Uwaga 2 8 5 4" xfId="40848"/>
    <cellStyle name="Uwaga 2 8 50" xfId="40849"/>
    <cellStyle name="Uwaga 2 8 50 2" xfId="40850"/>
    <cellStyle name="Uwaga 2 8 50 3" xfId="40851"/>
    <cellStyle name="Uwaga 2 8 51" xfId="40852"/>
    <cellStyle name="Uwaga 2 8 51 2" xfId="40853"/>
    <cellStyle name="Uwaga 2 8 51 3" xfId="40854"/>
    <cellStyle name="Uwaga 2 8 52" xfId="40855"/>
    <cellStyle name="Uwaga 2 8 52 2" xfId="40856"/>
    <cellStyle name="Uwaga 2 8 52 3" xfId="40857"/>
    <cellStyle name="Uwaga 2 8 53" xfId="40858"/>
    <cellStyle name="Uwaga 2 8 53 2" xfId="40859"/>
    <cellStyle name="Uwaga 2 8 53 3" xfId="40860"/>
    <cellStyle name="Uwaga 2 8 54" xfId="40861"/>
    <cellStyle name="Uwaga 2 8 54 2" xfId="40862"/>
    <cellStyle name="Uwaga 2 8 54 3" xfId="40863"/>
    <cellStyle name="Uwaga 2 8 55" xfId="40864"/>
    <cellStyle name="Uwaga 2 8 55 2" xfId="40865"/>
    <cellStyle name="Uwaga 2 8 55 3" xfId="40866"/>
    <cellStyle name="Uwaga 2 8 56" xfId="40867"/>
    <cellStyle name="Uwaga 2 8 56 2" xfId="40868"/>
    <cellStyle name="Uwaga 2 8 56 3" xfId="40869"/>
    <cellStyle name="Uwaga 2 8 57" xfId="40870"/>
    <cellStyle name="Uwaga 2 8 58" xfId="40871"/>
    <cellStyle name="Uwaga 2 8 6" xfId="40872"/>
    <cellStyle name="Uwaga 2 8 6 2" xfId="40873"/>
    <cellStyle name="Uwaga 2 8 6 3" xfId="40874"/>
    <cellStyle name="Uwaga 2 8 6 4" xfId="40875"/>
    <cellStyle name="Uwaga 2 8 7" xfId="40876"/>
    <cellStyle name="Uwaga 2 8 7 2" xfId="40877"/>
    <cellStyle name="Uwaga 2 8 7 3" xfId="40878"/>
    <cellStyle name="Uwaga 2 8 7 4" xfId="40879"/>
    <cellStyle name="Uwaga 2 8 8" xfId="40880"/>
    <cellStyle name="Uwaga 2 8 8 2" xfId="40881"/>
    <cellStyle name="Uwaga 2 8 8 3" xfId="40882"/>
    <cellStyle name="Uwaga 2 8 8 4" xfId="40883"/>
    <cellStyle name="Uwaga 2 8 9" xfId="40884"/>
    <cellStyle name="Uwaga 2 8 9 2" xfId="40885"/>
    <cellStyle name="Uwaga 2 8 9 3" xfId="40886"/>
    <cellStyle name="Uwaga 2 8 9 4" xfId="40887"/>
    <cellStyle name="Uwaga 2 80" xfId="40888"/>
    <cellStyle name="Uwaga 2 80 2" xfId="40889"/>
    <cellStyle name="Uwaga 2 80 3" xfId="40890"/>
    <cellStyle name="Uwaga 2 81" xfId="40891"/>
    <cellStyle name="Uwaga 2 81 2" xfId="40892"/>
    <cellStyle name="Uwaga 2 81 3" xfId="40893"/>
    <cellStyle name="Uwaga 2 82" xfId="40894"/>
    <cellStyle name="Uwaga 2 82 2" xfId="40895"/>
    <cellStyle name="Uwaga 2 82 3" xfId="40896"/>
    <cellStyle name="Uwaga 2 83" xfId="40897"/>
    <cellStyle name="Uwaga 2 83 2" xfId="40898"/>
    <cellStyle name="Uwaga 2 83 3" xfId="40899"/>
    <cellStyle name="Uwaga 2 84" xfId="40900"/>
    <cellStyle name="Uwaga 2 84 2" xfId="40901"/>
    <cellStyle name="Uwaga 2 84 3" xfId="40902"/>
    <cellStyle name="Uwaga 2 85" xfId="40903"/>
    <cellStyle name="Uwaga 2 85 2" xfId="40904"/>
    <cellStyle name="Uwaga 2 85 3" xfId="40905"/>
    <cellStyle name="Uwaga 2 86" xfId="40906"/>
    <cellStyle name="Uwaga 2 86 2" xfId="40907"/>
    <cellStyle name="Uwaga 2 86 3" xfId="40908"/>
    <cellStyle name="Uwaga 2 87" xfId="40909"/>
    <cellStyle name="Uwaga 2 87 2" xfId="40910"/>
    <cellStyle name="Uwaga 2 87 3" xfId="40911"/>
    <cellStyle name="Uwaga 2 88" xfId="40912"/>
    <cellStyle name="Uwaga 2 88 2" xfId="40913"/>
    <cellStyle name="Uwaga 2 88 3" xfId="40914"/>
    <cellStyle name="Uwaga 2 89" xfId="40915"/>
    <cellStyle name="Uwaga 2 89 2" xfId="40916"/>
    <cellStyle name="Uwaga 2 89 3" xfId="40917"/>
    <cellStyle name="Uwaga 2 9" xfId="40918"/>
    <cellStyle name="Uwaga 2 9 10" xfId="40919"/>
    <cellStyle name="Uwaga 2 9 10 2" xfId="40920"/>
    <cellStyle name="Uwaga 2 9 10 3" xfId="40921"/>
    <cellStyle name="Uwaga 2 9 10 4" xfId="40922"/>
    <cellStyle name="Uwaga 2 9 11" xfId="40923"/>
    <cellStyle name="Uwaga 2 9 11 2" xfId="40924"/>
    <cellStyle name="Uwaga 2 9 11 3" xfId="40925"/>
    <cellStyle name="Uwaga 2 9 11 4" xfId="40926"/>
    <cellStyle name="Uwaga 2 9 12" xfId="40927"/>
    <cellStyle name="Uwaga 2 9 12 2" xfId="40928"/>
    <cellStyle name="Uwaga 2 9 12 3" xfId="40929"/>
    <cellStyle name="Uwaga 2 9 12 4" xfId="40930"/>
    <cellStyle name="Uwaga 2 9 13" xfId="40931"/>
    <cellStyle name="Uwaga 2 9 13 2" xfId="40932"/>
    <cellStyle name="Uwaga 2 9 13 3" xfId="40933"/>
    <cellStyle name="Uwaga 2 9 13 4" xfId="40934"/>
    <cellStyle name="Uwaga 2 9 14" xfId="40935"/>
    <cellStyle name="Uwaga 2 9 14 2" xfId="40936"/>
    <cellStyle name="Uwaga 2 9 14 3" xfId="40937"/>
    <cellStyle name="Uwaga 2 9 14 4" xfId="40938"/>
    <cellStyle name="Uwaga 2 9 15" xfId="40939"/>
    <cellStyle name="Uwaga 2 9 15 2" xfId="40940"/>
    <cellStyle name="Uwaga 2 9 15 3" xfId="40941"/>
    <cellStyle name="Uwaga 2 9 15 4" xfId="40942"/>
    <cellStyle name="Uwaga 2 9 16" xfId="40943"/>
    <cellStyle name="Uwaga 2 9 16 2" xfId="40944"/>
    <cellStyle name="Uwaga 2 9 16 3" xfId="40945"/>
    <cellStyle name="Uwaga 2 9 16 4" xfId="40946"/>
    <cellStyle name="Uwaga 2 9 17" xfId="40947"/>
    <cellStyle name="Uwaga 2 9 17 2" xfId="40948"/>
    <cellStyle name="Uwaga 2 9 17 3" xfId="40949"/>
    <cellStyle name="Uwaga 2 9 17 4" xfId="40950"/>
    <cellStyle name="Uwaga 2 9 18" xfId="40951"/>
    <cellStyle name="Uwaga 2 9 18 2" xfId="40952"/>
    <cellStyle name="Uwaga 2 9 18 3" xfId="40953"/>
    <cellStyle name="Uwaga 2 9 18 4" xfId="40954"/>
    <cellStyle name="Uwaga 2 9 19" xfId="40955"/>
    <cellStyle name="Uwaga 2 9 19 2" xfId="40956"/>
    <cellStyle name="Uwaga 2 9 19 3" xfId="40957"/>
    <cellStyle name="Uwaga 2 9 19 4" xfId="40958"/>
    <cellStyle name="Uwaga 2 9 2" xfId="40959"/>
    <cellStyle name="Uwaga 2 9 2 2" xfId="40960"/>
    <cellStyle name="Uwaga 2 9 2 3" xfId="40961"/>
    <cellStyle name="Uwaga 2 9 2 4" xfId="40962"/>
    <cellStyle name="Uwaga 2 9 20" xfId="40963"/>
    <cellStyle name="Uwaga 2 9 20 2" xfId="40964"/>
    <cellStyle name="Uwaga 2 9 20 3" xfId="40965"/>
    <cellStyle name="Uwaga 2 9 20 4" xfId="40966"/>
    <cellStyle name="Uwaga 2 9 21" xfId="40967"/>
    <cellStyle name="Uwaga 2 9 21 2" xfId="40968"/>
    <cellStyle name="Uwaga 2 9 21 3" xfId="40969"/>
    <cellStyle name="Uwaga 2 9 22" xfId="40970"/>
    <cellStyle name="Uwaga 2 9 22 2" xfId="40971"/>
    <cellStyle name="Uwaga 2 9 22 3" xfId="40972"/>
    <cellStyle name="Uwaga 2 9 23" xfId="40973"/>
    <cellStyle name="Uwaga 2 9 23 2" xfId="40974"/>
    <cellStyle name="Uwaga 2 9 23 3" xfId="40975"/>
    <cellStyle name="Uwaga 2 9 24" xfId="40976"/>
    <cellStyle name="Uwaga 2 9 24 2" xfId="40977"/>
    <cellStyle name="Uwaga 2 9 24 3" xfId="40978"/>
    <cellStyle name="Uwaga 2 9 25" xfId="40979"/>
    <cellStyle name="Uwaga 2 9 25 2" xfId="40980"/>
    <cellStyle name="Uwaga 2 9 25 3" xfId="40981"/>
    <cellStyle name="Uwaga 2 9 26" xfId="40982"/>
    <cellStyle name="Uwaga 2 9 26 2" xfId="40983"/>
    <cellStyle name="Uwaga 2 9 26 3" xfId="40984"/>
    <cellStyle name="Uwaga 2 9 27" xfId="40985"/>
    <cellStyle name="Uwaga 2 9 27 2" xfId="40986"/>
    <cellStyle name="Uwaga 2 9 27 3" xfId="40987"/>
    <cellStyle name="Uwaga 2 9 28" xfId="40988"/>
    <cellStyle name="Uwaga 2 9 28 2" xfId="40989"/>
    <cellStyle name="Uwaga 2 9 28 3" xfId="40990"/>
    <cellStyle name="Uwaga 2 9 29" xfId="40991"/>
    <cellStyle name="Uwaga 2 9 29 2" xfId="40992"/>
    <cellStyle name="Uwaga 2 9 29 3" xfId="40993"/>
    <cellStyle name="Uwaga 2 9 3" xfId="40994"/>
    <cellStyle name="Uwaga 2 9 3 2" xfId="40995"/>
    <cellStyle name="Uwaga 2 9 3 3" xfId="40996"/>
    <cellStyle name="Uwaga 2 9 3 4" xfId="40997"/>
    <cellStyle name="Uwaga 2 9 30" xfId="40998"/>
    <cellStyle name="Uwaga 2 9 30 2" xfId="40999"/>
    <cellStyle name="Uwaga 2 9 30 3" xfId="41000"/>
    <cellStyle name="Uwaga 2 9 31" xfId="41001"/>
    <cellStyle name="Uwaga 2 9 31 2" xfId="41002"/>
    <cellStyle name="Uwaga 2 9 31 3" xfId="41003"/>
    <cellStyle name="Uwaga 2 9 32" xfId="41004"/>
    <cellStyle name="Uwaga 2 9 32 2" xfId="41005"/>
    <cellStyle name="Uwaga 2 9 32 3" xfId="41006"/>
    <cellStyle name="Uwaga 2 9 33" xfId="41007"/>
    <cellStyle name="Uwaga 2 9 33 2" xfId="41008"/>
    <cellStyle name="Uwaga 2 9 33 3" xfId="41009"/>
    <cellStyle name="Uwaga 2 9 34" xfId="41010"/>
    <cellStyle name="Uwaga 2 9 34 2" xfId="41011"/>
    <cellStyle name="Uwaga 2 9 34 3" xfId="41012"/>
    <cellStyle name="Uwaga 2 9 35" xfId="41013"/>
    <cellStyle name="Uwaga 2 9 35 2" xfId="41014"/>
    <cellStyle name="Uwaga 2 9 35 3" xfId="41015"/>
    <cellStyle name="Uwaga 2 9 36" xfId="41016"/>
    <cellStyle name="Uwaga 2 9 36 2" xfId="41017"/>
    <cellStyle name="Uwaga 2 9 36 3" xfId="41018"/>
    <cellStyle name="Uwaga 2 9 37" xfId="41019"/>
    <cellStyle name="Uwaga 2 9 37 2" xfId="41020"/>
    <cellStyle name="Uwaga 2 9 37 3" xfId="41021"/>
    <cellStyle name="Uwaga 2 9 38" xfId="41022"/>
    <cellStyle name="Uwaga 2 9 38 2" xfId="41023"/>
    <cellStyle name="Uwaga 2 9 38 3" xfId="41024"/>
    <cellStyle name="Uwaga 2 9 39" xfId="41025"/>
    <cellStyle name="Uwaga 2 9 39 2" xfId="41026"/>
    <cellStyle name="Uwaga 2 9 39 3" xfId="41027"/>
    <cellStyle name="Uwaga 2 9 4" xfId="41028"/>
    <cellStyle name="Uwaga 2 9 4 2" xfId="41029"/>
    <cellStyle name="Uwaga 2 9 4 3" xfId="41030"/>
    <cellStyle name="Uwaga 2 9 4 4" xfId="41031"/>
    <cellStyle name="Uwaga 2 9 40" xfId="41032"/>
    <cellStyle name="Uwaga 2 9 40 2" xfId="41033"/>
    <cellStyle name="Uwaga 2 9 40 3" xfId="41034"/>
    <cellStyle name="Uwaga 2 9 41" xfId="41035"/>
    <cellStyle name="Uwaga 2 9 41 2" xfId="41036"/>
    <cellStyle name="Uwaga 2 9 41 3" xfId="41037"/>
    <cellStyle name="Uwaga 2 9 42" xfId="41038"/>
    <cellStyle name="Uwaga 2 9 42 2" xfId="41039"/>
    <cellStyle name="Uwaga 2 9 42 3" xfId="41040"/>
    <cellStyle name="Uwaga 2 9 43" xfId="41041"/>
    <cellStyle name="Uwaga 2 9 43 2" xfId="41042"/>
    <cellStyle name="Uwaga 2 9 43 3" xfId="41043"/>
    <cellStyle name="Uwaga 2 9 44" xfId="41044"/>
    <cellStyle name="Uwaga 2 9 44 2" xfId="41045"/>
    <cellStyle name="Uwaga 2 9 44 3" xfId="41046"/>
    <cellStyle name="Uwaga 2 9 45" xfId="41047"/>
    <cellStyle name="Uwaga 2 9 45 2" xfId="41048"/>
    <cellStyle name="Uwaga 2 9 45 3" xfId="41049"/>
    <cellStyle name="Uwaga 2 9 46" xfId="41050"/>
    <cellStyle name="Uwaga 2 9 46 2" xfId="41051"/>
    <cellStyle name="Uwaga 2 9 46 3" xfId="41052"/>
    <cellStyle name="Uwaga 2 9 47" xfId="41053"/>
    <cellStyle name="Uwaga 2 9 47 2" xfId="41054"/>
    <cellStyle name="Uwaga 2 9 47 3" xfId="41055"/>
    <cellStyle name="Uwaga 2 9 48" xfId="41056"/>
    <cellStyle name="Uwaga 2 9 48 2" xfId="41057"/>
    <cellStyle name="Uwaga 2 9 48 3" xfId="41058"/>
    <cellStyle name="Uwaga 2 9 49" xfId="41059"/>
    <cellStyle name="Uwaga 2 9 49 2" xfId="41060"/>
    <cellStyle name="Uwaga 2 9 49 3" xfId="41061"/>
    <cellStyle name="Uwaga 2 9 5" xfId="41062"/>
    <cellStyle name="Uwaga 2 9 5 2" xfId="41063"/>
    <cellStyle name="Uwaga 2 9 5 3" xfId="41064"/>
    <cellStyle name="Uwaga 2 9 5 4" xfId="41065"/>
    <cellStyle name="Uwaga 2 9 50" xfId="41066"/>
    <cellStyle name="Uwaga 2 9 50 2" xfId="41067"/>
    <cellStyle name="Uwaga 2 9 50 3" xfId="41068"/>
    <cellStyle name="Uwaga 2 9 51" xfId="41069"/>
    <cellStyle name="Uwaga 2 9 51 2" xfId="41070"/>
    <cellStyle name="Uwaga 2 9 51 3" xfId="41071"/>
    <cellStyle name="Uwaga 2 9 52" xfId="41072"/>
    <cellStyle name="Uwaga 2 9 52 2" xfId="41073"/>
    <cellStyle name="Uwaga 2 9 52 3" xfId="41074"/>
    <cellStyle name="Uwaga 2 9 53" xfId="41075"/>
    <cellStyle name="Uwaga 2 9 53 2" xfId="41076"/>
    <cellStyle name="Uwaga 2 9 53 3" xfId="41077"/>
    <cellStyle name="Uwaga 2 9 54" xfId="41078"/>
    <cellStyle name="Uwaga 2 9 54 2" xfId="41079"/>
    <cellStyle name="Uwaga 2 9 54 3" xfId="41080"/>
    <cellStyle name="Uwaga 2 9 55" xfId="41081"/>
    <cellStyle name="Uwaga 2 9 55 2" xfId="41082"/>
    <cellStyle name="Uwaga 2 9 55 3" xfId="41083"/>
    <cellStyle name="Uwaga 2 9 56" xfId="41084"/>
    <cellStyle name="Uwaga 2 9 56 2" xfId="41085"/>
    <cellStyle name="Uwaga 2 9 56 3" xfId="41086"/>
    <cellStyle name="Uwaga 2 9 57" xfId="41087"/>
    <cellStyle name="Uwaga 2 9 58" xfId="41088"/>
    <cellStyle name="Uwaga 2 9 6" xfId="41089"/>
    <cellStyle name="Uwaga 2 9 6 2" xfId="41090"/>
    <cellStyle name="Uwaga 2 9 6 3" xfId="41091"/>
    <cellStyle name="Uwaga 2 9 6 4" xfId="41092"/>
    <cellStyle name="Uwaga 2 9 7" xfId="41093"/>
    <cellStyle name="Uwaga 2 9 7 2" xfId="41094"/>
    <cellStyle name="Uwaga 2 9 7 3" xfId="41095"/>
    <cellStyle name="Uwaga 2 9 7 4" xfId="41096"/>
    <cellStyle name="Uwaga 2 9 8" xfId="41097"/>
    <cellStyle name="Uwaga 2 9 8 2" xfId="41098"/>
    <cellStyle name="Uwaga 2 9 8 3" xfId="41099"/>
    <cellStyle name="Uwaga 2 9 8 4" xfId="41100"/>
    <cellStyle name="Uwaga 2 9 9" xfId="41101"/>
    <cellStyle name="Uwaga 2 9 9 2" xfId="41102"/>
    <cellStyle name="Uwaga 2 9 9 3" xfId="41103"/>
    <cellStyle name="Uwaga 2 9 9 4" xfId="41104"/>
    <cellStyle name="Uwaga 2 90" xfId="41105"/>
    <cellStyle name="Uwaga 2 91" xfId="41106"/>
    <cellStyle name="Uwaga 20" xfId="41107"/>
    <cellStyle name="Uwaga 21" xfId="41108"/>
    <cellStyle name="Uwaga 22" xfId="41109"/>
    <cellStyle name="Uwaga 23" xfId="41110"/>
    <cellStyle name="Uwaga 24" xfId="41111"/>
    <cellStyle name="Uwaga 25" xfId="41112"/>
    <cellStyle name="Uwaga 26" xfId="41113"/>
    <cellStyle name="Uwaga 27" xfId="41114"/>
    <cellStyle name="Uwaga 28" xfId="41115"/>
    <cellStyle name="Uwaga 29" xfId="41116"/>
    <cellStyle name="Uwaga 3" xfId="41117"/>
    <cellStyle name="Uwaga 3 10" xfId="41118"/>
    <cellStyle name="Uwaga 3 10 2" xfId="41119"/>
    <cellStyle name="Uwaga 3 11" xfId="41120"/>
    <cellStyle name="Uwaga 3 11 2" xfId="41121"/>
    <cellStyle name="Uwaga 3 12" xfId="41122"/>
    <cellStyle name="Uwaga 3 12 2" xfId="41123"/>
    <cellStyle name="Uwaga 3 13" xfId="41124"/>
    <cellStyle name="Uwaga 3 13 2" xfId="41125"/>
    <cellStyle name="Uwaga 3 14" xfId="41126"/>
    <cellStyle name="Uwaga 3 14 2" xfId="41127"/>
    <cellStyle name="Uwaga 3 15" xfId="41128"/>
    <cellStyle name="Uwaga 3 15 2" xfId="41129"/>
    <cellStyle name="Uwaga 3 16" xfId="41130"/>
    <cellStyle name="Uwaga 3 16 2" xfId="41131"/>
    <cellStyle name="Uwaga 3 17" xfId="41132"/>
    <cellStyle name="Uwaga 3 17 2" xfId="41133"/>
    <cellStyle name="Uwaga 3 18" xfId="41134"/>
    <cellStyle name="Uwaga 3 18 2" xfId="41135"/>
    <cellStyle name="Uwaga 3 19" xfId="41136"/>
    <cellStyle name="Uwaga 3 19 2" xfId="41137"/>
    <cellStyle name="Uwaga 3 2" xfId="41138"/>
    <cellStyle name="Uwaga 3 2 10" xfId="41139"/>
    <cellStyle name="Uwaga 3 2 10 2" xfId="41140"/>
    <cellStyle name="Uwaga 3 2 11" xfId="41141"/>
    <cellStyle name="Uwaga 3 2 11 2" xfId="41142"/>
    <cellStyle name="Uwaga 3 2 12" xfId="41143"/>
    <cellStyle name="Uwaga 3 2 12 2" xfId="41144"/>
    <cellStyle name="Uwaga 3 2 13" xfId="41145"/>
    <cellStyle name="Uwaga 3 2 13 2" xfId="41146"/>
    <cellStyle name="Uwaga 3 2 14" xfId="41147"/>
    <cellStyle name="Uwaga 3 2 14 2" xfId="41148"/>
    <cellStyle name="Uwaga 3 2 15" xfId="41149"/>
    <cellStyle name="Uwaga 3 2 15 2" xfId="41150"/>
    <cellStyle name="Uwaga 3 2 16" xfId="41151"/>
    <cellStyle name="Uwaga 3 2 16 2" xfId="41152"/>
    <cellStyle name="Uwaga 3 2 17" xfId="41153"/>
    <cellStyle name="Uwaga 3 2 17 2" xfId="41154"/>
    <cellStyle name="Uwaga 3 2 18" xfId="41155"/>
    <cellStyle name="Uwaga 3 2 18 2" xfId="41156"/>
    <cellStyle name="Uwaga 3 2 19" xfId="41157"/>
    <cellStyle name="Uwaga 3 2 19 2" xfId="41158"/>
    <cellStyle name="Uwaga 3 2 2" xfId="41159"/>
    <cellStyle name="Uwaga 3 2 2 10" xfId="41160"/>
    <cellStyle name="Uwaga 3 2 2 11" xfId="41161"/>
    <cellStyle name="Uwaga 3 2 2 12" xfId="41162"/>
    <cellStyle name="Uwaga 3 2 2 13" xfId="41163"/>
    <cellStyle name="Uwaga 3 2 2 14" xfId="41164"/>
    <cellStyle name="Uwaga 3 2 2 15" xfId="41165"/>
    <cellStyle name="Uwaga 3 2 2 16" xfId="41166"/>
    <cellStyle name="Uwaga 3 2 2 17" xfId="41167"/>
    <cellStyle name="Uwaga 3 2 2 18" xfId="41168"/>
    <cellStyle name="Uwaga 3 2 2 19" xfId="41169"/>
    <cellStyle name="Uwaga 3 2 2 2" xfId="41170"/>
    <cellStyle name="Uwaga 3 2 2 3" xfId="41171"/>
    <cellStyle name="Uwaga 3 2 2 4" xfId="41172"/>
    <cellStyle name="Uwaga 3 2 2 5" xfId="41173"/>
    <cellStyle name="Uwaga 3 2 2 6" xfId="41174"/>
    <cellStyle name="Uwaga 3 2 2 7" xfId="41175"/>
    <cellStyle name="Uwaga 3 2 2 8" xfId="41176"/>
    <cellStyle name="Uwaga 3 2 2 9" xfId="41177"/>
    <cellStyle name="Uwaga 3 2 20" xfId="41178"/>
    <cellStyle name="Uwaga 3 2 20 2" xfId="41179"/>
    <cellStyle name="Uwaga 3 2 21" xfId="41180"/>
    <cellStyle name="Uwaga 3 2 21 2" xfId="41181"/>
    <cellStyle name="Uwaga 3 2 22" xfId="41182"/>
    <cellStyle name="Uwaga 3 2 22 2" xfId="41183"/>
    <cellStyle name="Uwaga 3 2 23" xfId="41184"/>
    <cellStyle name="Uwaga 3 2 23 2" xfId="41185"/>
    <cellStyle name="Uwaga 3 2 24" xfId="41186"/>
    <cellStyle name="Uwaga 3 2 24 2" xfId="41187"/>
    <cellStyle name="Uwaga 3 2 25" xfId="41188"/>
    <cellStyle name="Uwaga 3 2 25 2" xfId="41189"/>
    <cellStyle name="Uwaga 3 2 26" xfId="41190"/>
    <cellStyle name="Uwaga 3 2 26 2" xfId="41191"/>
    <cellStyle name="Uwaga 3 2 27" xfId="41192"/>
    <cellStyle name="Uwaga 3 2 27 2" xfId="41193"/>
    <cellStyle name="Uwaga 3 2 28" xfId="41194"/>
    <cellStyle name="Uwaga 3 2 28 2" xfId="41195"/>
    <cellStyle name="Uwaga 3 2 29" xfId="41196"/>
    <cellStyle name="Uwaga 3 2 29 2" xfId="41197"/>
    <cellStyle name="Uwaga 3 2 3" xfId="41198"/>
    <cellStyle name="Uwaga 3 2 3 10" xfId="41199"/>
    <cellStyle name="Uwaga 3 2 3 11" xfId="41200"/>
    <cellStyle name="Uwaga 3 2 3 12" xfId="41201"/>
    <cellStyle name="Uwaga 3 2 3 13" xfId="41202"/>
    <cellStyle name="Uwaga 3 2 3 14" xfId="41203"/>
    <cellStyle name="Uwaga 3 2 3 15" xfId="41204"/>
    <cellStyle name="Uwaga 3 2 3 16" xfId="41205"/>
    <cellStyle name="Uwaga 3 2 3 17" xfId="41206"/>
    <cellStyle name="Uwaga 3 2 3 18" xfId="41207"/>
    <cellStyle name="Uwaga 3 2 3 19" xfId="41208"/>
    <cellStyle name="Uwaga 3 2 3 2" xfId="41209"/>
    <cellStyle name="Uwaga 3 2 3 3" xfId="41210"/>
    <cellStyle name="Uwaga 3 2 3 4" xfId="41211"/>
    <cellStyle name="Uwaga 3 2 3 5" xfId="41212"/>
    <cellStyle name="Uwaga 3 2 3 6" xfId="41213"/>
    <cellStyle name="Uwaga 3 2 3 7" xfId="41214"/>
    <cellStyle name="Uwaga 3 2 3 8" xfId="41215"/>
    <cellStyle name="Uwaga 3 2 3 9" xfId="41216"/>
    <cellStyle name="Uwaga 3 2 30" xfId="41217"/>
    <cellStyle name="Uwaga 3 2 30 2" xfId="41218"/>
    <cellStyle name="Uwaga 3 2 31" xfId="41219"/>
    <cellStyle name="Uwaga 3 2 31 2" xfId="41220"/>
    <cellStyle name="Uwaga 3 2 32" xfId="41221"/>
    <cellStyle name="Uwaga 3 2 33" xfId="41222"/>
    <cellStyle name="Uwaga 3 2 34" xfId="41223"/>
    <cellStyle name="Uwaga 3 2 35" xfId="41224"/>
    <cellStyle name="Uwaga 3 2 36" xfId="41225"/>
    <cellStyle name="Uwaga 3 2 37" xfId="41226"/>
    <cellStyle name="Uwaga 3 2 38" xfId="41227"/>
    <cellStyle name="Uwaga 3 2 39" xfId="41228"/>
    <cellStyle name="Uwaga 3 2 4" xfId="41229"/>
    <cellStyle name="Uwaga 3 2 4 10" xfId="41230"/>
    <cellStyle name="Uwaga 3 2 4 11" xfId="41231"/>
    <cellStyle name="Uwaga 3 2 4 12" xfId="41232"/>
    <cellStyle name="Uwaga 3 2 4 13" xfId="41233"/>
    <cellStyle name="Uwaga 3 2 4 14" xfId="41234"/>
    <cellStyle name="Uwaga 3 2 4 15" xfId="41235"/>
    <cellStyle name="Uwaga 3 2 4 16" xfId="41236"/>
    <cellStyle name="Uwaga 3 2 4 17" xfId="41237"/>
    <cellStyle name="Uwaga 3 2 4 18" xfId="41238"/>
    <cellStyle name="Uwaga 3 2 4 19" xfId="41239"/>
    <cellStyle name="Uwaga 3 2 4 2" xfId="41240"/>
    <cellStyle name="Uwaga 3 2 4 3" xfId="41241"/>
    <cellStyle name="Uwaga 3 2 4 4" xfId="41242"/>
    <cellStyle name="Uwaga 3 2 4 5" xfId="41243"/>
    <cellStyle name="Uwaga 3 2 4 6" xfId="41244"/>
    <cellStyle name="Uwaga 3 2 4 7" xfId="41245"/>
    <cellStyle name="Uwaga 3 2 4 8" xfId="41246"/>
    <cellStyle name="Uwaga 3 2 4 9" xfId="41247"/>
    <cellStyle name="Uwaga 3 2 40" xfId="41248"/>
    <cellStyle name="Uwaga 3 2 41" xfId="41249"/>
    <cellStyle name="Uwaga 3 2 42" xfId="41250"/>
    <cellStyle name="Uwaga 3 2 43" xfId="41251"/>
    <cellStyle name="Uwaga 3 2 44" xfId="41252"/>
    <cellStyle name="Uwaga 3 2 45" xfId="41253"/>
    <cellStyle name="Uwaga 3 2 46" xfId="41254"/>
    <cellStyle name="Uwaga 3 2 47" xfId="41255"/>
    <cellStyle name="Uwaga 3 2 48" xfId="41256"/>
    <cellStyle name="Uwaga 3 2 49" xfId="41257"/>
    <cellStyle name="Uwaga 3 2 5" xfId="41258"/>
    <cellStyle name="Uwaga 3 2 5 10" xfId="41259"/>
    <cellStyle name="Uwaga 3 2 5 11" xfId="41260"/>
    <cellStyle name="Uwaga 3 2 5 12" xfId="41261"/>
    <cellStyle name="Uwaga 3 2 5 13" xfId="41262"/>
    <cellStyle name="Uwaga 3 2 5 14" xfId="41263"/>
    <cellStyle name="Uwaga 3 2 5 15" xfId="41264"/>
    <cellStyle name="Uwaga 3 2 5 16" xfId="41265"/>
    <cellStyle name="Uwaga 3 2 5 17" xfId="41266"/>
    <cellStyle name="Uwaga 3 2 5 18" xfId="41267"/>
    <cellStyle name="Uwaga 3 2 5 19" xfId="41268"/>
    <cellStyle name="Uwaga 3 2 5 2" xfId="41269"/>
    <cellStyle name="Uwaga 3 2 5 3" xfId="41270"/>
    <cellStyle name="Uwaga 3 2 5 4" xfId="41271"/>
    <cellStyle name="Uwaga 3 2 5 5" xfId="41272"/>
    <cellStyle name="Uwaga 3 2 5 6" xfId="41273"/>
    <cellStyle name="Uwaga 3 2 5 7" xfId="41274"/>
    <cellStyle name="Uwaga 3 2 5 8" xfId="41275"/>
    <cellStyle name="Uwaga 3 2 5 9" xfId="41276"/>
    <cellStyle name="Uwaga 3 2 50" xfId="41277"/>
    <cellStyle name="Uwaga 3 2 51" xfId="41278"/>
    <cellStyle name="Uwaga 3 2 52" xfId="41279"/>
    <cellStyle name="Uwaga 3 2 53" xfId="41280"/>
    <cellStyle name="Uwaga 3 2 54" xfId="41281"/>
    <cellStyle name="Uwaga 3 2 55" xfId="41282"/>
    <cellStyle name="Uwaga 3 2 56" xfId="41283"/>
    <cellStyle name="Uwaga 3 2 57" xfId="41284"/>
    <cellStyle name="Uwaga 3 2 58" xfId="41285"/>
    <cellStyle name="Uwaga 3 2 59" xfId="41286"/>
    <cellStyle name="Uwaga 3 2 6" xfId="41287"/>
    <cellStyle name="Uwaga 3 2 6 2" xfId="41288"/>
    <cellStyle name="Uwaga 3 2 60" xfId="41289"/>
    <cellStyle name="Uwaga 3 2 61" xfId="41290"/>
    <cellStyle name="Uwaga 3 2 62" xfId="41291"/>
    <cellStyle name="Uwaga 3 2 63" xfId="41292"/>
    <cellStyle name="Uwaga 3 2 64" xfId="41293"/>
    <cellStyle name="Uwaga 3 2 65" xfId="41294"/>
    <cellStyle name="Uwaga 3 2 66" xfId="41295"/>
    <cellStyle name="Uwaga 3 2 67" xfId="41296"/>
    <cellStyle name="Uwaga 3 2 68" xfId="41297"/>
    <cellStyle name="Uwaga 3 2 69" xfId="41298"/>
    <cellStyle name="Uwaga 3 2 7" xfId="41299"/>
    <cellStyle name="Uwaga 3 2 7 2" xfId="41300"/>
    <cellStyle name="Uwaga 3 2 70" xfId="41301"/>
    <cellStyle name="Uwaga 3 2 71" xfId="41302"/>
    <cellStyle name="Uwaga 3 2 72" xfId="41303"/>
    <cellStyle name="Uwaga 3 2 73" xfId="41304"/>
    <cellStyle name="Uwaga 3 2 74" xfId="41305"/>
    <cellStyle name="Uwaga 3 2 75" xfId="41306"/>
    <cellStyle name="Uwaga 3 2 8" xfId="41307"/>
    <cellStyle name="Uwaga 3 2 8 2" xfId="41308"/>
    <cellStyle name="Uwaga 3 2 9" xfId="41309"/>
    <cellStyle name="Uwaga 3 2 9 2" xfId="41310"/>
    <cellStyle name="Uwaga 3 20" xfId="41311"/>
    <cellStyle name="Uwaga 3 20 2" xfId="41312"/>
    <cellStyle name="Uwaga 3 21" xfId="41313"/>
    <cellStyle name="Uwaga 3 21 2" xfId="41314"/>
    <cellStyle name="Uwaga 3 22" xfId="41315"/>
    <cellStyle name="Uwaga 3 22 2" xfId="41316"/>
    <cellStyle name="Uwaga 3 23" xfId="41317"/>
    <cellStyle name="Uwaga 3 23 2" xfId="41318"/>
    <cellStyle name="Uwaga 3 24" xfId="41319"/>
    <cellStyle name="Uwaga 3 24 2" xfId="41320"/>
    <cellStyle name="Uwaga 3 25" xfId="41321"/>
    <cellStyle name="Uwaga 3 25 2" xfId="41322"/>
    <cellStyle name="Uwaga 3 26" xfId="41323"/>
    <cellStyle name="Uwaga 3 26 2" xfId="41324"/>
    <cellStyle name="Uwaga 3 27" xfId="41325"/>
    <cellStyle name="Uwaga 3 27 2" xfId="41326"/>
    <cellStyle name="Uwaga 3 28" xfId="41327"/>
    <cellStyle name="Uwaga 3 28 2" xfId="41328"/>
    <cellStyle name="Uwaga 3 29" xfId="41329"/>
    <cellStyle name="Uwaga 3 29 2" xfId="41330"/>
    <cellStyle name="Uwaga 3 3" xfId="41331"/>
    <cellStyle name="Uwaga 3 3 10" xfId="41332"/>
    <cellStyle name="Uwaga 3 3 10 2" xfId="41333"/>
    <cellStyle name="Uwaga 3 3 11" xfId="41334"/>
    <cellStyle name="Uwaga 3 3 11 2" xfId="41335"/>
    <cellStyle name="Uwaga 3 3 12" xfId="41336"/>
    <cellStyle name="Uwaga 3 3 12 2" xfId="41337"/>
    <cellStyle name="Uwaga 3 3 13" xfId="41338"/>
    <cellStyle name="Uwaga 3 3 13 2" xfId="41339"/>
    <cellStyle name="Uwaga 3 3 14" xfId="41340"/>
    <cellStyle name="Uwaga 3 3 14 2" xfId="41341"/>
    <cellStyle name="Uwaga 3 3 15" xfId="41342"/>
    <cellStyle name="Uwaga 3 3 15 2" xfId="41343"/>
    <cellStyle name="Uwaga 3 3 16" xfId="41344"/>
    <cellStyle name="Uwaga 3 3 16 2" xfId="41345"/>
    <cellStyle name="Uwaga 3 3 17" xfId="41346"/>
    <cellStyle name="Uwaga 3 3 17 2" xfId="41347"/>
    <cellStyle name="Uwaga 3 3 18" xfId="41348"/>
    <cellStyle name="Uwaga 3 3 18 2" xfId="41349"/>
    <cellStyle name="Uwaga 3 3 19" xfId="41350"/>
    <cellStyle name="Uwaga 3 3 19 2" xfId="41351"/>
    <cellStyle name="Uwaga 3 3 2" xfId="41352"/>
    <cellStyle name="Uwaga 3 3 2 10" xfId="41353"/>
    <cellStyle name="Uwaga 3 3 2 11" xfId="41354"/>
    <cellStyle name="Uwaga 3 3 2 12" xfId="41355"/>
    <cellStyle name="Uwaga 3 3 2 13" xfId="41356"/>
    <cellStyle name="Uwaga 3 3 2 14" xfId="41357"/>
    <cellStyle name="Uwaga 3 3 2 15" xfId="41358"/>
    <cellStyle name="Uwaga 3 3 2 16" xfId="41359"/>
    <cellStyle name="Uwaga 3 3 2 17" xfId="41360"/>
    <cellStyle name="Uwaga 3 3 2 18" xfId="41361"/>
    <cellStyle name="Uwaga 3 3 2 19" xfId="41362"/>
    <cellStyle name="Uwaga 3 3 2 2" xfId="41363"/>
    <cellStyle name="Uwaga 3 3 2 3" xfId="41364"/>
    <cellStyle name="Uwaga 3 3 2 4" xfId="41365"/>
    <cellStyle name="Uwaga 3 3 2 5" xfId="41366"/>
    <cellStyle name="Uwaga 3 3 2 6" xfId="41367"/>
    <cellStyle name="Uwaga 3 3 2 7" xfId="41368"/>
    <cellStyle name="Uwaga 3 3 2 8" xfId="41369"/>
    <cellStyle name="Uwaga 3 3 2 9" xfId="41370"/>
    <cellStyle name="Uwaga 3 3 20" xfId="41371"/>
    <cellStyle name="Uwaga 3 3 20 2" xfId="41372"/>
    <cellStyle name="Uwaga 3 3 21" xfId="41373"/>
    <cellStyle name="Uwaga 3 3 21 2" xfId="41374"/>
    <cellStyle name="Uwaga 3 3 22" xfId="41375"/>
    <cellStyle name="Uwaga 3 3 22 2" xfId="41376"/>
    <cellStyle name="Uwaga 3 3 23" xfId="41377"/>
    <cellStyle name="Uwaga 3 3 23 2" xfId="41378"/>
    <cellStyle name="Uwaga 3 3 24" xfId="41379"/>
    <cellStyle name="Uwaga 3 3 24 2" xfId="41380"/>
    <cellStyle name="Uwaga 3 3 25" xfId="41381"/>
    <cellStyle name="Uwaga 3 3 25 2" xfId="41382"/>
    <cellStyle name="Uwaga 3 3 26" xfId="41383"/>
    <cellStyle name="Uwaga 3 3 26 2" xfId="41384"/>
    <cellStyle name="Uwaga 3 3 27" xfId="41385"/>
    <cellStyle name="Uwaga 3 3 27 2" xfId="41386"/>
    <cellStyle name="Uwaga 3 3 28" xfId="41387"/>
    <cellStyle name="Uwaga 3 3 28 2" xfId="41388"/>
    <cellStyle name="Uwaga 3 3 29" xfId="41389"/>
    <cellStyle name="Uwaga 3 3 29 2" xfId="41390"/>
    <cellStyle name="Uwaga 3 3 3" xfId="41391"/>
    <cellStyle name="Uwaga 3 3 3 10" xfId="41392"/>
    <cellStyle name="Uwaga 3 3 3 11" xfId="41393"/>
    <cellStyle name="Uwaga 3 3 3 12" xfId="41394"/>
    <cellStyle name="Uwaga 3 3 3 13" xfId="41395"/>
    <cellStyle name="Uwaga 3 3 3 14" xfId="41396"/>
    <cellStyle name="Uwaga 3 3 3 15" xfId="41397"/>
    <cellStyle name="Uwaga 3 3 3 16" xfId="41398"/>
    <cellStyle name="Uwaga 3 3 3 17" xfId="41399"/>
    <cellStyle name="Uwaga 3 3 3 18" xfId="41400"/>
    <cellStyle name="Uwaga 3 3 3 19" xfId="41401"/>
    <cellStyle name="Uwaga 3 3 3 2" xfId="41402"/>
    <cellStyle name="Uwaga 3 3 3 3" xfId="41403"/>
    <cellStyle name="Uwaga 3 3 3 4" xfId="41404"/>
    <cellStyle name="Uwaga 3 3 3 5" xfId="41405"/>
    <cellStyle name="Uwaga 3 3 3 6" xfId="41406"/>
    <cellStyle name="Uwaga 3 3 3 7" xfId="41407"/>
    <cellStyle name="Uwaga 3 3 3 8" xfId="41408"/>
    <cellStyle name="Uwaga 3 3 3 9" xfId="41409"/>
    <cellStyle name="Uwaga 3 3 30" xfId="41410"/>
    <cellStyle name="Uwaga 3 3 30 2" xfId="41411"/>
    <cellStyle name="Uwaga 3 3 31" xfId="41412"/>
    <cellStyle name="Uwaga 3 3 31 2" xfId="41413"/>
    <cellStyle name="Uwaga 3 3 32" xfId="41414"/>
    <cellStyle name="Uwaga 3 3 32 2" xfId="41415"/>
    <cellStyle name="Uwaga 3 3 33" xfId="41416"/>
    <cellStyle name="Uwaga 3 3 33 2" xfId="41417"/>
    <cellStyle name="Uwaga 3 3 34" xfId="41418"/>
    <cellStyle name="Uwaga 3 3 34 2" xfId="41419"/>
    <cellStyle name="Uwaga 3 3 35" xfId="41420"/>
    <cellStyle name="Uwaga 3 3 35 2" xfId="41421"/>
    <cellStyle name="Uwaga 3 3 36" xfId="41422"/>
    <cellStyle name="Uwaga 3 3 36 2" xfId="41423"/>
    <cellStyle name="Uwaga 3 3 37" xfId="41424"/>
    <cellStyle name="Uwaga 3 3 37 2" xfId="41425"/>
    <cellStyle name="Uwaga 3 3 38" xfId="41426"/>
    <cellStyle name="Uwaga 3 3 38 2" xfId="41427"/>
    <cellStyle name="Uwaga 3 3 39" xfId="41428"/>
    <cellStyle name="Uwaga 3 3 39 2" xfId="41429"/>
    <cellStyle name="Uwaga 3 3 4" xfId="41430"/>
    <cellStyle name="Uwaga 3 3 4 10" xfId="41431"/>
    <cellStyle name="Uwaga 3 3 4 11" xfId="41432"/>
    <cellStyle name="Uwaga 3 3 4 12" xfId="41433"/>
    <cellStyle name="Uwaga 3 3 4 13" xfId="41434"/>
    <cellStyle name="Uwaga 3 3 4 14" xfId="41435"/>
    <cellStyle name="Uwaga 3 3 4 15" xfId="41436"/>
    <cellStyle name="Uwaga 3 3 4 16" xfId="41437"/>
    <cellStyle name="Uwaga 3 3 4 17" xfId="41438"/>
    <cellStyle name="Uwaga 3 3 4 18" xfId="41439"/>
    <cellStyle name="Uwaga 3 3 4 19" xfId="41440"/>
    <cellStyle name="Uwaga 3 3 4 2" xfId="41441"/>
    <cellStyle name="Uwaga 3 3 4 3" xfId="41442"/>
    <cellStyle name="Uwaga 3 3 4 4" xfId="41443"/>
    <cellStyle name="Uwaga 3 3 4 5" xfId="41444"/>
    <cellStyle name="Uwaga 3 3 4 6" xfId="41445"/>
    <cellStyle name="Uwaga 3 3 4 7" xfId="41446"/>
    <cellStyle name="Uwaga 3 3 4 8" xfId="41447"/>
    <cellStyle name="Uwaga 3 3 4 9" xfId="41448"/>
    <cellStyle name="Uwaga 3 3 40" xfId="41449"/>
    <cellStyle name="Uwaga 3 3 40 2" xfId="41450"/>
    <cellStyle name="Uwaga 3 3 41" xfId="41451"/>
    <cellStyle name="Uwaga 3 3 41 2" xfId="41452"/>
    <cellStyle name="Uwaga 3 3 42" xfId="41453"/>
    <cellStyle name="Uwaga 3 3 42 2" xfId="41454"/>
    <cellStyle name="Uwaga 3 3 43" xfId="41455"/>
    <cellStyle name="Uwaga 3 3 43 2" xfId="41456"/>
    <cellStyle name="Uwaga 3 3 44" xfId="41457"/>
    <cellStyle name="Uwaga 3 3 45" xfId="41458"/>
    <cellStyle name="Uwaga 3 3 46" xfId="41459"/>
    <cellStyle name="Uwaga 3 3 47" xfId="41460"/>
    <cellStyle name="Uwaga 3 3 48" xfId="41461"/>
    <cellStyle name="Uwaga 3 3 49" xfId="41462"/>
    <cellStyle name="Uwaga 3 3 5" xfId="41463"/>
    <cellStyle name="Uwaga 3 3 5 10" xfId="41464"/>
    <cellStyle name="Uwaga 3 3 5 11" xfId="41465"/>
    <cellStyle name="Uwaga 3 3 5 12" xfId="41466"/>
    <cellStyle name="Uwaga 3 3 5 13" xfId="41467"/>
    <cellStyle name="Uwaga 3 3 5 14" xfId="41468"/>
    <cellStyle name="Uwaga 3 3 5 15" xfId="41469"/>
    <cellStyle name="Uwaga 3 3 5 16" xfId="41470"/>
    <cellStyle name="Uwaga 3 3 5 17" xfId="41471"/>
    <cellStyle name="Uwaga 3 3 5 18" xfId="41472"/>
    <cellStyle name="Uwaga 3 3 5 19" xfId="41473"/>
    <cellStyle name="Uwaga 3 3 5 2" xfId="41474"/>
    <cellStyle name="Uwaga 3 3 5 3" xfId="41475"/>
    <cellStyle name="Uwaga 3 3 5 4" xfId="41476"/>
    <cellStyle name="Uwaga 3 3 5 5" xfId="41477"/>
    <cellStyle name="Uwaga 3 3 5 6" xfId="41478"/>
    <cellStyle name="Uwaga 3 3 5 7" xfId="41479"/>
    <cellStyle name="Uwaga 3 3 5 8" xfId="41480"/>
    <cellStyle name="Uwaga 3 3 5 9" xfId="41481"/>
    <cellStyle name="Uwaga 3 3 50" xfId="41482"/>
    <cellStyle name="Uwaga 3 3 51" xfId="41483"/>
    <cellStyle name="Uwaga 3 3 52" xfId="41484"/>
    <cellStyle name="Uwaga 3 3 53" xfId="41485"/>
    <cellStyle name="Uwaga 3 3 54" xfId="41486"/>
    <cellStyle name="Uwaga 3 3 55" xfId="41487"/>
    <cellStyle name="Uwaga 3 3 56" xfId="41488"/>
    <cellStyle name="Uwaga 3 3 57" xfId="41489"/>
    <cellStyle name="Uwaga 3 3 58" xfId="41490"/>
    <cellStyle name="Uwaga 3 3 59" xfId="41491"/>
    <cellStyle name="Uwaga 3 3 6" xfId="41492"/>
    <cellStyle name="Uwaga 3 3 6 2" xfId="41493"/>
    <cellStyle name="Uwaga 3 3 60" xfId="41494"/>
    <cellStyle name="Uwaga 3 3 61" xfId="41495"/>
    <cellStyle name="Uwaga 3 3 62" xfId="41496"/>
    <cellStyle name="Uwaga 3 3 63" xfId="41497"/>
    <cellStyle name="Uwaga 3 3 64" xfId="41498"/>
    <cellStyle name="Uwaga 3 3 65" xfId="41499"/>
    <cellStyle name="Uwaga 3 3 66" xfId="41500"/>
    <cellStyle name="Uwaga 3 3 67" xfId="41501"/>
    <cellStyle name="Uwaga 3 3 68" xfId="41502"/>
    <cellStyle name="Uwaga 3 3 69" xfId="41503"/>
    <cellStyle name="Uwaga 3 3 7" xfId="41504"/>
    <cellStyle name="Uwaga 3 3 7 2" xfId="41505"/>
    <cellStyle name="Uwaga 3 3 70" xfId="41506"/>
    <cellStyle name="Uwaga 3 3 71" xfId="41507"/>
    <cellStyle name="Uwaga 3 3 72" xfId="41508"/>
    <cellStyle name="Uwaga 3 3 73" xfId="41509"/>
    <cellStyle name="Uwaga 3 3 74" xfId="41510"/>
    <cellStyle name="Uwaga 3 3 75" xfId="41511"/>
    <cellStyle name="Uwaga 3 3 8" xfId="41512"/>
    <cellStyle name="Uwaga 3 3 8 2" xfId="41513"/>
    <cellStyle name="Uwaga 3 3 9" xfId="41514"/>
    <cellStyle name="Uwaga 3 3 9 2" xfId="41515"/>
    <cellStyle name="Uwaga 3 30" xfId="41516"/>
    <cellStyle name="Uwaga 3 30 2" xfId="41517"/>
    <cellStyle name="Uwaga 3 31" xfId="41518"/>
    <cellStyle name="Uwaga 3 31 2" xfId="41519"/>
    <cellStyle name="Uwaga 3 32" xfId="41520"/>
    <cellStyle name="Uwaga 3 32 2" xfId="41521"/>
    <cellStyle name="Uwaga 3 33" xfId="41522"/>
    <cellStyle name="Uwaga 3 33 2" xfId="41523"/>
    <cellStyle name="Uwaga 3 34" xfId="41524"/>
    <cellStyle name="Uwaga 3 34 2" xfId="41525"/>
    <cellStyle name="Uwaga 3 35" xfId="41526"/>
    <cellStyle name="Uwaga 3 35 2" xfId="41527"/>
    <cellStyle name="Uwaga 3 36" xfId="41528"/>
    <cellStyle name="Uwaga 3 36 2" xfId="41529"/>
    <cellStyle name="Uwaga 3 37" xfId="41530"/>
    <cellStyle name="Uwaga 3 37 2" xfId="41531"/>
    <cellStyle name="Uwaga 3 38" xfId="41532"/>
    <cellStyle name="Uwaga 3 38 2" xfId="41533"/>
    <cellStyle name="Uwaga 3 39" xfId="41534"/>
    <cellStyle name="Uwaga 3 39 2" xfId="41535"/>
    <cellStyle name="Uwaga 3 4" xfId="41536"/>
    <cellStyle name="Uwaga 3 4 10" xfId="41537"/>
    <cellStyle name="Uwaga 3 4 10 2" xfId="41538"/>
    <cellStyle name="Uwaga 3 4 11" xfId="41539"/>
    <cellStyle name="Uwaga 3 4 11 2" xfId="41540"/>
    <cellStyle name="Uwaga 3 4 12" xfId="41541"/>
    <cellStyle name="Uwaga 3 4 12 2" xfId="41542"/>
    <cellStyle name="Uwaga 3 4 13" xfId="41543"/>
    <cellStyle name="Uwaga 3 4 13 2" xfId="41544"/>
    <cellStyle name="Uwaga 3 4 14" xfId="41545"/>
    <cellStyle name="Uwaga 3 4 14 2" xfId="41546"/>
    <cellStyle name="Uwaga 3 4 15" xfId="41547"/>
    <cellStyle name="Uwaga 3 4 15 2" xfId="41548"/>
    <cellStyle name="Uwaga 3 4 16" xfId="41549"/>
    <cellStyle name="Uwaga 3 4 16 2" xfId="41550"/>
    <cellStyle name="Uwaga 3 4 17" xfId="41551"/>
    <cellStyle name="Uwaga 3 4 17 2" xfId="41552"/>
    <cellStyle name="Uwaga 3 4 18" xfId="41553"/>
    <cellStyle name="Uwaga 3 4 18 2" xfId="41554"/>
    <cellStyle name="Uwaga 3 4 19" xfId="41555"/>
    <cellStyle name="Uwaga 3 4 19 2" xfId="41556"/>
    <cellStyle name="Uwaga 3 4 2" xfId="41557"/>
    <cellStyle name="Uwaga 3 4 2 10" xfId="41558"/>
    <cellStyle name="Uwaga 3 4 2 11" xfId="41559"/>
    <cellStyle name="Uwaga 3 4 2 12" xfId="41560"/>
    <cellStyle name="Uwaga 3 4 2 13" xfId="41561"/>
    <cellStyle name="Uwaga 3 4 2 14" xfId="41562"/>
    <cellStyle name="Uwaga 3 4 2 15" xfId="41563"/>
    <cellStyle name="Uwaga 3 4 2 16" xfId="41564"/>
    <cellStyle name="Uwaga 3 4 2 17" xfId="41565"/>
    <cellStyle name="Uwaga 3 4 2 18" xfId="41566"/>
    <cellStyle name="Uwaga 3 4 2 19" xfId="41567"/>
    <cellStyle name="Uwaga 3 4 2 2" xfId="41568"/>
    <cellStyle name="Uwaga 3 4 2 3" xfId="41569"/>
    <cellStyle name="Uwaga 3 4 2 4" xfId="41570"/>
    <cellStyle name="Uwaga 3 4 2 5" xfId="41571"/>
    <cellStyle name="Uwaga 3 4 2 6" xfId="41572"/>
    <cellStyle name="Uwaga 3 4 2 7" xfId="41573"/>
    <cellStyle name="Uwaga 3 4 2 8" xfId="41574"/>
    <cellStyle name="Uwaga 3 4 2 9" xfId="41575"/>
    <cellStyle name="Uwaga 3 4 20" xfId="41576"/>
    <cellStyle name="Uwaga 3 4 20 2" xfId="41577"/>
    <cellStyle name="Uwaga 3 4 21" xfId="41578"/>
    <cellStyle name="Uwaga 3 4 21 2" xfId="41579"/>
    <cellStyle name="Uwaga 3 4 22" xfId="41580"/>
    <cellStyle name="Uwaga 3 4 22 2" xfId="41581"/>
    <cellStyle name="Uwaga 3 4 23" xfId="41582"/>
    <cellStyle name="Uwaga 3 4 23 2" xfId="41583"/>
    <cellStyle name="Uwaga 3 4 24" xfId="41584"/>
    <cellStyle name="Uwaga 3 4 24 2" xfId="41585"/>
    <cellStyle name="Uwaga 3 4 25" xfId="41586"/>
    <cellStyle name="Uwaga 3 4 25 2" xfId="41587"/>
    <cellStyle name="Uwaga 3 4 26" xfId="41588"/>
    <cellStyle name="Uwaga 3 4 26 2" xfId="41589"/>
    <cellStyle name="Uwaga 3 4 27" xfId="41590"/>
    <cellStyle name="Uwaga 3 4 27 2" xfId="41591"/>
    <cellStyle name="Uwaga 3 4 28" xfId="41592"/>
    <cellStyle name="Uwaga 3 4 28 2" xfId="41593"/>
    <cellStyle name="Uwaga 3 4 29" xfId="41594"/>
    <cellStyle name="Uwaga 3 4 29 2" xfId="41595"/>
    <cellStyle name="Uwaga 3 4 3" xfId="41596"/>
    <cellStyle name="Uwaga 3 4 3 10" xfId="41597"/>
    <cellStyle name="Uwaga 3 4 3 11" xfId="41598"/>
    <cellStyle name="Uwaga 3 4 3 12" xfId="41599"/>
    <cellStyle name="Uwaga 3 4 3 13" xfId="41600"/>
    <cellStyle name="Uwaga 3 4 3 14" xfId="41601"/>
    <cellStyle name="Uwaga 3 4 3 15" xfId="41602"/>
    <cellStyle name="Uwaga 3 4 3 16" xfId="41603"/>
    <cellStyle name="Uwaga 3 4 3 17" xfId="41604"/>
    <cellStyle name="Uwaga 3 4 3 18" xfId="41605"/>
    <cellStyle name="Uwaga 3 4 3 19" xfId="41606"/>
    <cellStyle name="Uwaga 3 4 3 2" xfId="41607"/>
    <cellStyle name="Uwaga 3 4 3 3" xfId="41608"/>
    <cellStyle name="Uwaga 3 4 3 4" xfId="41609"/>
    <cellStyle name="Uwaga 3 4 3 5" xfId="41610"/>
    <cellStyle name="Uwaga 3 4 3 6" xfId="41611"/>
    <cellStyle name="Uwaga 3 4 3 7" xfId="41612"/>
    <cellStyle name="Uwaga 3 4 3 8" xfId="41613"/>
    <cellStyle name="Uwaga 3 4 3 9" xfId="41614"/>
    <cellStyle name="Uwaga 3 4 30" xfId="41615"/>
    <cellStyle name="Uwaga 3 4 30 2" xfId="41616"/>
    <cellStyle name="Uwaga 3 4 31" xfId="41617"/>
    <cellStyle name="Uwaga 3 4 31 2" xfId="41618"/>
    <cellStyle name="Uwaga 3 4 32" xfId="41619"/>
    <cellStyle name="Uwaga 3 4 32 2" xfId="41620"/>
    <cellStyle name="Uwaga 3 4 33" xfId="41621"/>
    <cellStyle name="Uwaga 3 4 33 2" xfId="41622"/>
    <cellStyle name="Uwaga 3 4 34" xfId="41623"/>
    <cellStyle name="Uwaga 3 4 34 2" xfId="41624"/>
    <cellStyle name="Uwaga 3 4 35" xfId="41625"/>
    <cellStyle name="Uwaga 3 4 35 2" xfId="41626"/>
    <cellStyle name="Uwaga 3 4 36" xfId="41627"/>
    <cellStyle name="Uwaga 3 4 36 2" xfId="41628"/>
    <cellStyle name="Uwaga 3 4 37" xfId="41629"/>
    <cellStyle name="Uwaga 3 4 37 2" xfId="41630"/>
    <cellStyle name="Uwaga 3 4 38" xfId="41631"/>
    <cellStyle name="Uwaga 3 4 38 2" xfId="41632"/>
    <cellStyle name="Uwaga 3 4 39" xfId="41633"/>
    <cellStyle name="Uwaga 3 4 39 2" xfId="41634"/>
    <cellStyle name="Uwaga 3 4 4" xfId="41635"/>
    <cellStyle name="Uwaga 3 4 4 10" xfId="41636"/>
    <cellStyle name="Uwaga 3 4 4 11" xfId="41637"/>
    <cellStyle name="Uwaga 3 4 4 12" xfId="41638"/>
    <cellStyle name="Uwaga 3 4 4 13" xfId="41639"/>
    <cellStyle name="Uwaga 3 4 4 14" xfId="41640"/>
    <cellStyle name="Uwaga 3 4 4 15" xfId="41641"/>
    <cellStyle name="Uwaga 3 4 4 16" xfId="41642"/>
    <cellStyle name="Uwaga 3 4 4 17" xfId="41643"/>
    <cellStyle name="Uwaga 3 4 4 18" xfId="41644"/>
    <cellStyle name="Uwaga 3 4 4 19" xfId="41645"/>
    <cellStyle name="Uwaga 3 4 4 2" xfId="41646"/>
    <cellStyle name="Uwaga 3 4 4 3" xfId="41647"/>
    <cellStyle name="Uwaga 3 4 4 4" xfId="41648"/>
    <cellStyle name="Uwaga 3 4 4 5" xfId="41649"/>
    <cellStyle name="Uwaga 3 4 4 6" xfId="41650"/>
    <cellStyle name="Uwaga 3 4 4 7" xfId="41651"/>
    <cellStyle name="Uwaga 3 4 4 8" xfId="41652"/>
    <cellStyle name="Uwaga 3 4 4 9" xfId="41653"/>
    <cellStyle name="Uwaga 3 4 40" xfId="41654"/>
    <cellStyle name="Uwaga 3 4 40 2" xfId="41655"/>
    <cellStyle name="Uwaga 3 4 41" xfId="41656"/>
    <cellStyle name="Uwaga 3 4 41 2" xfId="41657"/>
    <cellStyle name="Uwaga 3 4 42" xfId="41658"/>
    <cellStyle name="Uwaga 3 4 42 2" xfId="41659"/>
    <cellStyle name="Uwaga 3 4 43" xfId="41660"/>
    <cellStyle name="Uwaga 3 4 43 2" xfId="41661"/>
    <cellStyle name="Uwaga 3 4 44" xfId="41662"/>
    <cellStyle name="Uwaga 3 4 45" xfId="41663"/>
    <cellStyle name="Uwaga 3 4 46" xfId="41664"/>
    <cellStyle name="Uwaga 3 4 47" xfId="41665"/>
    <cellStyle name="Uwaga 3 4 48" xfId="41666"/>
    <cellStyle name="Uwaga 3 4 49" xfId="41667"/>
    <cellStyle name="Uwaga 3 4 5" xfId="41668"/>
    <cellStyle name="Uwaga 3 4 5 10" xfId="41669"/>
    <cellStyle name="Uwaga 3 4 5 11" xfId="41670"/>
    <cellStyle name="Uwaga 3 4 5 12" xfId="41671"/>
    <cellStyle name="Uwaga 3 4 5 13" xfId="41672"/>
    <cellStyle name="Uwaga 3 4 5 14" xfId="41673"/>
    <cellStyle name="Uwaga 3 4 5 15" xfId="41674"/>
    <cellStyle name="Uwaga 3 4 5 16" xfId="41675"/>
    <cellStyle name="Uwaga 3 4 5 17" xfId="41676"/>
    <cellStyle name="Uwaga 3 4 5 18" xfId="41677"/>
    <cellStyle name="Uwaga 3 4 5 19" xfId="41678"/>
    <cellStyle name="Uwaga 3 4 5 2" xfId="41679"/>
    <cellStyle name="Uwaga 3 4 5 3" xfId="41680"/>
    <cellStyle name="Uwaga 3 4 5 4" xfId="41681"/>
    <cellStyle name="Uwaga 3 4 5 5" xfId="41682"/>
    <cellStyle name="Uwaga 3 4 5 6" xfId="41683"/>
    <cellStyle name="Uwaga 3 4 5 7" xfId="41684"/>
    <cellStyle name="Uwaga 3 4 5 8" xfId="41685"/>
    <cellStyle name="Uwaga 3 4 5 9" xfId="41686"/>
    <cellStyle name="Uwaga 3 4 50" xfId="41687"/>
    <cellStyle name="Uwaga 3 4 51" xfId="41688"/>
    <cellStyle name="Uwaga 3 4 52" xfId="41689"/>
    <cellStyle name="Uwaga 3 4 53" xfId="41690"/>
    <cellStyle name="Uwaga 3 4 54" xfId="41691"/>
    <cellStyle name="Uwaga 3 4 55" xfId="41692"/>
    <cellStyle name="Uwaga 3 4 56" xfId="41693"/>
    <cellStyle name="Uwaga 3 4 57" xfId="41694"/>
    <cellStyle name="Uwaga 3 4 58" xfId="41695"/>
    <cellStyle name="Uwaga 3 4 59" xfId="41696"/>
    <cellStyle name="Uwaga 3 4 6" xfId="41697"/>
    <cellStyle name="Uwaga 3 4 6 2" xfId="41698"/>
    <cellStyle name="Uwaga 3 4 60" xfId="41699"/>
    <cellStyle name="Uwaga 3 4 61" xfId="41700"/>
    <cellStyle name="Uwaga 3 4 62" xfId="41701"/>
    <cellStyle name="Uwaga 3 4 63" xfId="41702"/>
    <cellStyle name="Uwaga 3 4 64" xfId="41703"/>
    <cellStyle name="Uwaga 3 4 65" xfId="41704"/>
    <cellStyle name="Uwaga 3 4 66" xfId="41705"/>
    <cellStyle name="Uwaga 3 4 67" xfId="41706"/>
    <cellStyle name="Uwaga 3 4 68" xfId="41707"/>
    <cellStyle name="Uwaga 3 4 69" xfId="41708"/>
    <cellStyle name="Uwaga 3 4 7" xfId="41709"/>
    <cellStyle name="Uwaga 3 4 7 2" xfId="41710"/>
    <cellStyle name="Uwaga 3 4 70" xfId="41711"/>
    <cellStyle name="Uwaga 3 4 71" xfId="41712"/>
    <cellStyle name="Uwaga 3 4 72" xfId="41713"/>
    <cellStyle name="Uwaga 3 4 73" xfId="41714"/>
    <cellStyle name="Uwaga 3 4 74" xfId="41715"/>
    <cellStyle name="Uwaga 3 4 75" xfId="41716"/>
    <cellStyle name="Uwaga 3 4 8" xfId="41717"/>
    <cellStyle name="Uwaga 3 4 8 2" xfId="41718"/>
    <cellStyle name="Uwaga 3 4 9" xfId="41719"/>
    <cellStyle name="Uwaga 3 4 9 2" xfId="41720"/>
    <cellStyle name="Uwaga 3 40" xfId="41721"/>
    <cellStyle name="Uwaga 3 40 2" xfId="41722"/>
    <cellStyle name="Uwaga 3 41" xfId="41723"/>
    <cellStyle name="Uwaga 3 41 2" xfId="41724"/>
    <cellStyle name="Uwaga 3 42" xfId="41725"/>
    <cellStyle name="Uwaga 3 42 2" xfId="41726"/>
    <cellStyle name="Uwaga 3 43" xfId="41727"/>
    <cellStyle name="Uwaga 3 43 2" xfId="41728"/>
    <cellStyle name="Uwaga 3 44" xfId="41729"/>
    <cellStyle name="Uwaga 3 44 2" xfId="41730"/>
    <cellStyle name="Uwaga 3 45" xfId="41731"/>
    <cellStyle name="Uwaga 3 45 2" xfId="41732"/>
    <cellStyle name="Uwaga 3 46" xfId="41733"/>
    <cellStyle name="Uwaga 3 46 2" xfId="41734"/>
    <cellStyle name="Uwaga 3 47" xfId="41735"/>
    <cellStyle name="Uwaga 3 47 2" xfId="41736"/>
    <cellStyle name="Uwaga 3 48" xfId="41737"/>
    <cellStyle name="Uwaga 3 48 2" xfId="41738"/>
    <cellStyle name="Uwaga 3 49" xfId="41739"/>
    <cellStyle name="Uwaga 3 49 2" xfId="41740"/>
    <cellStyle name="Uwaga 3 5" xfId="41741"/>
    <cellStyle name="Uwaga 3 5 10" xfId="41742"/>
    <cellStyle name="Uwaga 3 5 10 2" xfId="41743"/>
    <cellStyle name="Uwaga 3 5 11" xfId="41744"/>
    <cellStyle name="Uwaga 3 5 11 2" xfId="41745"/>
    <cellStyle name="Uwaga 3 5 12" xfId="41746"/>
    <cellStyle name="Uwaga 3 5 12 2" xfId="41747"/>
    <cellStyle name="Uwaga 3 5 13" xfId="41748"/>
    <cellStyle name="Uwaga 3 5 13 2" xfId="41749"/>
    <cellStyle name="Uwaga 3 5 14" xfId="41750"/>
    <cellStyle name="Uwaga 3 5 14 2" xfId="41751"/>
    <cellStyle name="Uwaga 3 5 15" xfId="41752"/>
    <cellStyle name="Uwaga 3 5 15 2" xfId="41753"/>
    <cellStyle name="Uwaga 3 5 16" xfId="41754"/>
    <cellStyle name="Uwaga 3 5 16 2" xfId="41755"/>
    <cellStyle name="Uwaga 3 5 17" xfId="41756"/>
    <cellStyle name="Uwaga 3 5 17 2" xfId="41757"/>
    <cellStyle name="Uwaga 3 5 18" xfId="41758"/>
    <cellStyle name="Uwaga 3 5 18 2" xfId="41759"/>
    <cellStyle name="Uwaga 3 5 19" xfId="41760"/>
    <cellStyle name="Uwaga 3 5 19 2" xfId="41761"/>
    <cellStyle name="Uwaga 3 5 2" xfId="41762"/>
    <cellStyle name="Uwaga 3 5 2 10" xfId="41763"/>
    <cellStyle name="Uwaga 3 5 2 11" xfId="41764"/>
    <cellStyle name="Uwaga 3 5 2 12" xfId="41765"/>
    <cellStyle name="Uwaga 3 5 2 13" xfId="41766"/>
    <cellStyle name="Uwaga 3 5 2 14" xfId="41767"/>
    <cellStyle name="Uwaga 3 5 2 15" xfId="41768"/>
    <cellStyle name="Uwaga 3 5 2 16" xfId="41769"/>
    <cellStyle name="Uwaga 3 5 2 17" xfId="41770"/>
    <cellStyle name="Uwaga 3 5 2 18" xfId="41771"/>
    <cellStyle name="Uwaga 3 5 2 19" xfId="41772"/>
    <cellStyle name="Uwaga 3 5 2 2" xfId="41773"/>
    <cellStyle name="Uwaga 3 5 2 3" xfId="41774"/>
    <cellStyle name="Uwaga 3 5 2 4" xfId="41775"/>
    <cellStyle name="Uwaga 3 5 2 5" xfId="41776"/>
    <cellStyle name="Uwaga 3 5 2 6" xfId="41777"/>
    <cellStyle name="Uwaga 3 5 2 7" xfId="41778"/>
    <cellStyle name="Uwaga 3 5 2 8" xfId="41779"/>
    <cellStyle name="Uwaga 3 5 2 9" xfId="41780"/>
    <cellStyle name="Uwaga 3 5 20" xfId="41781"/>
    <cellStyle name="Uwaga 3 5 20 2" xfId="41782"/>
    <cellStyle name="Uwaga 3 5 21" xfId="41783"/>
    <cellStyle name="Uwaga 3 5 21 2" xfId="41784"/>
    <cellStyle name="Uwaga 3 5 22" xfId="41785"/>
    <cellStyle name="Uwaga 3 5 22 2" xfId="41786"/>
    <cellStyle name="Uwaga 3 5 23" xfId="41787"/>
    <cellStyle name="Uwaga 3 5 23 2" xfId="41788"/>
    <cellStyle name="Uwaga 3 5 24" xfId="41789"/>
    <cellStyle name="Uwaga 3 5 24 2" xfId="41790"/>
    <cellStyle name="Uwaga 3 5 25" xfId="41791"/>
    <cellStyle name="Uwaga 3 5 25 2" xfId="41792"/>
    <cellStyle name="Uwaga 3 5 26" xfId="41793"/>
    <cellStyle name="Uwaga 3 5 26 2" xfId="41794"/>
    <cellStyle name="Uwaga 3 5 27" xfId="41795"/>
    <cellStyle name="Uwaga 3 5 27 2" xfId="41796"/>
    <cellStyle name="Uwaga 3 5 28" xfId="41797"/>
    <cellStyle name="Uwaga 3 5 28 2" xfId="41798"/>
    <cellStyle name="Uwaga 3 5 29" xfId="41799"/>
    <cellStyle name="Uwaga 3 5 29 2" xfId="41800"/>
    <cellStyle name="Uwaga 3 5 3" xfId="41801"/>
    <cellStyle name="Uwaga 3 5 3 10" xfId="41802"/>
    <cellStyle name="Uwaga 3 5 3 11" xfId="41803"/>
    <cellStyle name="Uwaga 3 5 3 12" xfId="41804"/>
    <cellStyle name="Uwaga 3 5 3 13" xfId="41805"/>
    <cellStyle name="Uwaga 3 5 3 14" xfId="41806"/>
    <cellStyle name="Uwaga 3 5 3 15" xfId="41807"/>
    <cellStyle name="Uwaga 3 5 3 16" xfId="41808"/>
    <cellStyle name="Uwaga 3 5 3 17" xfId="41809"/>
    <cellStyle name="Uwaga 3 5 3 18" xfId="41810"/>
    <cellStyle name="Uwaga 3 5 3 19" xfId="41811"/>
    <cellStyle name="Uwaga 3 5 3 2" xfId="41812"/>
    <cellStyle name="Uwaga 3 5 3 3" xfId="41813"/>
    <cellStyle name="Uwaga 3 5 3 4" xfId="41814"/>
    <cellStyle name="Uwaga 3 5 3 5" xfId="41815"/>
    <cellStyle name="Uwaga 3 5 3 6" xfId="41816"/>
    <cellStyle name="Uwaga 3 5 3 7" xfId="41817"/>
    <cellStyle name="Uwaga 3 5 3 8" xfId="41818"/>
    <cellStyle name="Uwaga 3 5 3 9" xfId="41819"/>
    <cellStyle name="Uwaga 3 5 30" xfId="41820"/>
    <cellStyle name="Uwaga 3 5 30 2" xfId="41821"/>
    <cellStyle name="Uwaga 3 5 31" xfId="41822"/>
    <cellStyle name="Uwaga 3 5 31 2" xfId="41823"/>
    <cellStyle name="Uwaga 3 5 32" xfId="41824"/>
    <cellStyle name="Uwaga 3 5 32 2" xfId="41825"/>
    <cellStyle name="Uwaga 3 5 33" xfId="41826"/>
    <cellStyle name="Uwaga 3 5 33 2" xfId="41827"/>
    <cellStyle name="Uwaga 3 5 34" xfId="41828"/>
    <cellStyle name="Uwaga 3 5 34 2" xfId="41829"/>
    <cellStyle name="Uwaga 3 5 35" xfId="41830"/>
    <cellStyle name="Uwaga 3 5 35 2" xfId="41831"/>
    <cellStyle name="Uwaga 3 5 36" xfId="41832"/>
    <cellStyle name="Uwaga 3 5 36 2" xfId="41833"/>
    <cellStyle name="Uwaga 3 5 37" xfId="41834"/>
    <cellStyle name="Uwaga 3 5 37 2" xfId="41835"/>
    <cellStyle name="Uwaga 3 5 38" xfId="41836"/>
    <cellStyle name="Uwaga 3 5 38 2" xfId="41837"/>
    <cellStyle name="Uwaga 3 5 39" xfId="41838"/>
    <cellStyle name="Uwaga 3 5 39 2" xfId="41839"/>
    <cellStyle name="Uwaga 3 5 4" xfId="41840"/>
    <cellStyle name="Uwaga 3 5 4 10" xfId="41841"/>
    <cellStyle name="Uwaga 3 5 4 11" xfId="41842"/>
    <cellStyle name="Uwaga 3 5 4 12" xfId="41843"/>
    <cellStyle name="Uwaga 3 5 4 13" xfId="41844"/>
    <cellStyle name="Uwaga 3 5 4 14" xfId="41845"/>
    <cellStyle name="Uwaga 3 5 4 15" xfId="41846"/>
    <cellStyle name="Uwaga 3 5 4 16" xfId="41847"/>
    <cellStyle name="Uwaga 3 5 4 17" xfId="41848"/>
    <cellStyle name="Uwaga 3 5 4 18" xfId="41849"/>
    <cellStyle name="Uwaga 3 5 4 19" xfId="41850"/>
    <cellStyle name="Uwaga 3 5 4 2" xfId="41851"/>
    <cellStyle name="Uwaga 3 5 4 3" xfId="41852"/>
    <cellStyle name="Uwaga 3 5 4 4" xfId="41853"/>
    <cellStyle name="Uwaga 3 5 4 5" xfId="41854"/>
    <cellStyle name="Uwaga 3 5 4 6" xfId="41855"/>
    <cellStyle name="Uwaga 3 5 4 7" xfId="41856"/>
    <cellStyle name="Uwaga 3 5 4 8" xfId="41857"/>
    <cellStyle name="Uwaga 3 5 4 9" xfId="41858"/>
    <cellStyle name="Uwaga 3 5 40" xfId="41859"/>
    <cellStyle name="Uwaga 3 5 40 2" xfId="41860"/>
    <cellStyle name="Uwaga 3 5 41" xfId="41861"/>
    <cellStyle name="Uwaga 3 5 41 2" xfId="41862"/>
    <cellStyle name="Uwaga 3 5 42" xfId="41863"/>
    <cellStyle name="Uwaga 3 5 42 2" xfId="41864"/>
    <cellStyle name="Uwaga 3 5 43" xfId="41865"/>
    <cellStyle name="Uwaga 3 5 43 2" xfId="41866"/>
    <cellStyle name="Uwaga 3 5 44" xfId="41867"/>
    <cellStyle name="Uwaga 3 5 45" xfId="41868"/>
    <cellStyle name="Uwaga 3 5 46" xfId="41869"/>
    <cellStyle name="Uwaga 3 5 47" xfId="41870"/>
    <cellStyle name="Uwaga 3 5 48" xfId="41871"/>
    <cellStyle name="Uwaga 3 5 49" xfId="41872"/>
    <cellStyle name="Uwaga 3 5 5" xfId="41873"/>
    <cellStyle name="Uwaga 3 5 5 10" xfId="41874"/>
    <cellStyle name="Uwaga 3 5 5 11" xfId="41875"/>
    <cellStyle name="Uwaga 3 5 5 12" xfId="41876"/>
    <cellStyle name="Uwaga 3 5 5 13" xfId="41877"/>
    <cellStyle name="Uwaga 3 5 5 14" xfId="41878"/>
    <cellStyle name="Uwaga 3 5 5 15" xfId="41879"/>
    <cellStyle name="Uwaga 3 5 5 16" xfId="41880"/>
    <cellStyle name="Uwaga 3 5 5 17" xfId="41881"/>
    <cellStyle name="Uwaga 3 5 5 18" xfId="41882"/>
    <cellStyle name="Uwaga 3 5 5 19" xfId="41883"/>
    <cellStyle name="Uwaga 3 5 5 2" xfId="41884"/>
    <cellStyle name="Uwaga 3 5 5 3" xfId="41885"/>
    <cellStyle name="Uwaga 3 5 5 4" xfId="41886"/>
    <cellStyle name="Uwaga 3 5 5 5" xfId="41887"/>
    <cellStyle name="Uwaga 3 5 5 6" xfId="41888"/>
    <cellStyle name="Uwaga 3 5 5 7" xfId="41889"/>
    <cellStyle name="Uwaga 3 5 5 8" xfId="41890"/>
    <cellStyle name="Uwaga 3 5 5 9" xfId="41891"/>
    <cellStyle name="Uwaga 3 5 50" xfId="41892"/>
    <cellStyle name="Uwaga 3 5 51" xfId="41893"/>
    <cellStyle name="Uwaga 3 5 52" xfId="41894"/>
    <cellStyle name="Uwaga 3 5 53" xfId="41895"/>
    <cellStyle name="Uwaga 3 5 54" xfId="41896"/>
    <cellStyle name="Uwaga 3 5 55" xfId="41897"/>
    <cellStyle name="Uwaga 3 5 56" xfId="41898"/>
    <cellStyle name="Uwaga 3 5 57" xfId="41899"/>
    <cellStyle name="Uwaga 3 5 58" xfId="41900"/>
    <cellStyle name="Uwaga 3 5 59" xfId="41901"/>
    <cellStyle name="Uwaga 3 5 6" xfId="41902"/>
    <cellStyle name="Uwaga 3 5 6 2" xfId="41903"/>
    <cellStyle name="Uwaga 3 5 60" xfId="41904"/>
    <cellStyle name="Uwaga 3 5 61" xfId="41905"/>
    <cellStyle name="Uwaga 3 5 62" xfId="41906"/>
    <cellStyle name="Uwaga 3 5 63" xfId="41907"/>
    <cellStyle name="Uwaga 3 5 64" xfId="41908"/>
    <cellStyle name="Uwaga 3 5 65" xfId="41909"/>
    <cellStyle name="Uwaga 3 5 66" xfId="41910"/>
    <cellStyle name="Uwaga 3 5 67" xfId="41911"/>
    <cellStyle name="Uwaga 3 5 68" xfId="41912"/>
    <cellStyle name="Uwaga 3 5 69" xfId="41913"/>
    <cellStyle name="Uwaga 3 5 7" xfId="41914"/>
    <cellStyle name="Uwaga 3 5 7 2" xfId="41915"/>
    <cellStyle name="Uwaga 3 5 70" xfId="41916"/>
    <cellStyle name="Uwaga 3 5 71" xfId="41917"/>
    <cellStyle name="Uwaga 3 5 72" xfId="41918"/>
    <cellStyle name="Uwaga 3 5 73" xfId="41919"/>
    <cellStyle name="Uwaga 3 5 74" xfId="41920"/>
    <cellStyle name="Uwaga 3 5 8" xfId="41921"/>
    <cellStyle name="Uwaga 3 5 8 2" xfId="41922"/>
    <cellStyle name="Uwaga 3 5 9" xfId="41923"/>
    <cellStyle name="Uwaga 3 5 9 2" xfId="41924"/>
    <cellStyle name="Uwaga 3 50" xfId="41925"/>
    <cellStyle name="Uwaga 3 50 2" xfId="41926"/>
    <cellStyle name="Uwaga 3 51" xfId="41927"/>
    <cellStyle name="Uwaga 3 51 2" xfId="41928"/>
    <cellStyle name="Uwaga 3 52" xfId="41929"/>
    <cellStyle name="Uwaga 3 53" xfId="41930"/>
    <cellStyle name="Uwaga 3 54" xfId="41931"/>
    <cellStyle name="Uwaga 3 55" xfId="41932"/>
    <cellStyle name="Uwaga 3 56" xfId="41933"/>
    <cellStyle name="Uwaga 3 57" xfId="41934"/>
    <cellStyle name="Uwaga 3 58" xfId="41935"/>
    <cellStyle name="Uwaga 3 59" xfId="41936"/>
    <cellStyle name="Uwaga 3 6" xfId="41937"/>
    <cellStyle name="Uwaga 3 6 10" xfId="41938"/>
    <cellStyle name="Uwaga 3 6 11" xfId="41939"/>
    <cellStyle name="Uwaga 3 6 12" xfId="41940"/>
    <cellStyle name="Uwaga 3 6 13" xfId="41941"/>
    <cellStyle name="Uwaga 3 6 14" xfId="41942"/>
    <cellStyle name="Uwaga 3 6 15" xfId="41943"/>
    <cellStyle name="Uwaga 3 6 16" xfId="41944"/>
    <cellStyle name="Uwaga 3 6 17" xfId="41945"/>
    <cellStyle name="Uwaga 3 6 18" xfId="41946"/>
    <cellStyle name="Uwaga 3 6 19" xfId="41947"/>
    <cellStyle name="Uwaga 3 6 2" xfId="41948"/>
    <cellStyle name="Uwaga 3 6 3" xfId="41949"/>
    <cellStyle name="Uwaga 3 6 4" xfId="41950"/>
    <cellStyle name="Uwaga 3 6 5" xfId="41951"/>
    <cellStyle name="Uwaga 3 6 6" xfId="41952"/>
    <cellStyle name="Uwaga 3 6 7" xfId="41953"/>
    <cellStyle name="Uwaga 3 6 8" xfId="41954"/>
    <cellStyle name="Uwaga 3 6 9" xfId="41955"/>
    <cellStyle name="Uwaga 3 60" xfId="41956"/>
    <cellStyle name="Uwaga 3 61" xfId="41957"/>
    <cellStyle name="Uwaga 3 62" xfId="41958"/>
    <cellStyle name="Uwaga 3 63" xfId="41959"/>
    <cellStyle name="Uwaga 3 64" xfId="41960"/>
    <cellStyle name="Uwaga 3 65" xfId="41961"/>
    <cellStyle name="Uwaga 3 66" xfId="41962"/>
    <cellStyle name="Uwaga 3 67" xfId="41963"/>
    <cellStyle name="Uwaga 3 68" xfId="41964"/>
    <cellStyle name="Uwaga 3 69" xfId="41965"/>
    <cellStyle name="Uwaga 3 7" xfId="41966"/>
    <cellStyle name="Uwaga 3 7 10" xfId="41967"/>
    <cellStyle name="Uwaga 3 7 11" xfId="41968"/>
    <cellStyle name="Uwaga 3 7 12" xfId="41969"/>
    <cellStyle name="Uwaga 3 7 13" xfId="41970"/>
    <cellStyle name="Uwaga 3 7 14" xfId="41971"/>
    <cellStyle name="Uwaga 3 7 15" xfId="41972"/>
    <cellStyle name="Uwaga 3 7 16" xfId="41973"/>
    <cellStyle name="Uwaga 3 7 17" xfId="41974"/>
    <cellStyle name="Uwaga 3 7 18" xfId="41975"/>
    <cellStyle name="Uwaga 3 7 19" xfId="41976"/>
    <cellStyle name="Uwaga 3 7 2" xfId="41977"/>
    <cellStyle name="Uwaga 3 7 3" xfId="41978"/>
    <cellStyle name="Uwaga 3 7 4" xfId="41979"/>
    <cellStyle name="Uwaga 3 7 5" xfId="41980"/>
    <cellStyle name="Uwaga 3 7 6" xfId="41981"/>
    <cellStyle name="Uwaga 3 7 7" xfId="41982"/>
    <cellStyle name="Uwaga 3 7 8" xfId="41983"/>
    <cellStyle name="Uwaga 3 7 9" xfId="41984"/>
    <cellStyle name="Uwaga 3 70" xfId="41985"/>
    <cellStyle name="Uwaga 3 71" xfId="41986"/>
    <cellStyle name="Uwaga 3 72" xfId="41987"/>
    <cellStyle name="Uwaga 3 73" xfId="41988"/>
    <cellStyle name="Uwaga 3 74" xfId="41989"/>
    <cellStyle name="Uwaga 3 75" xfId="41990"/>
    <cellStyle name="Uwaga 3 76" xfId="41991"/>
    <cellStyle name="Uwaga 3 77" xfId="41992"/>
    <cellStyle name="Uwaga 3 78" xfId="41993"/>
    <cellStyle name="Uwaga 3 79" xfId="41994"/>
    <cellStyle name="Uwaga 3 8" xfId="41995"/>
    <cellStyle name="Uwaga 3 8 10" xfId="41996"/>
    <cellStyle name="Uwaga 3 8 11" xfId="41997"/>
    <cellStyle name="Uwaga 3 8 12" xfId="41998"/>
    <cellStyle name="Uwaga 3 8 13" xfId="41999"/>
    <cellStyle name="Uwaga 3 8 14" xfId="42000"/>
    <cellStyle name="Uwaga 3 8 15" xfId="42001"/>
    <cellStyle name="Uwaga 3 8 16" xfId="42002"/>
    <cellStyle name="Uwaga 3 8 17" xfId="42003"/>
    <cellStyle name="Uwaga 3 8 18" xfId="42004"/>
    <cellStyle name="Uwaga 3 8 19" xfId="42005"/>
    <cellStyle name="Uwaga 3 8 2" xfId="42006"/>
    <cellStyle name="Uwaga 3 8 3" xfId="42007"/>
    <cellStyle name="Uwaga 3 8 4" xfId="42008"/>
    <cellStyle name="Uwaga 3 8 5" xfId="42009"/>
    <cellStyle name="Uwaga 3 8 6" xfId="42010"/>
    <cellStyle name="Uwaga 3 8 7" xfId="42011"/>
    <cellStyle name="Uwaga 3 8 8" xfId="42012"/>
    <cellStyle name="Uwaga 3 8 9" xfId="42013"/>
    <cellStyle name="Uwaga 3 9" xfId="42014"/>
    <cellStyle name="Uwaga 3 9 10" xfId="42015"/>
    <cellStyle name="Uwaga 3 9 11" xfId="42016"/>
    <cellStyle name="Uwaga 3 9 12" xfId="42017"/>
    <cellStyle name="Uwaga 3 9 13" xfId="42018"/>
    <cellStyle name="Uwaga 3 9 14" xfId="42019"/>
    <cellStyle name="Uwaga 3 9 15" xfId="42020"/>
    <cellStyle name="Uwaga 3 9 16" xfId="42021"/>
    <cellStyle name="Uwaga 3 9 17" xfId="42022"/>
    <cellStyle name="Uwaga 3 9 18" xfId="42023"/>
    <cellStyle name="Uwaga 3 9 19" xfId="42024"/>
    <cellStyle name="Uwaga 3 9 2" xfId="42025"/>
    <cellStyle name="Uwaga 3 9 3" xfId="42026"/>
    <cellStyle name="Uwaga 3 9 4" xfId="42027"/>
    <cellStyle name="Uwaga 3 9 5" xfId="42028"/>
    <cellStyle name="Uwaga 3 9 6" xfId="42029"/>
    <cellStyle name="Uwaga 3 9 7" xfId="42030"/>
    <cellStyle name="Uwaga 3 9 8" xfId="42031"/>
    <cellStyle name="Uwaga 3 9 9" xfId="42032"/>
    <cellStyle name="Uwaga 30" xfId="42033"/>
    <cellStyle name="Uwaga 31" xfId="42034"/>
    <cellStyle name="Uwaga 32" xfId="42035"/>
    <cellStyle name="Uwaga 33" xfId="42036"/>
    <cellStyle name="Uwaga 33 2" xfId="42037"/>
    <cellStyle name="Uwaga 34" xfId="42038"/>
    <cellStyle name="Uwaga 34 2" xfId="42039"/>
    <cellStyle name="Uwaga 35" xfId="42040"/>
    <cellStyle name="Uwaga 35 2" xfId="42041"/>
    <cellStyle name="Uwaga 36" xfId="42042"/>
    <cellStyle name="Uwaga 36 2" xfId="42043"/>
    <cellStyle name="Uwaga 37" xfId="42044"/>
    <cellStyle name="Uwaga 37 2" xfId="42045"/>
    <cellStyle name="Uwaga 38" xfId="42046"/>
    <cellStyle name="Uwaga 38 2" xfId="42047"/>
    <cellStyle name="Uwaga 39" xfId="42048"/>
    <cellStyle name="Uwaga 39 2" xfId="42049"/>
    <cellStyle name="Uwaga 4" xfId="42050"/>
    <cellStyle name="Uwaga 4 10" xfId="42051"/>
    <cellStyle name="Uwaga 4 11" xfId="42052"/>
    <cellStyle name="Uwaga 4 12" xfId="42053"/>
    <cellStyle name="Uwaga 4 13" xfId="42054"/>
    <cellStyle name="Uwaga 4 14" xfId="42055"/>
    <cellStyle name="Uwaga 4 15" xfId="42056"/>
    <cellStyle name="Uwaga 4 16" xfId="42057"/>
    <cellStyle name="Uwaga 4 17" xfId="42058"/>
    <cellStyle name="Uwaga 4 18" xfId="42059"/>
    <cellStyle name="Uwaga 4 19" xfId="42060"/>
    <cellStyle name="Uwaga 4 2" xfId="42061"/>
    <cellStyle name="Uwaga 4 2 2" xfId="42062"/>
    <cellStyle name="Uwaga 4 20" xfId="42063"/>
    <cellStyle name="Uwaga 4 21" xfId="42064"/>
    <cellStyle name="Uwaga 4 22" xfId="42065"/>
    <cellStyle name="Uwaga 4 23" xfId="42066"/>
    <cellStyle name="Uwaga 4 3" xfId="42067"/>
    <cellStyle name="Uwaga 4 3 2" xfId="42068"/>
    <cellStyle name="Uwaga 4 4" xfId="42069"/>
    <cellStyle name="Uwaga 4 4 2" xfId="42070"/>
    <cellStyle name="Uwaga 4 5" xfId="42071"/>
    <cellStyle name="Uwaga 4 6" xfId="42072"/>
    <cellStyle name="Uwaga 4 7" xfId="42073"/>
    <cellStyle name="Uwaga 4 8" xfId="42074"/>
    <cellStyle name="Uwaga 4 9" xfId="42075"/>
    <cellStyle name="Uwaga 40" xfId="42076"/>
    <cellStyle name="Uwaga 40 2" xfId="42077"/>
    <cellStyle name="Uwaga 41" xfId="42078"/>
    <cellStyle name="Uwaga 41 2" xfId="42079"/>
    <cellStyle name="Uwaga 42" xfId="42080"/>
    <cellStyle name="Uwaga 42 2" xfId="42081"/>
    <cellStyle name="Uwaga 43" xfId="42082"/>
    <cellStyle name="Uwaga 43 2" xfId="42083"/>
    <cellStyle name="Uwaga 44" xfId="42084"/>
    <cellStyle name="Uwaga 44 2" xfId="42085"/>
    <cellStyle name="Uwaga 45" xfId="42086"/>
    <cellStyle name="Uwaga 45 2" xfId="42087"/>
    <cellStyle name="Uwaga 46" xfId="42088"/>
    <cellStyle name="Uwaga 46 2" xfId="42089"/>
    <cellStyle name="Uwaga 47" xfId="42090"/>
    <cellStyle name="Uwaga 47 2" xfId="42091"/>
    <cellStyle name="Uwaga 48" xfId="42092"/>
    <cellStyle name="Uwaga 48 2" xfId="42093"/>
    <cellStyle name="Uwaga 49" xfId="42094"/>
    <cellStyle name="Uwaga 49 2" xfId="42095"/>
    <cellStyle name="Uwaga 5" xfId="42096"/>
    <cellStyle name="Uwaga 5 2" xfId="42097"/>
    <cellStyle name="Uwaga 5 3" xfId="42098"/>
    <cellStyle name="Uwaga 5 4" xfId="42099"/>
    <cellStyle name="Uwaga 50" xfId="42100"/>
    <cellStyle name="Uwaga 50 2" xfId="42101"/>
    <cellStyle name="Uwaga 51" xfId="42102"/>
    <cellStyle name="Uwaga 51 2" xfId="42103"/>
    <cellStyle name="Uwaga 52" xfId="42104"/>
    <cellStyle name="Uwaga 52 2" xfId="42105"/>
    <cellStyle name="Uwaga 53" xfId="42106"/>
    <cellStyle name="Uwaga 53 2" xfId="42107"/>
    <cellStyle name="Uwaga 54" xfId="42108"/>
    <cellStyle name="Uwaga 54 2" xfId="42109"/>
    <cellStyle name="Uwaga 55" xfId="42110"/>
    <cellStyle name="Uwaga 55 2" xfId="42111"/>
    <cellStyle name="Uwaga 56" xfId="42112"/>
    <cellStyle name="Uwaga 56 2" xfId="42113"/>
    <cellStyle name="Uwaga 57" xfId="42114"/>
    <cellStyle name="Uwaga 57 2" xfId="42115"/>
    <cellStyle name="Uwaga 58" xfId="42116"/>
    <cellStyle name="Uwaga 58 2" xfId="42117"/>
    <cellStyle name="Uwaga 59" xfId="42118"/>
    <cellStyle name="Uwaga 59 2" xfId="42119"/>
    <cellStyle name="Uwaga 6" xfId="42120"/>
    <cellStyle name="Uwaga 6 2" xfId="42121"/>
    <cellStyle name="Uwaga 6 3" xfId="42122"/>
    <cellStyle name="Uwaga 6 4" xfId="42123"/>
    <cellStyle name="Uwaga 60" xfId="42124"/>
    <cellStyle name="Uwaga 60 2" xfId="42125"/>
    <cellStyle name="Uwaga 61" xfId="42126"/>
    <cellStyle name="Uwaga 61 2" xfId="42127"/>
    <cellStyle name="Uwaga 62" xfId="42128"/>
    <cellStyle name="Uwaga 62 2" xfId="42129"/>
    <cellStyle name="Uwaga 63" xfId="42130"/>
    <cellStyle name="Uwaga 63 2" xfId="42131"/>
    <cellStyle name="Uwaga 64" xfId="42132"/>
    <cellStyle name="Uwaga 64 2" xfId="42133"/>
    <cellStyle name="Uwaga 65" xfId="42134"/>
    <cellStyle name="Uwaga 65 2" xfId="42135"/>
    <cellStyle name="Uwaga 66" xfId="42136"/>
    <cellStyle name="Uwaga 66 2" xfId="42137"/>
    <cellStyle name="Uwaga 67" xfId="42138"/>
    <cellStyle name="Uwaga 67 2" xfId="42139"/>
    <cellStyle name="Uwaga 68" xfId="42140"/>
    <cellStyle name="Uwaga 68 2" xfId="42141"/>
    <cellStyle name="Uwaga 69" xfId="42142"/>
    <cellStyle name="Uwaga 69 2" xfId="42143"/>
    <cellStyle name="Uwaga 7" xfId="42144"/>
    <cellStyle name="Uwaga 7 2" xfId="42145"/>
    <cellStyle name="Uwaga 7 3" xfId="42146"/>
    <cellStyle name="Uwaga 7 4" xfId="42147"/>
    <cellStyle name="Uwaga 70" xfId="42148"/>
    <cellStyle name="Uwaga 70 2" xfId="42149"/>
    <cellStyle name="Uwaga 71" xfId="42150"/>
    <cellStyle name="Uwaga 71 2" xfId="42151"/>
    <cellStyle name="Uwaga 72" xfId="42152"/>
    <cellStyle name="Uwaga 72 2" xfId="42153"/>
    <cellStyle name="Uwaga 73" xfId="42154"/>
    <cellStyle name="Uwaga 73 2" xfId="42155"/>
    <cellStyle name="Uwaga 74" xfId="42156"/>
    <cellStyle name="Uwaga 74 2" xfId="42157"/>
    <cellStyle name="Uwaga 75" xfId="42158"/>
    <cellStyle name="Uwaga 75 2" xfId="42159"/>
    <cellStyle name="Uwaga 76" xfId="42160"/>
    <cellStyle name="Uwaga 76 2" xfId="42161"/>
    <cellStyle name="Uwaga 77" xfId="42162"/>
    <cellStyle name="Uwaga 77 2" xfId="42163"/>
    <cellStyle name="Uwaga 78" xfId="42164"/>
    <cellStyle name="Uwaga 78 2" xfId="42165"/>
    <cellStyle name="Uwaga 79" xfId="42166"/>
    <cellStyle name="Uwaga 79 2" xfId="42167"/>
    <cellStyle name="Uwaga 8" xfId="42168"/>
    <cellStyle name="Uwaga 8 2" xfId="42169"/>
    <cellStyle name="Uwaga 8 3" xfId="42170"/>
    <cellStyle name="Uwaga 80" xfId="42171"/>
    <cellStyle name="Uwaga 80 2" xfId="42172"/>
    <cellStyle name="Uwaga 81" xfId="42173"/>
    <cellStyle name="Uwaga 81 2" xfId="42174"/>
    <cellStyle name="Uwaga 82" xfId="42175"/>
    <cellStyle name="Uwaga 82 2" xfId="42176"/>
    <cellStyle name="Uwaga 83" xfId="42177"/>
    <cellStyle name="Uwaga 83 2" xfId="42178"/>
    <cellStyle name="Uwaga 84" xfId="42179"/>
    <cellStyle name="Uwaga 84 2" xfId="42180"/>
    <cellStyle name="Uwaga 85" xfId="42181"/>
    <cellStyle name="Uwaga 85 2" xfId="42182"/>
    <cellStyle name="Uwaga 86" xfId="42183"/>
    <cellStyle name="Uwaga 86 2" xfId="42184"/>
    <cellStyle name="Uwaga 87" xfId="42185"/>
    <cellStyle name="Uwaga 87 2" xfId="42186"/>
    <cellStyle name="Uwaga 88" xfId="42187"/>
    <cellStyle name="Uwaga 88 2" xfId="42188"/>
    <cellStyle name="Uwaga 89" xfId="42189"/>
    <cellStyle name="Uwaga 89 2" xfId="42190"/>
    <cellStyle name="Uwaga 9" xfId="42191"/>
    <cellStyle name="Uwaga 90" xfId="42192"/>
    <cellStyle name="Uwaga 90 2" xfId="42193"/>
    <cellStyle name="Uwaga 91" xfId="42194"/>
    <cellStyle name="Uwaga 91 2" xfId="42195"/>
    <cellStyle name="Uwaga 92" xfId="42196"/>
    <cellStyle name="Uwaga 92 2" xfId="42197"/>
    <cellStyle name="Uwaga 93" xfId="42198"/>
    <cellStyle name="Uwaga 93 2" xfId="42199"/>
    <cellStyle name="Uwaga 94" xfId="42200"/>
    <cellStyle name="Uwaga 94 2" xfId="42201"/>
    <cellStyle name="Uwaga 95" xfId="42202"/>
    <cellStyle name="Uwaga 95 2" xfId="42203"/>
    <cellStyle name="Uwaga 96" xfId="42204"/>
    <cellStyle name="Uwaga 96 2" xfId="42205"/>
    <cellStyle name="Uwaga 97" xfId="42206"/>
    <cellStyle name="Uwaga 97 2" xfId="42207"/>
    <cellStyle name="Uwaga 98" xfId="42208"/>
    <cellStyle name="Uwaga 98 2" xfId="42209"/>
    <cellStyle name="Uwaga 99" xfId="42210"/>
    <cellStyle name="Uwaga 99 2" xfId="42211"/>
    <cellStyle name="Valuta - Style2" xfId="42212"/>
    <cellStyle name="Valuta (0)" xfId="42213"/>
    <cellStyle name="Valuta_Ark1" xfId="42214"/>
    <cellStyle name="Währung [0]_Bal sheet - Liab. IHSW" xfId="42215"/>
    <cellStyle name="Währung_Bal sheet - Liab. IHSW" xfId="42216"/>
    <cellStyle name="Walutowy 2" xfId="42217"/>
    <cellStyle name="Walutowy 2 10" xfId="42218"/>
    <cellStyle name="Walutowy 2 11" xfId="42219"/>
    <cellStyle name="Walutowy 2 12" xfId="42220"/>
    <cellStyle name="Walutowy 2 13" xfId="42221"/>
    <cellStyle name="Walutowy 2 14" xfId="42222"/>
    <cellStyle name="Walutowy 2 15" xfId="42223"/>
    <cellStyle name="Walutowy 2 16" xfId="42224"/>
    <cellStyle name="Walutowy 2 17" xfId="42225"/>
    <cellStyle name="Walutowy 2 18" xfId="42226"/>
    <cellStyle name="Walutowy 2 2" xfId="42227"/>
    <cellStyle name="Walutowy 2 2 2" xfId="42228"/>
    <cellStyle name="Walutowy 2 2 3" xfId="42229"/>
    <cellStyle name="Walutowy 2 2 4" xfId="42230"/>
    <cellStyle name="Walutowy 2 2 5" xfId="42231"/>
    <cellStyle name="Walutowy 2 2 6" xfId="42232"/>
    <cellStyle name="Walutowy 2 2 7" xfId="42233"/>
    <cellStyle name="Walutowy 2 3" xfId="42234"/>
    <cellStyle name="Walutowy 2 3 2" xfId="42235"/>
    <cellStyle name="Walutowy 2 3 3" xfId="42236"/>
    <cellStyle name="Walutowy 2 3 4" xfId="42237"/>
    <cellStyle name="Walutowy 2 4" xfId="42238"/>
    <cellStyle name="Walutowy 2 5" xfId="42239"/>
    <cellStyle name="Walutowy 2 6" xfId="42240"/>
    <cellStyle name="Walutowy 2 7" xfId="42241"/>
    <cellStyle name="Walutowy 2 8" xfId="42242"/>
    <cellStyle name="Walutowy 2 9" xfId="42243"/>
    <cellStyle name="Walutowy 3" xfId="42244"/>
    <cellStyle name="Walutowy 3 10" xfId="42245"/>
    <cellStyle name="Walutowy 3 11" xfId="42246"/>
    <cellStyle name="Walutowy 3 12" xfId="42247"/>
    <cellStyle name="Walutowy 3 13" xfId="42248"/>
    <cellStyle name="Walutowy 3 14" xfId="42249"/>
    <cellStyle name="Walutowy 3 15" xfId="42250"/>
    <cellStyle name="Walutowy 3 16" xfId="42251"/>
    <cellStyle name="Walutowy 3 17" xfId="42252"/>
    <cellStyle name="Walutowy 3 18" xfId="42253"/>
    <cellStyle name="Walutowy 3 19" xfId="42254"/>
    <cellStyle name="Walutowy 3 2" xfId="42255"/>
    <cellStyle name="Walutowy 3 20" xfId="42256"/>
    <cellStyle name="Walutowy 3 3" xfId="42257"/>
    <cellStyle name="Walutowy 3 4" xfId="42258"/>
    <cellStyle name="Walutowy 3 5" xfId="42259"/>
    <cellStyle name="Walutowy 3 6" xfId="42260"/>
    <cellStyle name="Walutowy 3 7" xfId="42261"/>
    <cellStyle name="Walutowy 3 8" xfId="42262"/>
    <cellStyle name="Walutowy 3 9" xfId="42263"/>
    <cellStyle name="Walutowy 4" xfId="42264"/>
    <cellStyle name="Walutowy 5" xfId="42265"/>
    <cellStyle name="Złe 2" xfId="42266"/>
    <cellStyle name="Złe 2 10" xfId="42267"/>
    <cellStyle name="Złe 2 10 10" xfId="42268"/>
    <cellStyle name="Złe 2 10 11" xfId="42269"/>
    <cellStyle name="Złe 2 10 12" xfId="42270"/>
    <cellStyle name="Złe 2 10 13" xfId="42271"/>
    <cellStyle name="Złe 2 10 14" xfId="42272"/>
    <cellStyle name="Złe 2 10 15" xfId="42273"/>
    <cellStyle name="Złe 2 10 16" xfId="42274"/>
    <cellStyle name="Złe 2 10 17" xfId="42275"/>
    <cellStyle name="Złe 2 10 18" xfId="42276"/>
    <cellStyle name="Złe 2 10 19" xfId="42277"/>
    <cellStyle name="Złe 2 10 2" xfId="42278"/>
    <cellStyle name="Złe 2 10 3" xfId="42279"/>
    <cellStyle name="Złe 2 10 4" xfId="42280"/>
    <cellStyle name="Złe 2 10 5" xfId="42281"/>
    <cellStyle name="Złe 2 10 6" xfId="42282"/>
    <cellStyle name="Złe 2 10 7" xfId="42283"/>
    <cellStyle name="Złe 2 10 8" xfId="42284"/>
    <cellStyle name="Złe 2 10 9" xfId="42285"/>
    <cellStyle name="Złe 2 11" xfId="42286"/>
    <cellStyle name="Złe 2 11 10" xfId="42287"/>
    <cellStyle name="Złe 2 11 11" xfId="42288"/>
    <cellStyle name="Złe 2 11 12" xfId="42289"/>
    <cellStyle name="Złe 2 11 13" xfId="42290"/>
    <cellStyle name="Złe 2 11 14" xfId="42291"/>
    <cellStyle name="Złe 2 11 15" xfId="42292"/>
    <cellStyle name="Złe 2 11 16" xfId="42293"/>
    <cellStyle name="Złe 2 11 17" xfId="42294"/>
    <cellStyle name="Złe 2 11 18" xfId="42295"/>
    <cellStyle name="Złe 2 11 19" xfId="42296"/>
    <cellStyle name="Złe 2 11 2" xfId="42297"/>
    <cellStyle name="Złe 2 11 3" xfId="42298"/>
    <cellStyle name="Złe 2 11 4" xfId="42299"/>
    <cellStyle name="Złe 2 11 5" xfId="42300"/>
    <cellStyle name="Złe 2 11 6" xfId="42301"/>
    <cellStyle name="Złe 2 11 7" xfId="42302"/>
    <cellStyle name="Złe 2 11 8" xfId="42303"/>
    <cellStyle name="Złe 2 11 9" xfId="42304"/>
    <cellStyle name="Złe 2 12" xfId="42305"/>
    <cellStyle name="Złe 2 12 10" xfId="42306"/>
    <cellStyle name="Złe 2 12 11" xfId="42307"/>
    <cellStyle name="Złe 2 12 12" xfId="42308"/>
    <cellStyle name="Złe 2 12 13" xfId="42309"/>
    <cellStyle name="Złe 2 12 14" xfId="42310"/>
    <cellStyle name="Złe 2 12 15" xfId="42311"/>
    <cellStyle name="Złe 2 12 16" xfId="42312"/>
    <cellStyle name="Złe 2 12 17" xfId="42313"/>
    <cellStyle name="Złe 2 12 18" xfId="42314"/>
    <cellStyle name="Złe 2 12 19" xfId="42315"/>
    <cellStyle name="Złe 2 12 2" xfId="42316"/>
    <cellStyle name="Złe 2 12 3" xfId="42317"/>
    <cellStyle name="Złe 2 12 4" xfId="42318"/>
    <cellStyle name="Złe 2 12 5" xfId="42319"/>
    <cellStyle name="Złe 2 12 6" xfId="42320"/>
    <cellStyle name="Złe 2 12 7" xfId="42321"/>
    <cellStyle name="Złe 2 12 8" xfId="42322"/>
    <cellStyle name="Złe 2 12 9" xfId="42323"/>
    <cellStyle name="Złe 2 13" xfId="42324"/>
    <cellStyle name="Złe 2 13 10" xfId="42325"/>
    <cellStyle name="Złe 2 13 11" xfId="42326"/>
    <cellStyle name="Złe 2 13 12" xfId="42327"/>
    <cellStyle name="Złe 2 13 13" xfId="42328"/>
    <cellStyle name="Złe 2 13 14" xfId="42329"/>
    <cellStyle name="Złe 2 13 15" xfId="42330"/>
    <cellStyle name="Złe 2 13 16" xfId="42331"/>
    <cellStyle name="Złe 2 13 17" xfId="42332"/>
    <cellStyle name="Złe 2 13 18" xfId="42333"/>
    <cellStyle name="Złe 2 13 19" xfId="42334"/>
    <cellStyle name="Złe 2 13 2" xfId="42335"/>
    <cellStyle name="Złe 2 13 3" xfId="42336"/>
    <cellStyle name="Złe 2 13 4" xfId="42337"/>
    <cellStyle name="Złe 2 13 5" xfId="42338"/>
    <cellStyle name="Złe 2 13 6" xfId="42339"/>
    <cellStyle name="Złe 2 13 7" xfId="42340"/>
    <cellStyle name="Złe 2 13 8" xfId="42341"/>
    <cellStyle name="Złe 2 13 9" xfId="42342"/>
    <cellStyle name="Złe 2 14" xfId="42343"/>
    <cellStyle name="Złe 2 14 10" xfId="42344"/>
    <cellStyle name="Złe 2 14 11" xfId="42345"/>
    <cellStyle name="Złe 2 14 12" xfId="42346"/>
    <cellStyle name="Złe 2 14 13" xfId="42347"/>
    <cellStyle name="Złe 2 14 14" xfId="42348"/>
    <cellStyle name="Złe 2 14 15" xfId="42349"/>
    <cellStyle name="Złe 2 14 16" xfId="42350"/>
    <cellStyle name="Złe 2 14 17" xfId="42351"/>
    <cellStyle name="Złe 2 14 18" xfId="42352"/>
    <cellStyle name="Złe 2 14 19" xfId="42353"/>
    <cellStyle name="Złe 2 14 2" xfId="42354"/>
    <cellStyle name="Złe 2 14 3" xfId="42355"/>
    <cellStyle name="Złe 2 14 4" xfId="42356"/>
    <cellStyle name="Złe 2 14 5" xfId="42357"/>
    <cellStyle name="Złe 2 14 6" xfId="42358"/>
    <cellStyle name="Złe 2 14 7" xfId="42359"/>
    <cellStyle name="Złe 2 14 8" xfId="42360"/>
    <cellStyle name="Złe 2 14 9" xfId="42361"/>
    <cellStyle name="Złe 2 15" xfId="42362"/>
    <cellStyle name="Złe 2 15 10" xfId="42363"/>
    <cellStyle name="Złe 2 15 11" xfId="42364"/>
    <cellStyle name="Złe 2 15 12" xfId="42365"/>
    <cellStyle name="Złe 2 15 13" xfId="42366"/>
    <cellStyle name="Złe 2 15 14" xfId="42367"/>
    <cellStyle name="Złe 2 15 15" xfId="42368"/>
    <cellStyle name="Złe 2 15 16" xfId="42369"/>
    <cellStyle name="Złe 2 15 17" xfId="42370"/>
    <cellStyle name="Złe 2 15 18" xfId="42371"/>
    <cellStyle name="Złe 2 15 19" xfId="42372"/>
    <cellStyle name="Złe 2 15 2" xfId="42373"/>
    <cellStyle name="Złe 2 15 3" xfId="42374"/>
    <cellStyle name="Złe 2 15 4" xfId="42375"/>
    <cellStyle name="Złe 2 15 5" xfId="42376"/>
    <cellStyle name="Złe 2 15 6" xfId="42377"/>
    <cellStyle name="Złe 2 15 7" xfId="42378"/>
    <cellStyle name="Złe 2 15 8" xfId="42379"/>
    <cellStyle name="Złe 2 15 9" xfId="42380"/>
    <cellStyle name="Złe 2 16" xfId="42381"/>
    <cellStyle name="Złe 2 16 10" xfId="42382"/>
    <cellStyle name="Złe 2 16 11" xfId="42383"/>
    <cellStyle name="Złe 2 16 12" xfId="42384"/>
    <cellStyle name="Złe 2 16 13" xfId="42385"/>
    <cellStyle name="Złe 2 16 14" xfId="42386"/>
    <cellStyle name="Złe 2 16 15" xfId="42387"/>
    <cellStyle name="Złe 2 16 16" xfId="42388"/>
    <cellStyle name="Złe 2 16 17" xfId="42389"/>
    <cellStyle name="Złe 2 16 18" xfId="42390"/>
    <cellStyle name="Złe 2 16 19" xfId="42391"/>
    <cellStyle name="Złe 2 16 2" xfId="42392"/>
    <cellStyle name="Złe 2 16 3" xfId="42393"/>
    <cellStyle name="Złe 2 16 4" xfId="42394"/>
    <cellStyle name="Złe 2 16 5" xfId="42395"/>
    <cellStyle name="Złe 2 16 6" xfId="42396"/>
    <cellStyle name="Złe 2 16 7" xfId="42397"/>
    <cellStyle name="Złe 2 16 8" xfId="42398"/>
    <cellStyle name="Złe 2 16 9" xfId="42399"/>
    <cellStyle name="Złe 2 17" xfId="42400"/>
    <cellStyle name="Złe 2 17 10" xfId="42401"/>
    <cellStyle name="Złe 2 17 11" xfId="42402"/>
    <cellStyle name="Złe 2 17 12" xfId="42403"/>
    <cellStyle name="Złe 2 17 13" xfId="42404"/>
    <cellStyle name="Złe 2 17 14" xfId="42405"/>
    <cellStyle name="Złe 2 17 15" xfId="42406"/>
    <cellStyle name="Złe 2 17 16" xfId="42407"/>
    <cellStyle name="Złe 2 17 17" xfId="42408"/>
    <cellStyle name="Złe 2 17 18" xfId="42409"/>
    <cellStyle name="Złe 2 17 19" xfId="42410"/>
    <cellStyle name="Złe 2 17 2" xfId="42411"/>
    <cellStyle name="Złe 2 17 3" xfId="42412"/>
    <cellStyle name="Złe 2 17 4" xfId="42413"/>
    <cellStyle name="Złe 2 17 5" xfId="42414"/>
    <cellStyle name="Złe 2 17 6" xfId="42415"/>
    <cellStyle name="Złe 2 17 7" xfId="42416"/>
    <cellStyle name="Złe 2 17 8" xfId="42417"/>
    <cellStyle name="Złe 2 17 9" xfId="42418"/>
    <cellStyle name="Złe 2 18" xfId="42419"/>
    <cellStyle name="Złe 2 18 10" xfId="42420"/>
    <cellStyle name="Złe 2 18 11" xfId="42421"/>
    <cellStyle name="Złe 2 18 12" xfId="42422"/>
    <cellStyle name="Złe 2 18 13" xfId="42423"/>
    <cellStyle name="Złe 2 18 14" xfId="42424"/>
    <cellStyle name="Złe 2 18 15" xfId="42425"/>
    <cellStyle name="Złe 2 18 16" xfId="42426"/>
    <cellStyle name="Złe 2 18 17" xfId="42427"/>
    <cellStyle name="Złe 2 18 18" xfId="42428"/>
    <cellStyle name="Złe 2 18 19" xfId="42429"/>
    <cellStyle name="Złe 2 18 2" xfId="42430"/>
    <cellStyle name="Złe 2 18 3" xfId="42431"/>
    <cellStyle name="Złe 2 18 4" xfId="42432"/>
    <cellStyle name="Złe 2 18 5" xfId="42433"/>
    <cellStyle name="Złe 2 18 6" xfId="42434"/>
    <cellStyle name="Złe 2 18 7" xfId="42435"/>
    <cellStyle name="Złe 2 18 8" xfId="42436"/>
    <cellStyle name="Złe 2 18 9" xfId="42437"/>
    <cellStyle name="Złe 2 19" xfId="42438"/>
    <cellStyle name="Złe 2 19 10" xfId="42439"/>
    <cellStyle name="Złe 2 19 11" xfId="42440"/>
    <cellStyle name="Złe 2 19 12" xfId="42441"/>
    <cellStyle name="Złe 2 19 13" xfId="42442"/>
    <cellStyle name="Złe 2 19 14" xfId="42443"/>
    <cellStyle name="Złe 2 19 15" xfId="42444"/>
    <cellStyle name="Złe 2 19 16" xfId="42445"/>
    <cellStyle name="Złe 2 19 17" xfId="42446"/>
    <cellStyle name="Złe 2 19 18" xfId="42447"/>
    <cellStyle name="Złe 2 19 19" xfId="42448"/>
    <cellStyle name="Złe 2 19 2" xfId="42449"/>
    <cellStyle name="Złe 2 19 3" xfId="42450"/>
    <cellStyle name="Złe 2 19 4" xfId="42451"/>
    <cellStyle name="Złe 2 19 5" xfId="42452"/>
    <cellStyle name="Złe 2 19 6" xfId="42453"/>
    <cellStyle name="Złe 2 19 7" xfId="42454"/>
    <cellStyle name="Złe 2 19 8" xfId="42455"/>
    <cellStyle name="Złe 2 19 9" xfId="42456"/>
    <cellStyle name="Złe 2 2" xfId="42457"/>
    <cellStyle name="Złe 2 2 10" xfId="42458"/>
    <cellStyle name="Złe 2 2 11" xfId="42459"/>
    <cellStyle name="Złe 2 2 12" xfId="42460"/>
    <cellStyle name="Złe 2 2 13" xfId="42461"/>
    <cellStyle name="Złe 2 2 14" xfId="42462"/>
    <cellStyle name="Złe 2 2 15" xfId="42463"/>
    <cellStyle name="Złe 2 2 16" xfId="42464"/>
    <cellStyle name="Złe 2 2 17" xfId="42465"/>
    <cellStyle name="Złe 2 2 18" xfId="42466"/>
    <cellStyle name="Złe 2 2 19" xfId="42467"/>
    <cellStyle name="Złe 2 2 2" xfId="42468"/>
    <cellStyle name="Złe 2 2 20" xfId="42469"/>
    <cellStyle name="Złe 2 2 3" xfId="42470"/>
    <cellStyle name="Złe 2 2 4" xfId="42471"/>
    <cellStyle name="Złe 2 2 5" xfId="42472"/>
    <cellStyle name="Złe 2 2 6" xfId="42473"/>
    <cellStyle name="Złe 2 2 7" xfId="42474"/>
    <cellStyle name="Złe 2 2 8" xfId="42475"/>
    <cellStyle name="Złe 2 2 9" xfId="42476"/>
    <cellStyle name="Złe 2 20" xfId="42477"/>
    <cellStyle name="Złe 2 20 10" xfId="42478"/>
    <cellStyle name="Złe 2 20 11" xfId="42479"/>
    <cellStyle name="Złe 2 20 12" xfId="42480"/>
    <cellStyle name="Złe 2 20 13" xfId="42481"/>
    <cellStyle name="Złe 2 20 14" xfId="42482"/>
    <cellStyle name="Złe 2 20 15" xfId="42483"/>
    <cellStyle name="Złe 2 20 16" xfId="42484"/>
    <cellStyle name="Złe 2 20 17" xfId="42485"/>
    <cellStyle name="Złe 2 20 18" xfId="42486"/>
    <cellStyle name="Złe 2 20 19" xfId="42487"/>
    <cellStyle name="Złe 2 20 2" xfId="42488"/>
    <cellStyle name="Złe 2 20 3" xfId="42489"/>
    <cellStyle name="Złe 2 20 4" xfId="42490"/>
    <cellStyle name="Złe 2 20 5" xfId="42491"/>
    <cellStyle name="Złe 2 20 6" xfId="42492"/>
    <cellStyle name="Złe 2 20 7" xfId="42493"/>
    <cellStyle name="Złe 2 20 8" xfId="42494"/>
    <cellStyle name="Złe 2 20 9" xfId="42495"/>
    <cellStyle name="Złe 2 21" xfId="42496"/>
    <cellStyle name="Złe 2 21 10" xfId="42497"/>
    <cellStyle name="Złe 2 21 11" xfId="42498"/>
    <cellStyle name="Złe 2 21 12" xfId="42499"/>
    <cellStyle name="Złe 2 21 13" xfId="42500"/>
    <cellStyle name="Złe 2 21 14" xfId="42501"/>
    <cellStyle name="Złe 2 21 15" xfId="42502"/>
    <cellStyle name="Złe 2 21 16" xfId="42503"/>
    <cellStyle name="Złe 2 21 17" xfId="42504"/>
    <cellStyle name="Złe 2 21 18" xfId="42505"/>
    <cellStyle name="Złe 2 21 19" xfId="42506"/>
    <cellStyle name="Złe 2 21 2" xfId="42507"/>
    <cellStyle name="Złe 2 21 3" xfId="42508"/>
    <cellStyle name="Złe 2 21 4" xfId="42509"/>
    <cellStyle name="Złe 2 21 5" xfId="42510"/>
    <cellStyle name="Złe 2 21 6" xfId="42511"/>
    <cellStyle name="Złe 2 21 7" xfId="42512"/>
    <cellStyle name="Złe 2 21 8" xfId="42513"/>
    <cellStyle name="Złe 2 21 9" xfId="42514"/>
    <cellStyle name="Złe 2 22" xfId="42515"/>
    <cellStyle name="Złe 2 22 10" xfId="42516"/>
    <cellStyle name="Złe 2 22 11" xfId="42517"/>
    <cellStyle name="Złe 2 22 12" xfId="42518"/>
    <cellStyle name="Złe 2 22 13" xfId="42519"/>
    <cellStyle name="Złe 2 22 14" xfId="42520"/>
    <cellStyle name="Złe 2 22 15" xfId="42521"/>
    <cellStyle name="Złe 2 22 16" xfId="42522"/>
    <cellStyle name="Złe 2 22 17" xfId="42523"/>
    <cellStyle name="Złe 2 22 18" xfId="42524"/>
    <cellStyle name="Złe 2 22 19" xfId="42525"/>
    <cellStyle name="Złe 2 22 2" xfId="42526"/>
    <cellStyle name="Złe 2 22 3" xfId="42527"/>
    <cellStyle name="Złe 2 22 4" xfId="42528"/>
    <cellStyle name="Złe 2 22 5" xfId="42529"/>
    <cellStyle name="Złe 2 22 6" xfId="42530"/>
    <cellStyle name="Złe 2 22 7" xfId="42531"/>
    <cellStyle name="Złe 2 22 8" xfId="42532"/>
    <cellStyle name="Złe 2 22 9" xfId="42533"/>
    <cellStyle name="Złe 2 23" xfId="42534"/>
    <cellStyle name="Złe 2 23 10" xfId="42535"/>
    <cellStyle name="Złe 2 23 11" xfId="42536"/>
    <cellStyle name="Złe 2 23 12" xfId="42537"/>
    <cellStyle name="Złe 2 23 13" xfId="42538"/>
    <cellStyle name="Złe 2 23 14" xfId="42539"/>
    <cellStyle name="Złe 2 23 15" xfId="42540"/>
    <cellStyle name="Złe 2 23 16" xfId="42541"/>
    <cellStyle name="Złe 2 23 17" xfId="42542"/>
    <cellStyle name="Złe 2 23 18" xfId="42543"/>
    <cellStyle name="Złe 2 23 19" xfId="42544"/>
    <cellStyle name="Złe 2 23 2" xfId="42545"/>
    <cellStyle name="Złe 2 23 3" xfId="42546"/>
    <cellStyle name="Złe 2 23 4" xfId="42547"/>
    <cellStyle name="Złe 2 23 5" xfId="42548"/>
    <cellStyle name="Złe 2 23 6" xfId="42549"/>
    <cellStyle name="Złe 2 23 7" xfId="42550"/>
    <cellStyle name="Złe 2 23 8" xfId="42551"/>
    <cellStyle name="Złe 2 23 9" xfId="42552"/>
    <cellStyle name="Złe 2 24" xfId="42553"/>
    <cellStyle name="Złe 2 24 10" xfId="42554"/>
    <cellStyle name="Złe 2 24 11" xfId="42555"/>
    <cellStyle name="Złe 2 24 12" xfId="42556"/>
    <cellStyle name="Złe 2 24 13" xfId="42557"/>
    <cellStyle name="Złe 2 24 14" xfId="42558"/>
    <cellStyle name="Złe 2 24 15" xfId="42559"/>
    <cellStyle name="Złe 2 24 16" xfId="42560"/>
    <cellStyle name="Złe 2 24 17" xfId="42561"/>
    <cellStyle name="Złe 2 24 18" xfId="42562"/>
    <cellStyle name="Złe 2 24 19" xfId="42563"/>
    <cellStyle name="Złe 2 24 2" xfId="42564"/>
    <cellStyle name="Złe 2 24 3" xfId="42565"/>
    <cellStyle name="Złe 2 24 4" xfId="42566"/>
    <cellStyle name="Złe 2 24 5" xfId="42567"/>
    <cellStyle name="Złe 2 24 6" xfId="42568"/>
    <cellStyle name="Złe 2 24 7" xfId="42569"/>
    <cellStyle name="Złe 2 24 8" xfId="42570"/>
    <cellStyle name="Złe 2 24 9" xfId="42571"/>
    <cellStyle name="Złe 2 25" xfId="42572"/>
    <cellStyle name="Złe 2 25 10" xfId="42573"/>
    <cellStyle name="Złe 2 25 11" xfId="42574"/>
    <cellStyle name="Złe 2 25 12" xfId="42575"/>
    <cellStyle name="Złe 2 25 13" xfId="42576"/>
    <cellStyle name="Złe 2 25 14" xfId="42577"/>
    <cellStyle name="Złe 2 25 15" xfId="42578"/>
    <cellStyle name="Złe 2 25 16" xfId="42579"/>
    <cellStyle name="Złe 2 25 17" xfId="42580"/>
    <cellStyle name="Złe 2 25 18" xfId="42581"/>
    <cellStyle name="Złe 2 25 19" xfId="42582"/>
    <cellStyle name="Złe 2 25 2" xfId="42583"/>
    <cellStyle name="Złe 2 25 3" xfId="42584"/>
    <cellStyle name="Złe 2 25 4" xfId="42585"/>
    <cellStyle name="Złe 2 25 5" xfId="42586"/>
    <cellStyle name="Złe 2 25 6" xfId="42587"/>
    <cellStyle name="Złe 2 25 7" xfId="42588"/>
    <cellStyle name="Złe 2 25 8" xfId="42589"/>
    <cellStyle name="Złe 2 25 9" xfId="42590"/>
    <cellStyle name="Złe 2 26" xfId="42591"/>
    <cellStyle name="Złe 2 26 10" xfId="42592"/>
    <cellStyle name="Złe 2 26 11" xfId="42593"/>
    <cellStyle name="Złe 2 26 12" xfId="42594"/>
    <cellStyle name="Złe 2 26 13" xfId="42595"/>
    <cellStyle name="Złe 2 26 14" xfId="42596"/>
    <cellStyle name="Złe 2 26 15" xfId="42597"/>
    <cellStyle name="Złe 2 26 16" xfId="42598"/>
    <cellStyle name="Złe 2 26 17" xfId="42599"/>
    <cellStyle name="Złe 2 26 18" xfId="42600"/>
    <cellStyle name="Złe 2 26 19" xfId="42601"/>
    <cellStyle name="Złe 2 26 2" xfId="42602"/>
    <cellStyle name="Złe 2 26 3" xfId="42603"/>
    <cellStyle name="Złe 2 26 4" xfId="42604"/>
    <cellStyle name="Złe 2 26 5" xfId="42605"/>
    <cellStyle name="Złe 2 26 6" xfId="42606"/>
    <cellStyle name="Złe 2 26 7" xfId="42607"/>
    <cellStyle name="Złe 2 26 8" xfId="42608"/>
    <cellStyle name="Złe 2 26 9" xfId="42609"/>
    <cellStyle name="Złe 2 27" xfId="42610"/>
    <cellStyle name="Złe 2 27 10" xfId="42611"/>
    <cellStyle name="Złe 2 27 11" xfId="42612"/>
    <cellStyle name="Złe 2 27 12" xfId="42613"/>
    <cellStyle name="Złe 2 27 13" xfId="42614"/>
    <cellStyle name="Złe 2 27 14" xfId="42615"/>
    <cellStyle name="Złe 2 27 15" xfId="42616"/>
    <cellStyle name="Złe 2 27 16" xfId="42617"/>
    <cellStyle name="Złe 2 27 17" xfId="42618"/>
    <cellStyle name="Złe 2 27 18" xfId="42619"/>
    <cellStyle name="Złe 2 27 19" xfId="42620"/>
    <cellStyle name="Złe 2 27 2" xfId="42621"/>
    <cellStyle name="Złe 2 27 3" xfId="42622"/>
    <cellStyle name="Złe 2 27 4" xfId="42623"/>
    <cellStyle name="Złe 2 27 5" xfId="42624"/>
    <cellStyle name="Złe 2 27 6" xfId="42625"/>
    <cellStyle name="Złe 2 27 7" xfId="42626"/>
    <cellStyle name="Złe 2 27 8" xfId="42627"/>
    <cellStyle name="Złe 2 27 9" xfId="42628"/>
    <cellStyle name="Złe 2 28" xfId="42629"/>
    <cellStyle name="Złe 2 28 10" xfId="42630"/>
    <cellStyle name="Złe 2 28 11" xfId="42631"/>
    <cellStyle name="Złe 2 28 12" xfId="42632"/>
    <cellStyle name="Złe 2 28 13" xfId="42633"/>
    <cellStyle name="Złe 2 28 14" xfId="42634"/>
    <cellStyle name="Złe 2 28 15" xfId="42635"/>
    <cellStyle name="Złe 2 28 16" xfId="42636"/>
    <cellStyle name="Złe 2 28 17" xfId="42637"/>
    <cellStyle name="Złe 2 28 18" xfId="42638"/>
    <cellStyle name="Złe 2 28 19" xfId="42639"/>
    <cellStyle name="Złe 2 28 2" xfId="42640"/>
    <cellStyle name="Złe 2 28 3" xfId="42641"/>
    <cellStyle name="Złe 2 28 4" xfId="42642"/>
    <cellStyle name="Złe 2 28 5" xfId="42643"/>
    <cellStyle name="Złe 2 28 6" xfId="42644"/>
    <cellStyle name="Złe 2 28 7" xfId="42645"/>
    <cellStyle name="Złe 2 28 8" xfId="42646"/>
    <cellStyle name="Złe 2 28 9" xfId="42647"/>
    <cellStyle name="Złe 2 29" xfId="42648"/>
    <cellStyle name="Złe 2 29 2" xfId="42649"/>
    <cellStyle name="Złe 2 3" xfId="42650"/>
    <cellStyle name="Złe 2 3 10" xfId="42651"/>
    <cellStyle name="Złe 2 3 11" xfId="42652"/>
    <cellStyle name="Złe 2 3 12" xfId="42653"/>
    <cellStyle name="Złe 2 3 13" xfId="42654"/>
    <cellStyle name="Złe 2 3 14" xfId="42655"/>
    <cellStyle name="Złe 2 3 15" xfId="42656"/>
    <cellStyle name="Złe 2 3 16" xfId="42657"/>
    <cellStyle name="Złe 2 3 17" xfId="42658"/>
    <cellStyle name="Złe 2 3 18" xfId="42659"/>
    <cellStyle name="Złe 2 3 19" xfId="42660"/>
    <cellStyle name="Złe 2 3 2" xfId="42661"/>
    <cellStyle name="Złe 2 3 3" xfId="42662"/>
    <cellStyle name="Złe 2 3 4" xfId="42663"/>
    <cellStyle name="Złe 2 3 5" xfId="42664"/>
    <cellStyle name="Złe 2 3 6" xfId="42665"/>
    <cellStyle name="Złe 2 3 7" xfId="42666"/>
    <cellStyle name="Złe 2 3 8" xfId="42667"/>
    <cellStyle name="Złe 2 3 9" xfId="42668"/>
    <cellStyle name="Złe 2 30" xfId="42669"/>
    <cellStyle name="Złe 2 30 2" xfId="42670"/>
    <cellStyle name="Złe 2 31" xfId="42671"/>
    <cellStyle name="Złe 2 31 2" xfId="42672"/>
    <cellStyle name="Złe 2 32" xfId="42673"/>
    <cellStyle name="Złe 2 32 2" xfId="42674"/>
    <cellStyle name="Złe 2 33" xfId="42675"/>
    <cellStyle name="Złe 2 34" xfId="42676"/>
    <cellStyle name="Złe 2 35" xfId="42677"/>
    <cellStyle name="Złe 2 36" xfId="42678"/>
    <cellStyle name="Złe 2 37" xfId="42679"/>
    <cellStyle name="Złe 2 38" xfId="42680"/>
    <cellStyle name="Złe 2 39" xfId="42681"/>
    <cellStyle name="Złe 2 4" xfId="42682"/>
    <cellStyle name="Złe 2 4 10" xfId="42683"/>
    <cellStyle name="Złe 2 4 11" xfId="42684"/>
    <cellStyle name="Złe 2 4 12" xfId="42685"/>
    <cellStyle name="Złe 2 4 13" xfId="42686"/>
    <cellStyle name="Złe 2 4 14" xfId="42687"/>
    <cellStyle name="Złe 2 4 15" xfId="42688"/>
    <cellStyle name="Złe 2 4 16" xfId="42689"/>
    <cellStyle name="Złe 2 4 17" xfId="42690"/>
    <cellStyle name="Złe 2 4 18" xfId="42691"/>
    <cellStyle name="Złe 2 4 19" xfId="42692"/>
    <cellStyle name="Złe 2 4 2" xfId="42693"/>
    <cellStyle name="Złe 2 4 3" xfId="42694"/>
    <cellStyle name="Złe 2 4 4" xfId="42695"/>
    <cellStyle name="Złe 2 4 5" xfId="42696"/>
    <cellStyle name="Złe 2 4 6" xfId="42697"/>
    <cellStyle name="Złe 2 4 7" xfId="42698"/>
    <cellStyle name="Złe 2 4 8" xfId="42699"/>
    <cellStyle name="Złe 2 4 9" xfId="42700"/>
    <cellStyle name="Złe 2 40" xfId="42701"/>
    <cellStyle name="Złe 2 41" xfId="42702"/>
    <cellStyle name="Złe 2 42" xfId="42703"/>
    <cellStyle name="Złe 2 43" xfId="42704"/>
    <cellStyle name="Złe 2 44" xfId="42705"/>
    <cellStyle name="Złe 2 45" xfId="42706"/>
    <cellStyle name="Złe 2 46" xfId="42707"/>
    <cellStyle name="Złe 2 47" xfId="42708"/>
    <cellStyle name="Złe 2 48" xfId="42709"/>
    <cellStyle name="Złe 2 49" xfId="42710"/>
    <cellStyle name="Złe 2 5" xfId="42711"/>
    <cellStyle name="Złe 2 5 10" xfId="42712"/>
    <cellStyle name="Złe 2 5 11" xfId="42713"/>
    <cellStyle name="Złe 2 5 12" xfId="42714"/>
    <cellStyle name="Złe 2 5 13" xfId="42715"/>
    <cellStyle name="Złe 2 5 14" xfId="42716"/>
    <cellStyle name="Złe 2 5 15" xfId="42717"/>
    <cellStyle name="Złe 2 5 16" xfId="42718"/>
    <cellStyle name="Złe 2 5 17" xfId="42719"/>
    <cellStyle name="Złe 2 5 18" xfId="42720"/>
    <cellStyle name="Złe 2 5 19" xfId="42721"/>
    <cellStyle name="Złe 2 5 2" xfId="42722"/>
    <cellStyle name="Złe 2 5 3" xfId="42723"/>
    <cellStyle name="Złe 2 5 4" xfId="42724"/>
    <cellStyle name="Złe 2 5 5" xfId="42725"/>
    <cellStyle name="Złe 2 5 6" xfId="42726"/>
    <cellStyle name="Złe 2 5 7" xfId="42727"/>
    <cellStyle name="Złe 2 5 8" xfId="42728"/>
    <cellStyle name="Złe 2 5 9" xfId="42729"/>
    <cellStyle name="Złe 2 50" xfId="42730"/>
    <cellStyle name="Złe 2 51" xfId="42731"/>
    <cellStyle name="Złe 2 52" xfId="42732"/>
    <cellStyle name="Złe 2 53" xfId="42733"/>
    <cellStyle name="Złe 2 54" xfId="42734"/>
    <cellStyle name="Złe 2 6" xfId="42735"/>
    <cellStyle name="Złe 2 6 10" xfId="42736"/>
    <cellStyle name="Złe 2 6 11" xfId="42737"/>
    <cellStyle name="Złe 2 6 12" xfId="42738"/>
    <cellStyle name="Złe 2 6 13" xfId="42739"/>
    <cellStyle name="Złe 2 6 14" xfId="42740"/>
    <cellStyle name="Złe 2 6 15" xfId="42741"/>
    <cellStyle name="Złe 2 6 16" xfId="42742"/>
    <cellStyle name="Złe 2 6 17" xfId="42743"/>
    <cellStyle name="Złe 2 6 18" xfId="42744"/>
    <cellStyle name="Złe 2 6 19" xfId="42745"/>
    <cellStyle name="Złe 2 6 2" xfId="42746"/>
    <cellStyle name="Złe 2 6 3" xfId="42747"/>
    <cellStyle name="Złe 2 6 4" xfId="42748"/>
    <cellStyle name="Złe 2 6 5" xfId="42749"/>
    <cellStyle name="Złe 2 6 6" xfId="42750"/>
    <cellStyle name="Złe 2 6 7" xfId="42751"/>
    <cellStyle name="Złe 2 6 8" xfId="42752"/>
    <cellStyle name="Złe 2 6 9" xfId="42753"/>
    <cellStyle name="Złe 2 7" xfId="42754"/>
    <cellStyle name="Złe 2 7 10" xfId="42755"/>
    <cellStyle name="Złe 2 7 11" xfId="42756"/>
    <cellStyle name="Złe 2 7 12" xfId="42757"/>
    <cellStyle name="Złe 2 7 13" xfId="42758"/>
    <cellStyle name="Złe 2 7 14" xfId="42759"/>
    <cellStyle name="Złe 2 7 15" xfId="42760"/>
    <cellStyle name="Złe 2 7 16" xfId="42761"/>
    <cellStyle name="Złe 2 7 17" xfId="42762"/>
    <cellStyle name="Złe 2 7 18" xfId="42763"/>
    <cellStyle name="Złe 2 7 19" xfId="42764"/>
    <cellStyle name="Złe 2 7 2" xfId="42765"/>
    <cellStyle name="Złe 2 7 3" xfId="42766"/>
    <cellStyle name="Złe 2 7 4" xfId="42767"/>
    <cellStyle name="Złe 2 7 5" xfId="42768"/>
    <cellStyle name="Złe 2 7 6" xfId="42769"/>
    <cellStyle name="Złe 2 7 7" xfId="42770"/>
    <cellStyle name="Złe 2 7 8" xfId="42771"/>
    <cellStyle name="Złe 2 7 9" xfId="42772"/>
    <cellStyle name="Złe 2 8" xfId="42773"/>
    <cellStyle name="Złe 2 8 10" xfId="42774"/>
    <cellStyle name="Złe 2 8 11" xfId="42775"/>
    <cellStyle name="Złe 2 8 12" xfId="42776"/>
    <cellStyle name="Złe 2 8 13" xfId="42777"/>
    <cellStyle name="Złe 2 8 14" xfId="42778"/>
    <cellStyle name="Złe 2 8 15" xfId="42779"/>
    <cellStyle name="Złe 2 8 16" xfId="42780"/>
    <cellStyle name="Złe 2 8 17" xfId="42781"/>
    <cellStyle name="Złe 2 8 18" xfId="42782"/>
    <cellStyle name="Złe 2 8 19" xfId="42783"/>
    <cellStyle name="Złe 2 8 2" xfId="42784"/>
    <cellStyle name="Złe 2 8 3" xfId="42785"/>
    <cellStyle name="Złe 2 8 4" xfId="42786"/>
    <cellStyle name="Złe 2 8 5" xfId="42787"/>
    <cellStyle name="Złe 2 8 6" xfId="42788"/>
    <cellStyle name="Złe 2 8 7" xfId="42789"/>
    <cellStyle name="Złe 2 8 8" xfId="42790"/>
    <cellStyle name="Złe 2 8 9" xfId="42791"/>
    <cellStyle name="Złe 2 9" xfId="42792"/>
    <cellStyle name="Złe 2 9 10" xfId="42793"/>
    <cellStyle name="Złe 2 9 11" xfId="42794"/>
    <cellStyle name="Złe 2 9 12" xfId="42795"/>
    <cellStyle name="Złe 2 9 13" xfId="42796"/>
    <cellStyle name="Złe 2 9 14" xfId="42797"/>
    <cellStyle name="Złe 2 9 15" xfId="42798"/>
    <cellStyle name="Złe 2 9 16" xfId="42799"/>
    <cellStyle name="Złe 2 9 17" xfId="42800"/>
    <cellStyle name="Złe 2 9 18" xfId="42801"/>
    <cellStyle name="Złe 2 9 19" xfId="42802"/>
    <cellStyle name="Złe 2 9 2" xfId="42803"/>
    <cellStyle name="Złe 2 9 3" xfId="42804"/>
    <cellStyle name="Złe 2 9 4" xfId="42805"/>
    <cellStyle name="Złe 2 9 5" xfId="42806"/>
    <cellStyle name="Złe 2 9 6" xfId="42807"/>
    <cellStyle name="Złe 2 9 7" xfId="42808"/>
    <cellStyle name="Złe 2 9 8" xfId="42809"/>
    <cellStyle name="Złe 2 9 9" xfId="42810"/>
    <cellStyle name="Złe 3" xfId="42811"/>
    <cellStyle name="Złe 3 10" xfId="42812"/>
    <cellStyle name="Złe 3 11" xfId="42813"/>
    <cellStyle name="Złe 3 12" xfId="42814"/>
    <cellStyle name="Złe 3 13" xfId="42815"/>
    <cellStyle name="Złe 3 14" xfId="42816"/>
    <cellStyle name="Złe 3 15" xfId="42817"/>
    <cellStyle name="Złe 3 16" xfId="42818"/>
    <cellStyle name="Złe 3 17" xfId="42819"/>
    <cellStyle name="Złe 3 18" xfId="42820"/>
    <cellStyle name="Złe 3 19" xfId="42821"/>
    <cellStyle name="Złe 3 2" xfId="42822"/>
    <cellStyle name="Złe 3 2 2" xfId="42823"/>
    <cellStyle name="Złe 3 20" xfId="42824"/>
    <cellStyle name="Złe 3 21" xfId="42825"/>
    <cellStyle name="Złe 3 22" xfId="42826"/>
    <cellStyle name="Złe 3 23" xfId="42827"/>
    <cellStyle name="Złe 3 3" xfId="42828"/>
    <cellStyle name="Złe 3 4" xfId="42829"/>
    <cellStyle name="Złe 3 5" xfId="42830"/>
    <cellStyle name="Złe 3 6" xfId="42831"/>
    <cellStyle name="Złe 3 7" xfId="42832"/>
    <cellStyle name="Złe 3 8" xfId="42833"/>
    <cellStyle name="Złe 3 9" xfId="42834"/>
    <cellStyle name="Złe 4" xfId="42835"/>
    <cellStyle name="Złe 4 2" xfId="42836"/>
    <cellStyle name="Złe 4 3" xfId="42837"/>
    <cellStyle name="Złe 4 4" xfId="42838"/>
    <cellStyle name="Złe 4 5" xfId="42839"/>
    <cellStyle name="Złe 4 6" xfId="42840"/>
    <cellStyle name="Złe 4 7" xfId="42841"/>
    <cellStyle name="Złe 4 8" xfId="42842"/>
    <cellStyle name="Złe 4 9" xfId="42843"/>
    <cellStyle name="Złe 5" xfId="42844"/>
    <cellStyle name="Złe 5 2" xfId="42845"/>
    <cellStyle name="Złe 5 3" xfId="42846"/>
    <cellStyle name="Złe 6" xfId="42847"/>
    <cellStyle name="Złe 6 2" xfId="42848"/>
    <cellStyle name="Złe 7" xfId="42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X81"/>
  <sheetViews>
    <sheetView showGridLines="0" tabSelected="1" zoomScale="70" zoomScaleNormal="70" zoomScaleSheetLayoutView="85" workbookViewId="0">
      <pane xSplit="1" topLeftCell="B1" activePane="topRight" state="frozen"/>
      <selection pane="topRight" activeCell="A2" sqref="A2:XFD2"/>
    </sheetView>
  </sheetViews>
  <sheetFormatPr defaultColWidth="9" defaultRowHeight="13" outlineLevelCol="1"/>
  <cols>
    <col min="1" max="1" width="53" style="2" customWidth="1"/>
    <col min="2" max="2" width="13.58203125" style="2" customWidth="1"/>
    <col min="3" max="3" width="13.75" style="2" customWidth="1"/>
    <col min="4" max="4" width="13.5" style="2" customWidth="1"/>
    <col min="5" max="5" width="14.25" style="2" customWidth="1"/>
    <col min="6" max="6" width="16" style="2" hidden="1" customWidth="1" outlineLevel="1"/>
    <col min="7" max="7" width="14.25" style="3" customWidth="1" collapsed="1"/>
    <col min="8" max="8" width="14.25" style="2" hidden="1" customWidth="1" outlineLevel="1"/>
    <col min="9" max="9" width="13.33203125" style="3" customWidth="1" collapsed="1"/>
    <col min="10" max="10" width="13.33203125" style="2" hidden="1" customWidth="1" outlineLevel="1"/>
    <col min="11" max="11" width="12.58203125" style="2" hidden="1" customWidth="1" outlineLevel="1"/>
    <col min="12" max="12" width="13.25" style="2" customWidth="1" collapsed="1"/>
    <col min="13" max="15" width="14.58203125" style="2" hidden="1" customWidth="1" outlineLevel="1"/>
    <col min="16" max="16" width="14.58203125" style="2" customWidth="1" collapsed="1"/>
    <col min="17" max="19" width="14.58203125" style="2" hidden="1" customWidth="1" outlineLevel="1"/>
    <col min="20" max="20" width="14.58203125" style="2" customWidth="1" collapsed="1"/>
    <col min="21" max="25" width="14.58203125" style="2" customWidth="1"/>
    <col min="26" max="27" width="14.58203125" style="4" customWidth="1"/>
    <col min="28" max="30" width="14.58203125" style="2" customWidth="1"/>
    <col min="31" max="31" width="14.58203125" style="4" customWidth="1"/>
    <col min="32" max="40" width="14.58203125" style="2" customWidth="1"/>
    <col min="41" max="44" width="14.58203125" style="13" customWidth="1"/>
    <col min="45" max="45" width="14.75" style="2" customWidth="1"/>
    <col min="46" max="16384" width="9" style="2"/>
  </cols>
  <sheetData>
    <row r="1" spans="1:47" ht="28.5" customHeight="1" thickBot="1">
      <c r="A1" s="1" t="s">
        <v>0</v>
      </c>
      <c r="AO1" s="5"/>
      <c r="AP1" s="5"/>
      <c r="AQ1" s="5"/>
      <c r="AR1" s="5"/>
    </row>
    <row r="2" spans="1:47" s="13" customFormat="1" ht="41" thickBot="1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8" t="s">
        <v>7</v>
      </c>
      <c r="G2" s="7" t="s">
        <v>8</v>
      </c>
      <c r="H2" s="8" t="s">
        <v>9</v>
      </c>
      <c r="I2" s="7" t="s">
        <v>10</v>
      </c>
      <c r="J2" s="8" t="s">
        <v>11</v>
      </c>
      <c r="K2" s="8" t="s">
        <v>12</v>
      </c>
      <c r="L2" s="7" t="s">
        <v>13</v>
      </c>
      <c r="M2" s="8" t="s">
        <v>1</v>
      </c>
      <c r="N2" s="8" t="s">
        <v>14</v>
      </c>
      <c r="O2" s="8" t="s">
        <v>15</v>
      </c>
      <c r="P2" s="7" t="s">
        <v>16</v>
      </c>
      <c r="Q2" s="8" t="s">
        <v>17</v>
      </c>
      <c r="R2" s="8" t="s">
        <v>18</v>
      </c>
      <c r="S2" s="8" t="s">
        <v>19</v>
      </c>
      <c r="T2" s="9" t="s">
        <v>20</v>
      </c>
      <c r="U2" s="8" t="s">
        <v>21</v>
      </c>
      <c r="V2" s="8" t="s">
        <v>22</v>
      </c>
      <c r="W2" s="8" t="s">
        <v>23</v>
      </c>
      <c r="X2" s="7" t="s">
        <v>24</v>
      </c>
      <c r="Y2" s="8" t="s">
        <v>25</v>
      </c>
      <c r="Z2" s="8" t="s">
        <v>26</v>
      </c>
      <c r="AA2" s="8" t="s">
        <v>27</v>
      </c>
      <c r="AB2" s="7" t="s">
        <v>28</v>
      </c>
      <c r="AC2" s="8" t="s">
        <v>29</v>
      </c>
      <c r="AD2" s="8" t="s">
        <v>30</v>
      </c>
      <c r="AE2" s="8" t="s">
        <v>31</v>
      </c>
      <c r="AF2" s="7" t="s">
        <v>32</v>
      </c>
      <c r="AG2" s="8" t="s">
        <v>33</v>
      </c>
      <c r="AH2" s="8" t="s">
        <v>34</v>
      </c>
      <c r="AI2" s="8" t="s">
        <v>35</v>
      </c>
      <c r="AJ2" s="7" t="s">
        <v>36</v>
      </c>
      <c r="AK2" s="8" t="s">
        <v>37</v>
      </c>
      <c r="AL2" s="8" t="s">
        <v>38</v>
      </c>
      <c r="AM2" s="8" t="s">
        <v>39</v>
      </c>
      <c r="AN2" s="7" t="s">
        <v>40</v>
      </c>
      <c r="AO2" s="10" t="s">
        <v>41</v>
      </c>
      <c r="AP2" s="10" t="s">
        <v>42</v>
      </c>
      <c r="AQ2" s="10" t="s">
        <v>43</v>
      </c>
      <c r="AR2" s="7" t="s">
        <v>44</v>
      </c>
      <c r="AS2" s="11" t="s">
        <v>45</v>
      </c>
      <c r="AT2" s="12"/>
    </row>
    <row r="3" spans="1:47" s="12" customFormat="1" ht="33" customHeight="1">
      <c r="A3" s="14" t="s">
        <v>46</v>
      </c>
      <c r="B3" s="15"/>
      <c r="C3" s="15"/>
      <c r="D3" s="15"/>
      <c r="E3" s="16"/>
      <c r="F3" s="17"/>
      <c r="G3" s="18"/>
      <c r="H3" s="19"/>
      <c r="I3" s="20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  <c r="Z3" s="21"/>
      <c r="AA3" s="21"/>
      <c r="AB3" s="20"/>
      <c r="AC3" s="19"/>
      <c r="AD3" s="19"/>
      <c r="AE3" s="21"/>
      <c r="AF3" s="20"/>
      <c r="AG3" s="19"/>
      <c r="AH3" s="19"/>
      <c r="AI3" s="19"/>
      <c r="AJ3" s="20"/>
      <c r="AK3" s="19"/>
      <c r="AL3" s="19"/>
      <c r="AM3" s="19"/>
      <c r="AN3" s="20"/>
      <c r="AO3" s="22"/>
      <c r="AP3" s="22"/>
      <c r="AQ3" s="22"/>
      <c r="AR3" s="20"/>
      <c r="AS3" s="23"/>
    </row>
    <row r="4" spans="1:47" s="39" customFormat="1" ht="20.149999999999999" customHeight="1">
      <c r="A4" s="24" t="s">
        <v>47</v>
      </c>
      <c r="B4" s="25">
        <f>104132*1/1000</f>
        <v>104.13200000000001</v>
      </c>
      <c r="C4" s="25">
        <f>42144*1/1000</f>
        <v>42.143999999999998</v>
      </c>
      <c r="D4" s="25">
        <f>7979*1/1000</f>
        <v>7.9790000000000001</v>
      </c>
      <c r="E4" s="26">
        <f>549*1/1000</f>
        <v>0.54900000000000004</v>
      </c>
      <c r="F4" s="27">
        <v>0.378</v>
      </c>
      <c r="G4" s="25">
        <f>20785*1/1000</f>
        <v>20.785</v>
      </c>
      <c r="H4" s="28">
        <f>49123*(1/1000)</f>
        <v>49.122999999999998</v>
      </c>
      <c r="I4" s="25">
        <f>122457*1/1000</f>
        <v>122.45699999999999</v>
      </c>
      <c r="J4" s="29">
        <f>183637*1/1000</f>
        <v>183.637</v>
      </c>
      <c r="K4" s="30">
        <f>215832*1/1000</f>
        <v>215.83199999999999</v>
      </c>
      <c r="L4" s="31">
        <f>275399*1/1000</f>
        <v>275.399</v>
      </c>
      <c r="M4" s="30">
        <f>320402*1/1000</f>
        <v>320.40199999999999</v>
      </c>
      <c r="N4" s="30">
        <f>359907*1/1000</f>
        <v>359.90699999999998</v>
      </c>
      <c r="O4" s="30">
        <f>386044*1/1000</f>
        <v>386.04399999999998</v>
      </c>
      <c r="P4" s="31">
        <f>408610*1/1000</f>
        <v>408.61</v>
      </c>
      <c r="Q4" s="30">
        <f>415308*1/1000</f>
        <v>415.30799999999999</v>
      </c>
      <c r="R4" s="30">
        <f>419479*1/1000</f>
        <v>419.47899999999998</v>
      </c>
      <c r="S4" s="30">
        <f>425068*1/1000</f>
        <v>425.06799999999998</v>
      </c>
      <c r="T4" s="31">
        <f>420060*1/1000</f>
        <v>420.06</v>
      </c>
      <c r="U4" s="30">
        <f>419894*1/1000</f>
        <v>419.89400000000001</v>
      </c>
      <c r="V4" s="30">
        <f>418521*1/1000</f>
        <v>418.52100000000002</v>
      </c>
      <c r="W4" s="30">
        <f>409736*1/1000</f>
        <v>409.73599999999999</v>
      </c>
      <c r="X4" s="31">
        <f>407579*1/1000</f>
        <v>407.57900000000001</v>
      </c>
      <c r="Y4" s="30">
        <f>395393*1/1000</f>
        <v>395.39299999999997</v>
      </c>
      <c r="Z4" s="32">
        <v>384.8</v>
      </c>
      <c r="AA4" s="32">
        <v>417</v>
      </c>
      <c r="AB4" s="33">
        <v>421.1</v>
      </c>
      <c r="AC4" s="34">
        <v>416.6</v>
      </c>
      <c r="AD4" s="34">
        <v>401.1</v>
      </c>
      <c r="AE4" s="32">
        <v>377</v>
      </c>
      <c r="AF4" s="35">
        <v>371</v>
      </c>
      <c r="AG4" s="36">
        <v>356.7</v>
      </c>
      <c r="AH4" s="36">
        <v>353.3</v>
      </c>
      <c r="AI4" s="36">
        <v>350.4</v>
      </c>
      <c r="AJ4" s="35">
        <v>350.9</v>
      </c>
      <c r="AK4" s="36">
        <v>342.2</v>
      </c>
      <c r="AL4" s="36">
        <v>332.9</v>
      </c>
      <c r="AM4" s="36">
        <v>324</v>
      </c>
      <c r="AN4" s="35">
        <v>325.3</v>
      </c>
      <c r="AO4" s="37">
        <v>312.5</v>
      </c>
      <c r="AP4" s="37">
        <v>294.10000000000002</v>
      </c>
      <c r="AQ4" s="37">
        <v>275.8</v>
      </c>
      <c r="AR4" s="35">
        <v>264.5</v>
      </c>
      <c r="AS4" s="38">
        <v>258.2</v>
      </c>
      <c r="AU4" s="40"/>
    </row>
    <row r="5" spans="1:47" s="39" customFormat="1" ht="20.149999999999999" customHeight="1">
      <c r="A5" s="24" t="s">
        <v>48</v>
      </c>
      <c r="B5" s="25">
        <f>14741*1/1000</f>
        <v>14.741</v>
      </c>
      <c r="C5" s="25">
        <f>16217*1/1000</f>
        <v>16.216999999999999</v>
      </c>
      <c r="D5" s="25">
        <f>45717*1/1000</f>
        <v>45.716999999999999</v>
      </c>
      <c r="E5" s="26">
        <f>97326*1/1000</f>
        <v>97.325999999999993</v>
      </c>
      <c r="F5" s="27">
        <f>107330*(1/1000)</f>
        <v>107.33</v>
      </c>
      <c r="G5" s="25">
        <f>125970*1/1000</f>
        <v>125.97</v>
      </c>
      <c r="H5" s="28">
        <f>141404*(1/1000)</f>
        <v>141.404</v>
      </c>
      <c r="I5" s="25">
        <f>146228*1/1000</f>
        <v>146.22800000000001</v>
      </c>
      <c r="J5" s="29">
        <f>156728*1/1000</f>
        <v>156.72800000000001</v>
      </c>
      <c r="K5" s="30">
        <f>153942*1/1000</f>
        <v>153.94200000000001</v>
      </c>
      <c r="L5" s="31">
        <f>152857*1/1000</f>
        <v>152.857</v>
      </c>
      <c r="M5" s="30">
        <f>152588*1/1000</f>
        <v>152.58799999999999</v>
      </c>
      <c r="N5" s="30">
        <f>272116*1/1000</f>
        <v>272.11599999999999</v>
      </c>
      <c r="O5" s="30">
        <f>265264*1/1000</f>
        <v>265.26400000000001</v>
      </c>
      <c r="P5" s="31">
        <f>263277*1/1000</f>
        <v>263.27699999999999</v>
      </c>
      <c r="Q5" s="30">
        <f>258700*1/1000</f>
        <v>258.7</v>
      </c>
      <c r="R5" s="30">
        <f>258506*1/1000</f>
        <v>258.50599999999997</v>
      </c>
      <c r="S5" s="30">
        <f>257043*1/1000</f>
        <v>257.04300000000001</v>
      </c>
      <c r="T5" s="31">
        <f>276407*1/1000</f>
        <v>276.40699999999998</v>
      </c>
      <c r="U5" s="30">
        <f>266252*1/1000</f>
        <v>266.25200000000001</v>
      </c>
      <c r="V5" s="30">
        <f>265011*1/1000</f>
        <v>265.01100000000002</v>
      </c>
      <c r="W5" s="30">
        <f>252063*1/1000</f>
        <v>252.06299999999999</v>
      </c>
      <c r="X5" s="31">
        <f>251152*1/1000</f>
        <v>251.15199999999999</v>
      </c>
      <c r="Y5" s="30">
        <f>248178*1/1000</f>
        <v>248.178</v>
      </c>
      <c r="Z5" s="41">
        <v>3010.6</v>
      </c>
      <c r="AA5" s="41">
        <v>2933.8</v>
      </c>
      <c r="AB5" s="33">
        <v>2714.9</v>
      </c>
      <c r="AC5" s="34">
        <v>2855.8</v>
      </c>
      <c r="AD5" s="34">
        <v>2541.1999999999998</v>
      </c>
      <c r="AE5" s="41">
        <v>2535.1999999999998</v>
      </c>
      <c r="AF5" s="35">
        <v>2548.6</v>
      </c>
      <c r="AG5" s="36">
        <v>3002.2</v>
      </c>
      <c r="AH5" s="36">
        <v>2931</v>
      </c>
      <c r="AI5" s="36">
        <v>2882.8</v>
      </c>
      <c r="AJ5" s="35">
        <v>2964.3</v>
      </c>
      <c r="AK5" s="36">
        <v>2885.9</v>
      </c>
      <c r="AL5" s="36">
        <v>2904.7</v>
      </c>
      <c r="AM5" s="36">
        <v>2866.4</v>
      </c>
      <c r="AN5" s="35">
        <v>2867.1</v>
      </c>
      <c r="AO5" s="37">
        <v>2797</v>
      </c>
      <c r="AP5" s="37">
        <v>4419.8999999999996</v>
      </c>
      <c r="AQ5" s="37">
        <v>4438</v>
      </c>
      <c r="AR5" s="35">
        <v>4792.2</v>
      </c>
      <c r="AS5" s="38">
        <v>4720.3</v>
      </c>
      <c r="AU5" s="40"/>
    </row>
    <row r="6" spans="1:47" s="39" customFormat="1" ht="20.149999999999999" customHeight="1">
      <c r="A6" s="24" t="s">
        <v>49</v>
      </c>
      <c r="B6" s="42">
        <f t="shared" ref="B6:C8" si="0">(0*1/1000)</f>
        <v>0</v>
      </c>
      <c r="C6" s="42">
        <f t="shared" si="0"/>
        <v>0</v>
      </c>
      <c r="D6" s="43">
        <f>(14*1/1000)</f>
        <v>1.4E-2</v>
      </c>
      <c r="E6" s="42">
        <f>0*1/1000</f>
        <v>0</v>
      </c>
      <c r="F6" s="44">
        <f>(0*1/1000)</f>
        <v>0</v>
      </c>
      <c r="G6" s="42">
        <f>0*1/1000</f>
        <v>0</v>
      </c>
      <c r="H6" s="44">
        <f>0*$A$80</f>
        <v>0</v>
      </c>
      <c r="I6" s="42">
        <f>0*1/1000</f>
        <v>0</v>
      </c>
      <c r="J6" s="45">
        <f>52088*1/1000</f>
        <v>52.088000000000001</v>
      </c>
      <c r="K6" s="30">
        <f>52022*1/1000</f>
        <v>52.021999999999998</v>
      </c>
      <c r="L6" s="31">
        <f>52022*1/1000</f>
        <v>52.021999999999998</v>
      </c>
      <c r="M6" s="30">
        <f>52022*1/1000</f>
        <v>52.021999999999998</v>
      </c>
      <c r="N6" s="30">
        <f>2412285*1/1000</f>
        <v>2412.2849999999999</v>
      </c>
      <c r="O6" s="30">
        <f>2412285*1/1000</f>
        <v>2412.2849999999999</v>
      </c>
      <c r="P6" s="31">
        <f>2412285*1/1000</f>
        <v>2412.2849999999999</v>
      </c>
      <c r="Q6" s="30">
        <f>2422989*1/1000</f>
        <v>2422.989</v>
      </c>
      <c r="R6" s="30">
        <f>2575456*1/1000</f>
        <v>2575.4560000000001</v>
      </c>
      <c r="S6" s="30">
        <f>2575456*1/1000</f>
        <v>2575.4560000000001</v>
      </c>
      <c r="T6" s="31">
        <f>2568033*1/1000</f>
        <v>2568.0329999999999</v>
      </c>
      <c r="U6" s="30">
        <f>2568033*1/1000</f>
        <v>2568.0329999999999</v>
      </c>
      <c r="V6" s="30">
        <f>2568033*1/1000</f>
        <v>2568.0329999999999</v>
      </c>
      <c r="W6" s="30">
        <f>2637594*1/1000</f>
        <v>2637.5940000000001</v>
      </c>
      <c r="X6" s="31">
        <f>2602804*1/1000</f>
        <v>2602.8040000000001</v>
      </c>
      <c r="Y6" s="30">
        <f>2602804*1/1000</f>
        <v>2602.8040000000001</v>
      </c>
      <c r="Z6" s="41">
        <v>11735.5</v>
      </c>
      <c r="AA6" s="41">
        <v>11735.5</v>
      </c>
      <c r="AB6" s="33">
        <v>10585.3</v>
      </c>
      <c r="AC6" s="34">
        <v>10831.2</v>
      </c>
      <c r="AD6" s="34">
        <v>10606.4</v>
      </c>
      <c r="AE6" s="41">
        <v>10606.4</v>
      </c>
      <c r="AF6" s="35">
        <v>10606.4</v>
      </c>
      <c r="AG6" s="36">
        <v>11675.3</v>
      </c>
      <c r="AH6" s="36">
        <v>10975.2</v>
      </c>
      <c r="AI6" s="36">
        <v>10975.3</v>
      </c>
      <c r="AJ6" s="35">
        <v>10975.4</v>
      </c>
      <c r="AK6" s="36">
        <v>10975.4</v>
      </c>
      <c r="AL6" s="36">
        <v>10975.4</v>
      </c>
      <c r="AM6" s="36">
        <v>10975.4</v>
      </c>
      <c r="AN6" s="35">
        <v>11041.7</v>
      </c>
      <c r="AO6" s="37">
        <v>11060.5</v>
      </c>
      <c r="AP6" s="37">
        <v>11530</v>
      </c>
      <c r="AQ6" s="37">
        <v>11519.3</v>
      </c>
      <c r="AR6" s="35">
        <v>11309.4</v>
      </c>
      <c r="AS6" s="38">
        <v>11309.4</v>
      </c>
      <c r="AU6" s="40"/>
    </row>
    <row r="7" spans="1:47" s="39" customFormat="1" ht="20.149999999999999" customHeight="1">
      <c r="A7" s="24" t="s">
        <v>50</v>
      </c>
      <c r="B7" s="42">
        <f t="shared" si="0"/>
        <v>0</v>
      </c>
      <c r="C7" s="42">
        <f t="shared" si="0"/>
        <v>0</v>
      </c>
      <c r="D7" s="42">
        <f>(0*1/1000)</f>
        <v>0</v>
      </c>
      <c r="E7" s="42">
        <f>0*1/1000</f>
        <v>0</v>
      </c>
      <c r="F7" s="44">
        <f>(0*1/1000)</f>
        <v>0</v>
      </c>
      <c r="G7" s="42">
        <f>0*1/1000</f>
        <v>0</v>
      </c>
      <c r="H7" s="44">
        <f>0*$A$80</f>
        <v>0</v>
      </c>
      <c r="I7" s="42">
        <f>0*1/1000</f>
        <v>0</v>
      </c>
      <c r="J7" s="46">
        <f t="shared" ref="J7:Y7" si="1">0*1/1000</f>
        <v>0</v>
      </c>
      <c r="K7" s="46">
        <f t="shared" si="1"/>
        <v>0</v>
      </c>
      <c r="L7" s="47">
        <f t="shared" si="1"/>
        <v>0</v>
      </c>
      <c r="M7" s="46">
        <f t="shared" si="1"/>
        <v>0</v>
      </c>
      <c r="N7" s="46">
        <f t="shared" si="1"/>
        <v>0</v>
      </c>
      <c r="O7" s="46">
        <f t="shared" si="1"/>
        <v>0</v>
      </c>
      <c r="P7" s="47">
        <f t="shared" si="1"/>
        <v>0</v>
      </c>
      <c r="Q7" s="46">
        <f t="shared" si="1"/>
        <v>0</v>
      </c>
      <c r="R7" s="46">
        <f t="shared" si="1"/>
        <v>0</v>
      </c>
      <c r="S7" s="46">
        <f t="shared" si="1"/>
        <v>0</v>
      </c>
      <c r="T7" s="47">
        <f t="shared" si="1"/>
        <v>0</v>
      </c>
      <c r="U7" s="46">
        <f t="shared" si="1"/>
        <v>0</v>
      </c>
      <c r="V7" s="46">
        <f t="shared" si="1"/>
        <v>0</v>
      </c>
      <c r="W7" s="46">
        <f t="shared" si="1"/>
        <v>0</v>
      </c>
      <c r="X7" s="47">
        <f t="shared" si="1"/>
        <v>0</v>
      </c>
      <c r="Y7" s="46">
        <f t="shared" si="1"/>
        <v>0</v>
      </c>
      <c r="Z7" s="41">
        <v>4482</v>
      </c>
      <c r="AA7" s="41">
        <v>4331.8999999999996</v>
      </c>
      <c r="AB7" s="33">
        <v>4255.8</v>
      </c>
      <c r="AC7" s="48">
        <v>4002.2</v>
      </c>
      <c r="AD7" s="48">
        <v>3944.6</v>
      </c>
      <c r="AE7" s="41">
        <v>3791.6</v>
      </c>
      <c r="AF7" s="35">
        <v>3638.5</v>
      </c>
      <c r="AG7" s="49">
        <v>3488.7</v>
      </c>
      <c r="AH7" s="49">
        <v>3337.3</v>
      </c>
      <c r="AI7" s="49">
        <v>3184.2</v>
      </c>
      <c r="AJ7" s="35">
        <v>3031.2</v>
      </c>
      <c r="AK7" s="49">
        <v>2883.1</v>
      </c>
      <c r="AL7" s="49">
        <v>2762.8</v>
      </c>
      <c r="AM7" s="49">
        <v>2660.5</v>
      </c>
      <c r="AN7" s="35">
        <v>2557.3000000000002</v>
      </c>
      <c r="AO7" s="37">
        <v>2458.6</v>
      </c>
      <c r="AP7" s="50">
        <v>2358.6999999999998</v>
      </c>
      <c r="AQ7" s="37">
        <v>2257.6999999999998</v>
      </c>
      <c r="AR7" s="35">
        <v>2212.1999999999998</v>
      </c>
      <c r="AS7" s="38">
        <v>2111.6</v>
      </c>
      <c r="AU7" s="40"/>
    </row>
    <row r="8" spans="1:47" s="39" customFormat="1" ht="20.149999999999999" customHeight="1">
      <c r="A8" s="24" t="s">
        <v>51</v>
      </c>
      <c r="B8" s="42">
        <f t="shared" si="0"/>
        <v>0</v>
      </c>
      <c r="C8" s="42">
        <f t="shared" si="0"/>
        <v>0</v>
      </c>
      <c r="D8" s="42">
        <f>(0*1/1000)</f>
        <v>0</v>
      </c>
      <c r="E8" s="42">
        <f>0*1/1000</f>
        <v>0</v>
      </c>
      <c r="F8" s="44">
        <f>(0*1/1000)</f>
        <v>0</v>
      </c>
      <c r="G8" s="42">
        <f>0*1/1000</f>
        <v>0</v>
      </c>
      <c r="H8" s="44">
        <f>0*$A$80</f>
        <v>0</v>
      </c>
      <c r="I8" s="42">
        <f>0*1/1000</f>
        <v>0</v>
      </c>
      <c r="J8" s="29">
        <f>(450)*1/1000</f>
        <v>0.45</v>
      </c>
      <c r="K8" s="29">
        <f>375*1/1000</f>
        <v>0.375</v>
      </c>
      <c r="L8" s="51">
        <f>300*1/1000</f>
        <v>0.3</v>
      </c>
      <c r="M8" s="29">
        <f>225*1/1000</f>
        <v>0.22500000000000001</v>
      </c>
      <c r="N8" s="30">
        <f t="shared" ref="N8:S8" si="2">840000*1/1000</f>
        <v>840</v>
      </c>
      <c r="O8" s="30">
        <f t="shared" si="2"/>
        <v>840</v>
      </c>
      <c r="P8" s="31">
        <f t="shared" si="2"/>
        <v>840</v>
      </c>
      <c r="Q8" s="30">
        <f t="shared" si="2"/>
        <v>840</v>
      </c>
      <c r="R8" s="30">
        <f t="shared" si="2"/>
        <v>840</v>
      </c>
      <c r="S8" s="30">
        <f t="shared" si="2"/>
        <v>840</v>
      </c>
      <c r="T8" s="31">
        <f>847800*1/1000</f>
        <v>847.8</v>
      </c>
      <c r="U8" s="30">
        <f>847800*1/1000</f>
        <v>847.8</v>
      </c>
      <c r="V8" s="30">
        <f>847800*1/1000</f>
        <v>847.8</v>
      </c>
      <c r="W8" s="30">
        <f>847800*1/1000</f>
        <v>847.8</v>
      </c>
      <c r="X8" s="31">
        <f>890800*1/1000</f>
        <v>890.8</v>
      </c>
      <c r="Y8" s="30">
        <f>890800*1/1000</f>
        <v>890.8</v>
      </c>
      <c r="Z8" s="52">
        <v>890.8</v>
      </c>
      <c r="AA8" s="52">
        <v>890.8</v>
      </c>
      <c r="AB8" s="33">
        <v>2085.9</v>
      </c>
      <c r="AC8" s="34">
        <v>1783.7</v>
      </c>
      <c r="AD8" s="34">
        <v>2092.6999999999998</v>
      </c>
      <c r="AE8" s="52">
        <v>2086.6</v>
      </c>
      <c r="AF8" s="35">
        <v>2080.6</v>
      </c>
      <c r="AG8" s="36">
        <v>2074.6</v>
      </c>
      <c r="AH8" s="36">
        <v>2068.6</v>
      </c>
      <c r="AI8" s="36">
        <v>2062.5</v>
      </c>
      <c r="AJ8" s="35">
        <v>2056.5</v>
      </c>
      <c r="AK8" s="36">
        <v>2050.5</v>
      </c>
      <c r="AL8" s="36">
        <v>2044.4</v>
      </c>
      <c r="AM8" s="36">
        <v>2038.4</v>
      </c>
      <c r="AN8" s="35">
        <v>2037.1</v>
      </c>
      <c r="AO8" s="37">
        <v>2031</v>
      </c>
      <c r="AP8" s="37">
        <v>2024.8</v>
      </c>
      <c r="AQ8" s="37">
        <v>2019</v>
      </c>
      <c r="AR8" s="35">
        <v>2096.1</v>
      </c>
      <c r="AS8" s="38">
        <v>2087.9</v>
      </c>
      <c r="AU8" s="40"/>
    </row>
    <row r="9" spans="1:47" s="39" customFormat="1" ht="20.149999999999999" customHeight="1">
      <c r="A9" s="24" t="s">
        <v>52</v>
      </c>
      <c r="B9" s="25">
        <f>5195*1/1000</f>
        <v>5.1950000000000003</v>
      </c>
      <c r="C9" s="25">
        <f>6746*1/1000</f>
        <v>6.7460000000000004</v>
      </c>
      <c r="D9" s="25">
        <f>4395*1/1000</f>
        <v>4.3949999999999996</v>
      </c>
      <c r="E9" s="26">
        <f>11465*1/1000</f>
        <v>11.465</v>
      </c>
      <c r="F9" s="27">
        <f>13620*(1/1000)</f>
        <v>13.620000000000001</v>
      </c>
      <c r="G9" s="25">
        <f>11876*1/1000</f>
        <v>11.875999999999999</v>
      </c>
      <c r="H9" s="28">
        <f>11476*(1/1000)</f>
        <v>11.476000000000001</v>
      </c>
      <c r="I9" s="25">
        <f>14165*1/1000</f>
        <v>14.164999999999999</v>
      </c>
      <c r="J9" s="29">
        <f>19994*1/1000</f>
        <v>19.994</v>
      </c>
      <c r="K9" s="30">
        <f>20527*1/1000</f>
        <v>20.527000000000001</v>
      </c>
      <c r="L9" s="31">
        <f>22944*1/1000</f>
        <v>22.943999999999999</v>
      </c>
      <c r="M9" s="30">
        <f>21112*1/1000</f>
        <v>21.111999999999998</v>
      </c>
      <c r="N9" s="30">
        <f>47470*1/1000</f>
        <v>47.47</v>
      </c>
      <c r="O9" s="30">
        <f>47780*1/1000</f>
        <v>47.78</v>
      </c>
      <c r="P9" s="31">
        <f>54194*1/1000</f>
        <v>54.194000000000003</v>
      </c>
      <c r="Q9" s="30">
        <f>69466*1/1000</f>
        <v>69.465999999999994</v>
      </c>
      <c r="R9" s="30">
        <f>69627*1/1000</f>
        <v>69.626999999999995</v>
      </c>
      <c r="S9" s="30">
        <f>68459*1/1000</f>
        <v>68.459000000000003</v>
      </c>
      <c r="T9" s="31">
        <f>81380*1/1000</f>
        <v>81.38</v>
      </c>
      <c r="U9" s="30">
        <f>82841*1/1000</f>
        <v>82.840999999999994</v>
      </c>
      <c r="V9" s="30">
        <f>83804*1/1000</f>
        <v>83.804000000000002</v>
      </c>
      <c r="W9" s="30">
        <f>115337*1/1000</f>
        <v>115.337</v>
      </c>
      <c r="X9" s="31">
        <f>137401*1/1000</f>
        <v>137.40100000000001</v>
      </c>
      <c r="Y9" s="30">
        <f>136697*1/1000</f>
        <v>136.697</v>
      </c>
      <c r="Z9" s="41">
        <v>2360.6</v>
      </c>
      <c r="AA9" s="41">
        <v>2624.2</v>
      </c>
      <c r="AB9" s="33">
        <v>2591.4</v>
      </c>
      <c r="AC9" s="34">
        <v>2527.5</v>
      </c>
      <c r="AD9" s="34">
        <v>2525.8000000000002</v>
      </c>
      <c r="AE9" s="41">
        <v>2464.1999999999998</v>
      </c>
      <c r="AF9" s="35">
        <v>2422.1999999999998</v>
      </c>
      <c r="AG9" s="36">
        <v>2988.7</v>
      </c>
      <c r="AH9" s="36">
        <v>3903</v>
      </c>
      <c r="AI9" s="36">
        <v>3769.5</v>
      </c>
      <c r="AJ9" s="35">
        <v>3656.2</v>
      </c>
      <c r="AK9" s="36">
        <v>3540.5</v>
      </c>
      <c r="AL9" s="36">
        <v>3471.1</v>
      </c>
      <c r="AM9" s="36">
        <v>3343.6</v>
      </c>
      <c r="AN9" s="35">
        <v>3261.5</v>
      </c>
      <c r="AO9" s="37">
        <v>3146.4</v>
      </c>
      <c r="AP9" s="37">
        <v>3097.5</v>
      </c>
      <c r="AQ9" s="37">
        <v>3015.6</v>
      </c>
      <c r="AR9" s="35">
        <v>3005.5</v>
      </c>
      <c r="AS9" s="38">
        <v>2967.8</v>
      </c>
      <c r="AU9" s="40"/>
    </row>
    <row r="10" spans="1:47" s="39" customFormat="1" ht="20.149999999999999" customHeight="1">
      <c r="A10" s="24" t="s">
        <v>53</v>
      </c>
      <c r="B10" s="25"/>
      <c r="C10" s="25"/>
      <c r="D10" s="25"/>
      <c r="E10" s="26"/>
      <c r="F10" s="27"/>
      <c r="G10" s="25"/>
      <c r="H10" s="28"/>
      <c r="I10" s="25"/>
      <c r="J10" s="29"/>
      <c r="K10" s="30"/>
      <c r="L10" s="31"/>
      <c r="M10" s="30"/>
      <c r="N10" s="30"/>
      <c r="O10" s="30"/>
      <c r="P10" s="31"/>
      <c r="Q10" s="30"/>
      <c r="R10" s="30"/>
      <c r="S10" s="30"/>
      <c r="T10" s="31"/>
      <c r="U10" s="30"/>
      <c r="V10" s="30"/>
      <c r="W10" s="30"/>
      <c r="X10" s="31"/>
      <c r="Y10" s="30"/>
      <c r="Z10" s="41"/>
      <c r="AA10" s="41"/>
      <c r="AB10" s="33"/>
      <c r="AC10" s="34"/>
      <c r="AD10" s="34"/>
      <c r="AE10" s="41"/>
      <c r="AF10" s="35"/>
      <c r="AG10" s="36"/>
      <c r="AH10" s="36"/>
      <c r="AI10" s="36"/>
      <c r="AJ10" s="35"/>
      <c r="AK10" s="36"/>
      <c r="AL10" s="36"/>
      <c r="AM10" s="36"/>
      <c r="AN10" s="35"/>
      <c r="AO10" s="37"/>
      <c r="AP10" s="37"/>
      <c r="AQ10" s="37"/>
      <c r="AR10" s="35"/>
      <c r="AS10" s="38">
        <v>1482</v>
      </c>
      <c r="AU10" s="40"/>
    </row>
    <row r="11" spans="1:47" s="39" customFormat="1" ht="20.149999999999999" customHeight="1">
      <c r="A11" s="24" t="s">
        <v>54</v>
      </c>
      <c r="B11" s="42">
        <f>(0*1/1000)</f>
        <v>0</v>
      </c>
      <c r="C11" s="42">
        <f>(0*1/1000)</f>
        <v>0</v>
      </c>
      <c r="D11" s="42">
        <f>(0*1/1000)</f>
        <v>0</v>
      </c>
      <c r="E11" s="42">
        <f>0*1/1000</f>
        <v>0</v>
      </c>
      <c r="F11" s="44">
        <f>(0*1/1000)</f>
        <v>0</v>
      </c>
      <c r="G11" s="42">
        <f>0*1/1000</f>
        <v>0</v>
      </c>
      <c r="H11" s="44">
        <f>0*$A$80</f>
        <v>0</v>
      </c>
      <c r="I11" s="42">
        <f t="shared" ref="I11:M12" si="3">0*1/1000</f>
        <v>0</v>
      </c>
      <c r="J11" s="46">
        <f t="shared" si="3"/>
        <v>0</v>
      </c>
      <c r="K11" s="46">
        <f t="shared" si="3"/>
        <v>0</v>
      </c>
      <c r="L11" s="47">
        <f t="shared" si="3"/>
        <v>0</v>
      </c>
      <c r="M11" s="46">
        <f t="shared" si="3"/>
        <v>0</v>
      </c>
      <c r="N11" s="30">
        <f>114797*1/1000</f>
        <v>114.797</v>
      </c>
      <c r="O11" s="30">
        <f>129170*1/1000</f>
        <v>129.16999999999999</v>
      </c>
      <c r="P11" s="31">
        <f>131141*1/1000</f>
        <v>131.14099999999999</v>
      </c>
      <c r="Q11" s="30">
        <f>91415*1/1000</f>
        <v>91.415000000000006</v>
      </c>
      <c r="R11" s="30">
        <f>95405*1/1000</f>
        <v>95.405000000000001</v>
      </c>
      <c r="S11" s="30">
        <f>95323*1/1000</f>
        <v>95.322999999999993</v>
      </c>
      <c r="T11" s="31">
        <f>97988*1/1000</f>
        <v>97.988</v>
      </c>
      <c r="U11" s="30">
        <f>104074*1/1000</f>
        <v>104.074</v>
      </c>
      <c r="V11" s="30">
        <f>115904*1/1000</f>
        <v>115.904</v>
      </c>
      <c r="W11" s="30">
        <f>82162*1/1000</f>
        <v>82.162000000000006</v>
      </c>
      <c r="X11" s="31">
        <f>71571*1/1000</f>
        <v>71.570999999999998</v>
      </c>
      <c r="Y11" s="30">
        <f>107548*1/1000</f>
        <v>107.548</v>
      </c>
      <c r="Z11" s="52">
        <v>128.1</v>
      </c>
      <c r="AA11" s="52">
        <v>148.80000000000001</v>
      </c>
      <c r="AB11" s="33">
        <v>135.80000000000001</v>
      </c>
      <c r="AC11" s="34">
        <v>158.69999999999999</v>
      </c>
      <c r="AD11" s="34">
        <v>174.6</v>
      </c>
      <c r="AE11" s="52">
        <v>109</v>
      </c>
      <c r="AF11" s="35">
        <v>145</v>
      </c>
      <c r="AG11" s="36">
        <v>129.80000000000001</v>
      </c>
      <c r="AH11" s="36">
        <v>156.19999999999999</v>
      </c>
      <c r="AI11" s="36">
        <v>125.6</v>
      </c>
      <c r="AJ11" s="35">
        <v>151.80000000000001</v>
      </c>
      <c r="AK11" s="36">
        <v>150</v>
      </c>
      <c r="AL11" s="36">
        <v>167.3</v>
      </c>
      <c r="AM11" s="36">
        <v>180.5</v>
      </c>
      <c r="AN11" s="35">
        <v>170.1</v>
      </c>
      <c r="AO11" s="37">
        <v>170.1</v>
      </c>
      <c r="AP11" s="37">
        <v>211.1</v>
      </c>
      <c r="AQ11" s="37">
        <v>584.29999999999995</v>
      </c>
      <c r="AR11" s="35">
        <v>503.8</v>
      </c>
      <c r="AS11" s="38">
        <v>474</v>
      </c>
      <c r="AU11" s="40"/>
    </row>
    <row r="12" spans="1:47" s="39" customFormat="1" ht="20.149999999999999" customHeight="1">
      <c r="A12" s="24" t="s">
        <v>55</v>
      </c>
      <c r="B12" s="42">
        <f>(0*1/1000)</f>
        <v>0</v>
      </c>
      <c r="C12" s="42">
        <f>(0*1/1000)</f>
        <v>0</v>
      </c>
      <c r="D12" s="25">
        <f>28507*1/1000</f>
        <v>28.507000000000001</v>
      </c>
      <c r="E12" s="26">
        <f>18932*1/1000</f>
        <v>18.931999999999999</v>
      </c>
      <c r="F12" s="27">
        <f>17125*(1/1000)</f>
        <v>17.125</v>
      </c>
      <c r="G12" s="25">
        <f>16998*1/1000</f>
        <v>16.998000000000001</v>
      </c>
      <c r="H12" s="44">
        <f>0*$A$80</f>
        <v>0</v>
      </c>
      <c r="I12" s="42">
        <f t="shared" si="3"/>
        <v>0</v>
      </c>
      <c r="J12" s="46">
        <f t="shared" si="3"/>
        <v>0</v>
      </c>
      <c r="K12" s="46">
        <f t="shared" si="3"/>
        <v>0</v>
      </c>
      <c r="L12" s="47">
        <f t="shared" si="3"/>
        <v>0</v>
      </c>
      <c r="M12" s="46">
        <f t="shared" si="3"/>
        <v>0</v>
      </c>
      <c r="N12" s="30">
        <f>7658*1/1000</f>
        <v>7.6580000000000004</v>
      </c>
      <c r="O12" s="30">
        <f>7701*1/1000</f>
        <v>7.7009999999999996</v>
      </c>
      <c r="P12" s="31">
        <f>8440*1/1000</f>
        <v>8.44</v>
      </c>
      <c r="Q12" s="30">
        <f>8419*1/1000</f>
        <v>8.4190000000000005</v>
      </c>
      <c r="R12" s="30">
        <f>8398*1/1000</f>
        <v>8.3979999999999997</v>
      </c>
      <c r="S12" s="30">
        <f>8378*1/1000</f>
        <v>8.3780000000000001</v>
      </c>
      <c r="T12" s="31">
        <f>8357*1/1000</f>
        <v>8.3569999999999993</v>
      </c>
      <c r="U12" s="30">
        <f>8336*1/1000</f>
        <v>8.3360000000000003</v>
      </c>
      <c r="V12" s="30">
        <f>7788*1/1000</f>
        <v>7.7880000000000003</v>
      </c>
      <c r="W12" s="30">
        <f>7427*1/1000</f>
        <v>7.4269999999999996</v>
      </c>
      <c r="X12" s="31">
        <f>5330*1/1000</f>
        <v>5.33</v>
      </c>
      <c r="Y12" s="30">
        <f>5315*1/1000</f>
        <v>5.3150000000000004</v>
      </c>
      <c r="Z12" s="52">
        <v>5.3</v>
      </c>
      <c r="AA12" s="52">
        <v>5.3</v>
      </c>
      <c r="AB12" s="33">
        <v>5.3</v>
      </c>
      <c r="AC12" s="34">
        <v>5.2</v>
      </c>
      <c r="AD12" s="34">
        <v>5.2</v>
      </c>
      <c r="AE12" s="52">
        <v>5.2</v>
      </c>
      <c r="AF12" s="35">
        <v>5.2</v>
      </c>
      <c r="AG12" s="36">
        <v>5.2</v>
      </c>
      <c r="AH12" s="36">
        <v>5.2</v>
      </c>
      <c r="AI12" s="36">
        <v>5.2</v>
      </c>
      <c r="AJ12" s="35">
        <v>5.0999999999999996</v>
      </c>
      <c r="AK12" s="36">
        <v>5.0999999999999996</v>
      </c>
      <c r="AL12" s="36">
        <v>5.0999999999999996</v>
      </c>
      <c r="AM12" s="36">
        <v>5.0999999999999996</v>
      </c>
      <c r="AN12" s="35">
        <v>5.0999999999999996</v>
      </c>
      <c r="AO12" s="37">
        <v>5.0999999999999996</v>
      </c>
      <c r="AP12" s="37">
        <v>30</v>
      </c>
      <c r="AQ12" s="37">
        <v>29.9</v>
      </c>
      <c r="AR12" s="35">
        <v>29.9</v>
      </c>
      <c r="AS12" s="38">
        <v>29.7</v>
      </c>
      <c r="AU12" s="40"/>
    </row>
    <row r="13" spans="1:47" s="39" customFormat="1" ht="20.149999999999999" customHeight="1">
      <c r="A13" s="24" t="s">
        <v>56</v>
      </c>
      <c r="B13" s="53" t="s">
        <v>57</v>
      </c>
      <c r="C13" s="53" t="s">
        <v>57</v>
      </c>
      <c r="D13" s="53" t="s">
        <v>57</v>
      </c>
      <c r="E13" s="54" t="s">
        <v>57</v>
      </c>
      <c r="F13" s="55" t="s">
        <v>57</v>
      </c>
      <c r="G13" s="56" t="s">
        <v>57</v>
      </c>
      <c r="H13" s="57" t="s">
        <v>57</v>
      </c>
      <c r="I13" s="56" t="s">
        <v>57</v>
      </c>
      <c r="J13" s="58" t="s">
        <v>57</v>
      </c>
      <c r="K13" s="58" t="s">
        <v>57</v>
      </c>
      <c r="L13" s="59" t="s">
        <v>57</v>
      </c>
      <c r="M13" s="58" t="s">
        <v>57</v>
      </c>
      <c r="N13" s="58" t="s">
        <v>57</v>
      </c>
      <c r="O13" s="58" t="s">
        <v>57</v>
      </c>
      <c r="P13" s="31">
        <f>35028*1/1000</f>
        <v>35.027999999999999</v>
      </c>
      <c r="Q13" s="60" t="s">
        <v>57</v>
      </c>
      <c r="R13" s="30">
        <f>33259*1/1000</f>
        <v>33.259</v>
      </c>
      <c r="S13" s="30">
        <f>33252*1/1000</f>
        <v>33.252000000000002</v>
      </c>
      <c r="T13" s="31">
        <f>35125*1/1000</f>
        <v>35.125</v>
      </c>
      <c r="U13" s="30">
        <f>34399*1/1000</f>
        <v>34.399000000000001</v>
      </c>
      <c r="V13" s="30">
        <f>32935*1/1000</f>
        <v>32.935000000000002</v>
      </c>
      <c r="W13" s="30">
        <f>29318*1/1000</f>
        <v>29.318000000000001</v>
      </c>
      <c r="X13" s="31">
        <f>29551*1/1000</f>
        <v>29.550999999999998</v>
      </c>
      <c r="Y13" s="30">
        <f>26502*1/1000</f>
        <v>26.501999999999999</v>
      </c>
      <c r="Z13" s="52">
        <v>46.2</v>
      </c>
      <c r="AA13" s="52">
        <v>67</v>
      </c>
      <c r="AB13" s="33">
        <v>81</v>
      </c>
      <c r="AC13" s="34">
        <v>84.1</v>
      </c>
      <c r="AD13" s="34">
        <v>82.3</v>
      </c>
      <c r="AE13" s="52">
        <v>81.2</v>
      </c>
      <c r="AF13" s="35">
        <v>83.3</v>
      </c>
      <c r="AG13" s="36">
        <v>81.099999999999994</v>
      </c>
      <c r="AH13" s="36">
        <v>79.7</v>
      </c>
      <c r="AI13" s="36">
        <v>80.400000000000006</v>
      </c>
      <c r="AJ13" s="35">
        <v>82.8</v>
      </c>
      <c r="AK13" s="36">
        <v>83.8</v>
      </c>
      <c r="AL13" s="36">
        <v>82.9</v>
      </c>
      <c r="AM13" s="36">
        <v>85.8</v>
      </c>
      <c r="AN13" s="35">
        <v>91.4</v>
      </c>
      <c r="AO13" s="37">
        <v>90.4</v>
      </c>
      <c r="AP13" s="37">
        <v>93</v>
      </c>
      <c r="AQ13" s="37">
        <v>94.8</v>
      </c>
      <c r="AR13" s="35">
        <v>99.7</v>
      </c>
      <c r="AS13" s="38">
        <v>97.9</v>
      </c>
      <c r="AU13" s="40"/>
    </row>
    <row r="14" spans="1:47" s="39" customFormat="1" ht="20.149999999999999" customHeight="1">
      <c r="A14" s="24" t="s">
        <v>58</v>
      </c>
      <c r="B14" s="61">
        <v>0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3">
        <v>0</v>
      </c>
      <c r="I14" s="61">
        <v>0</v>
      </c>
      <c r="J14" s="63">
        <v>0</v>
      </c>
      <c r="K14" s="63">
        <v>0</v>
      </c>
      <c r="L14" s="61">
        <v>0</v>
      </c>
      <c r="M14" s="63">
        <v>0</v>
      </c>
      <c r="N14" s="63">
        <v>0</v>
      </c>
      <c r="O14" s="63">
        <v>0</v>
      </c>
      <c r="P14" s="35">
        <v>0</v>
      </c>
      <c r="Q14" s="62">
        <v>0</v>
      </c>
      <c r="R14" s="36">
        <v>0</v>
      </c>
      <c r="S14" s="36">
        <v>0</v>
      </c>
      <c r="T14" s="35">
        <v>0</v>
      </c>
      <c r="U14" s="36">
        <v>0</v>
      </c>
      <c r="V14" s="36">
        <v>0</v>
      </c>
      <c r="W14" s="36">
        <v>0</v>
      </c>
      <c r="X14" s="35">
        <v>0</v>
      </c>
      <c r="Y14" s="36">
        <v>0</v>
      </c>
      <c r="Z14" s="64">
        <v>0</v>
      </c>
      <c r="AA14" s="64">
        <v>0</v>
      </c>
      <c r="AB14" s="35">
        <v>0</v>
      </c>
      <c r="AC14" s="36">
        <v>0</v>
      </c>
      <c r="AD14" s="36">
        <v>0</v>
      </c>
      <c r="AE14" s="64">
        <v>0</v>
      </c>
      <c r="AF14" s="35">
        <v>0</v>
      </c>
      <c r="AG14" s="36">
        <v>180.5</v>
      </c>
      <c r="AH14" s="36">
        <v>0</v>
      </c>
      <c r="AI14" s="36">
        <v>0</v>
      </c>
      <c r="AJ14" s="35">
        <v>0</v>
      </c>
      <c r="AK14" s="36">
        <v>0</v>
      </c>
      <c r="AL14" s="36">
        <v>0</v>
      </c>
      <c r="AM14" s="36">
        <v>0</v>
      </c>
      <c r="AN14" s="35">
        <v>0</v>
      </c>
      <c r="AO14" s="37">
        <v>0</v>
      </c>
      <c r="AP14" s="37">
        <v>0</v>
      </c>
      <c r="AQ14" s="37">
        <v>0</v>
      </c>
      <c r="AR14" s="35">
        <v>0</v>
      </c>
      <c r="AS14" s="38">
        <v>0</v>
      </c>
      <c r="AU14" s="40"/>
    </row>
    <row r="15" spans="1:47" s="39" customFormat="1" ht="20.149999999999999" customHeight="1">
      <c r="A15" s="24" t="s">
        <v>59</v>
      </c>
      <c r="B15" s="25">
        <f>4365*1/1000</f>
        <v>4.3650000000000002</v>
      </c>
      <c r="C15" s="25">
        <f>4280*1/1000</f>
        <v>4.28</v>
      </c>
      <c r="D15" s="25">
        <f>12877*1/1000</f>
        <v>12.877000000000001</v>
      </c>
      <c r="E15" s="26">
        <f>30956*1/1000</f>
        <v>30.956</v>
      </c>
      <c r="F15" s="27">
        <f>23254*(1/1000)</f>
        <v>23.254000000000001</v>
      </c>
      <c r="G15" s="25">
        <f>24264*1/1000</f>
        <v>24.263999999999999</v>
      </c>
      <c r="H15" s="28">
        <f>19356*(1/1000)</f>
        <v>19.356000000000002</v>
      </c>
      <c r="I15" s="25">
        <f>55870*1/1000</f>
        <v>55.87</v>
      </c>
      <c r="J15" s="29">
        <f>30317*1/1000</f>
        <v>30.317</v>
      </c>
      <c r="K15" s="30">
        <f>35367*1/1000</f>
        <v>35.366999999999997</v>
      </c>
      <c r="L15" s="31">
        <f>37544*1/1000</f>
        <v>37.543999999999997</v>
      </c>
      <c r="M15" s="30">
        <f>35135*1/1000</f>
        <v>35.134999999999998</v>
      </c>
      <c r="N15" s="30">
        <f>46322*1/1000</f>
        <v>46.322000000000003</v>
      </c>
      <c r="O15" s="30">
        <f>53686*1/1000</f>
        <v>53.686</v>
      </c>
      <c r="P15" s="31">
        <f>69447*1/1000</f>
        <v>69.447000000000003</v>
      </c>
      <c r="Q15" s="30">
        <f>92159*1/1000</f>
        <v>92.159000000000006</v>
      </c>
      <c r="R15" s="30">
        <f>84770*1/1000</f>
        <v>84.77</v>
      </c>
      <c r="S15" s="30">
        <f>116704*1/1000</f>
        <v>116.70399999999999</v>
      </c>
      <c r="T15" s="31">
        <f>109642*1/1000</f>
        <v>109.642</v>
      </c>
      <c r="U15" s="30">
        <f>62960*1/1000</f>
        <v>62.96</v>
      </c>
      <c r="V15" s="30">
        <f>61422*1/1000</f>
        <v>61.421999999999997</v>
      </c>
      <c r="W15" s="30">
        <f>27107*1/1000</f>
        <v>27.106999999999999</v>
      </c>
      <c r="X15" s="31">
        <f>20803*1/1000</f>
        <v>20.803000000000001</v>
      </c>
      <c r="Y15" s="30">
        <f>6430*1/1000</f>
        <v>6.43</v>
      </c>
      <c r="Z15" s="52">
        <v>107.4</v>
      </c>
      <c r="AA15" s="52">
        <v>141.4</v>
      </c>
      <c r="AB15" s="33">
        <v>198.5</v>
      </c>
      <c r="AC15" s="34">
        <v>238</v>
      </c>
      <c r="AD15" s="34">
        <v>232.8</v>
      </c>
      <c r="AE15" s="52">
        <v>232.7</v>
      </c>
      <c r="AF15" s="35">
        <v>272.8</v>
      </c>
      <c r="AG15" s="36">
        <v>295.39999999999998</v>
      </c>
      <c r="AH15" s="36">
        <v>331.8</v>
      </c>
      <c r="AI15" s="36">
        <v>373.3</v>
      </c>
      <c r="AJ15" s="35">
        <v>452</v>
      </c>
      <c r="AK15" s="36">
        <v>476.3</v>
      </c>
      <c r="AL15" s="36">
        <v>508.1</v>
      </c>
      <c r="AM15" s="36">
        <v>544.20000000000005</v>
      </c>
      <c r="AN15" s="35">
        <v>1270.7</v>
      </c>
      <c r="AO15" s="37">
        <v>1280.5999999999999</v>
      </c>
      <c r="AP15" s="37">
        <v>649.29999999999995</v>
      </c>
      <c r="AQ15" s="37">
        <v>647.9</v>
      </c>
      <c r="AR15" s="35">
        <v>701.1</v>
      </c>
      <c r="AS15" s="38">
        <v>714.5</v>
      </c>
      <c r="AU15" s="40"/>
    </row>
    <row r="16" spans="1:47" s="39" customFormat="1" ht="26">
      <c r="A16" s="66" t="s">
        <v>60</v>
      </c>
      <c r="B16" s="25"/>
      <c r="C16" s="25"/>
      <c r="D16" s="25"/>
      <c r="E16" s="26"/>
      <c r="F16" s="27"/>
      <c r="G16" s="25"/>
      <c r="H16" s="28"/>
      <c r="I16" s="25"/>
      <c r="J16" s="29"/>
      <c r="K16" s="30"/>
      <c r="L16" s="31"/>
      <c r="M16" s="30"/>
      <c r="N16" s="30"/>
      <c r="O16" s="30"/>
      <c r="P16" s="31"/>
      <c r="Q16" s="30"/>
      <c r="R16" s="30"/>
      <c r="S16" s="30"/>
      <c r="T16" s="31"/>
      <c r="U16" s="30"/>
      <c r="V16" s="30"/>
      <c r="W16" s="30"/>
      <c r="X16" s="31"/>
      <c r="Y16" s="30"/>
      <c r="Z16" s="52"/>
      <c r="AA16" s="52"/>
      <c r="AB16" s="33"/>
      <c r="AC16" s="34"/>
      <c r="AD16" s="34"/>
      <c r="AE16" s="52"/>
      <c r="AF16" s="35"/>
      <c r="AG16" s="36"/>
      <c r="AH16" s="36"/>
      <c r="AI16" s="36"/>
      <c r="AJ16" s="35">
        <v>0</v>
      </c>
      <c r="AK16" s="36"/>
      <c r="AL16" s="36"/>
      <c r="AM16" s="36"/>
      <c r="AN16" s="67">
        <v>665.2</v>
      </c>
      <c r="AO16" s="68">
        <v>681.2</v>
      </c>
      <c r="AP16" s="68">
        <v>40.4</v>
      </c>
      <c r="AQ16" s="68">
        <v>36.9</v>
      </c>
      <c r="AR16" s="67">
        <v>43</v>
      </c>
      <c r="AS16" s="69">
        <v>41.3</v>
      </c>
      <c r="AU16" s="40"/>
    </row>
    <row r="17" spans="1:47" s="78" customFormat="1" ht="20.149999999999999" customHeight="1">
      <c r="A17" s="65" t="s">
        <v>61</v>
      </c>
      <c r="B17" s="70">
        <v>0</v>
      </c>
      <c r="C17" s="70">
        <v>0</v>
      </c>
      <c r="D17" s="70">
        <v>0</v>
      </c>
      <c r="E17" s="71">
        <v>0</v>
      </c>
      <c r="F17" s="72">
        <v>0</v>
      </c>
      <c r="G17" s="70">
        <v>0</v>
      </c>
      <c r="H17" s="73">
        <v>0</v>
      </c>
      <c r="I17" s="70">
        <v>0</v>
      </c>
      <c r="J17" s="73">
        <v>0</v>
      </c>
      <c r="K17" s="74">
        <v>0</v>
      </c>
      <c r="L17" s="67">
        <v>0</v>
      </c>
      <c r="M17" s="74">
        <v>0</v>
      </c>
      <c r="N17" s="74">
        <v>0</v>
      </c>
      <c r="O17" s="74">
        <v>0</v>
      </c>
      <c r="P17" s="67">
        <v>0</v>
      </c>
      <c r="Q17" s="74">
        <v>0</v>
      </c>
      <c r="R17" s="74">
        <v>0</v>
      </c>
      <c r="S17" s="74">
        <v>0</v>
      </c>
      <c r="T17" s="67">
        <v>0</v>
      </c>
      <c r="U17" s="74">
        <v>0</v>
      </c>
      <c r="V17" s="74">
        <v>0</v>
      </c>
      <c r="W17" s="74">
        <v>0</v>
      </c>
      <c r="X17" s="67">
        <v>0</v>
      </c>
      <c r="Y17" s="74">
        <v>0</v>
      </c>
      <c r="Z17" s="75">
        <v>0</v>
      </c>
      <c r="AA17" s="75">
        <v>0</v>
      </c>
      <c r="AB17" s="76">
        <v>1.2</v>
      </c>
      <c r="AC17" s="77">
        <v>0</v>
      </c>
      <c r="AD17" s="77">
        <v>0</v>
      </c>
      <c r="AE17" s="77">
        <v>0</v>
      </c>
      <c r="AF17" s="67">
        <v>6.9</v>
      </c>
      <c r="AG17" s="74">
        <v>0.6</v>
      </c>
      <c r="AH17" s="74">
        <v>0</v>
      </c>
      <c r="AI17" s="74">
        <v>3.5</v>
      </c>
      <c r="AJ17" s="67">
        <v>9.5</v>
      </c>
      <c r="AK17" s="74">
        <v>7.8</v>
      </c>
      <c r="AL17" s="74">
        <v>4.9000000000000004</v>
      </c>
      <c r="AM17" s="74">
        <v>2.5</v>
      </c>
      <c r="AN17" s="67">
        <v>1.9</v>
      </c>
      <c r="AO17" s="68">
        <v>0.1</v>
      </c>
      <c r="AP17" s="68">
        <v>1.4</v>
      </c>
      <c r="AQ17" s="68">
        <v>2.7</v>
      </c>
      <c r="AR17" s="67">
        <v>0</v>
      </c>
      <c r="AS17" s="69">
        <v>0</v>
      </c>
      <c r="AU17" s="40"/>
    </row>
    <row r="18" spans="1:47" s="39" customFormat="1" ht="20.149999999999999" customHeight="1" thickBot="1">
      <c r="A18" s="24" t="s">
        <v>62</v>
      </c>
      <c r="B18" s="25">
        <f>24710*1/1000</f>
        <v>24.71</v>
      </c>
      <c r="C18" s="25">
        <f>18579*1/1000</f>
        <v>18.579000000000001</v>
      </c>
      <c r="D18" s="25">
        <f>3520*1/1000</f>
        <v>3.52</v>
      </c>
      <c r="E18" s="26">
        <f>4134*1/1000</f>
        <v>4.1340000000000003</v>
      </c>
      <c r="F18" s="27">
        <f>(899*1/1000)</f>
        <v>0.89900000000000002</v>
      </c>
      <c r="G18" s="25">
        <f>1223*1/1000</f>
        <v>1.2230000000000001</v>
      </c>
      <c r="H18" s="28">
        <f>1762*(1/1000)</f>
        <v>1.762</v>
      </c>
      <c r="I18" s="25">
        <f>2190*1/1000</f>
        <v>2.19</v>
      </c>
      <c r="J18" s="29">
        <f>3312*1/1000</f>
        <v>3.3119999999999998</v>
      </c>
      <c r="K18" s="30">
        <f>5185*1/1000</f>
        <v>5.1849999999999996</v>
      </c>
      <c r="L18" s="31">
        <f>4158*1/1000</f>
        <v>4.1580000000000004</v>
      </c>
      <c r="M18" s="30">
        <f>5063*1/1000</f>
        <v>5.0629999999999997</v>
      </c>
      <c r="N18" s="30">
        <f>22612*1/1000</f>
        <v>22.611999999999998</v>
      </c>
      <c r="O18" s="30">
        <f>15663*1/1000</f>
        <v>15.663</v>
      </c>
      <c r="P18" s="31">
        <f>55726*1/1000</f>
        <v>55.725999999999999</v>
      </c>
      <c r="Q18" s="30">
        <f>30500*1/1000</f>
        <v>30.5</v>
      </c>
      <c r="R18" s="30">
        <f>40245*1/1000</f>
        <v>40.244999999999997</v>
      </c>
      <c r="S18" s="30">
        <f>37018*1/1000</f>
        <v>37.018000000000001</v>
      </c>
      <c r="T18" s="31">
        <f>31356*1/1000</f>
        <v>31.356000000000002</v>
      </c>
      <c r="U18" s="30">
        <f>30260*1/1000</f>
        <v>30.26</v>
      </c>
      <c r="V18" s="30">
        <f>27326*1/1000</f>
        <v>27.326000000000001</v>
      </c>
      <c r="W18" s="30">
        <f>27552*1/1000</f>
        <v>27.552</v>
      </c>
      <c r="X18" s="31">
        <f>38854*1/1000</f>
        <v>38.853999999999999</v>
      </c>
      <c r="Y18" s="30">
        <f>34685*1/1000</f>
        <v>34.685000000000002</v>
      </c>
      <c r="Z18" s="52">
        <v>240.5</v>
      </c>
      <c r="AA18" s="52">
        <v>285.7</v>
      </c>
      <c r="AB18" s="33">
        <v>281.10000000000002</v>
      </c>
      <c r="AC18" s="34">
        <v>229</v>
      </c>
      <c r="AD18" s="34">
        <v>260.89999999999998</v>
      </c>
      <c r="AE18" s="52">
        <v>107.2</v>
      </c>
      <c r="AF18" s="35">
        <v>87.6</v>
      </c>
      <c r="AG18" s="36">
        <v>211.3</v>
      </c>
      <c r="AH18" s="36">
        <v>236.5</v>
      </c>
      <c r="AI18" s="36">
        <v>238.4</v>
      </c>
      <c r="AJ18" s="35">
        <v>232.7</v>
      </c>
      <c r="AK18" s="36">
        <v>249.3</v>
      </c>
      <c r="AL18" s="36">
        <v>199.9</v>
      </c>
      <c r="AM18" s="36">
        <v>192.1</v>
      </c>
      <c r="AN18" s="35">
        <v>197.2</v>
      </c>
      <c r="AO18" s="37">
        <v>178.4</v>
      </c>
      <c r="AP18" s="79">
        <v>216</v>
      </c>
      <c r="AQ18" s="37">
        <v>213</v>
      </c>
      <c r="AR18" s="35">
        <v>259.7</v>
      </c>
      <c r="AS18" s="38">
        <v>258.2</v>
      </c>
      <c r="AU18" s="40"/>
    </row>
    <row r="19" spans="1:47" s="83" customFormat="1" ht="20.149999999999999" customHeight="1" thickBot="1">
      <c r="A19" s="80" t="s">
        <v>63</v>
      </c>
      <c r="B19" s="81">
        <f t="shared" ref="B19:AA19" si="4">(SUM(B4:B18))-B17-B16</f>
        <v>153.14300000000003</v>
      </c>
      <c r="C19" s="81">
        <f t="shared" si="4"/>
        <v>87.966000000000008</v>
      </c>
      <c r="D19" s="81">
        <f t="shared" si="4"/>
        <v>103.009</v>
      </c>
      <c r="E19" s="81">
        <f t="shared" si="4"/>
        <v>163.36199999999997</v>
      </c>
      <c r="F19" s="81">
        <f t="shared" si="4"/>
        <v>162.60599999999999</v>
      </c>
      <c r="G19" s="81">
        <f t="shared" si="4"/>
        <v>201.11600000000001</v>
      </c>
      <c r="H19" s="81">
        <f t="shared" si="4"/>
        <v>223.12099999999998</v>
      </c>
      <c r="I19" s="81">
        <f t="shared" si="4"/>
        <v>340.91</v>
      </c>
      <c r="J19" s="81">
        <f t="shared" si="4"/>
        <v>446.52600000000007</v>
      </c>
      <c r="K19" s="81">
        <f t="shared" si="4"/>
        <v>483.25</v>
      </c>
      <c r="L19" s="81">
        <f t="shared" si="4"/>
        <v>545.22400000000005</v>
      </c>
      <c r="M19" s="81">
        <f t="shared" si="4"/>
        <v>586.54700000000003</v>
      </c>
      <c r="N19" s="81">
        <f t="shared" si="4"/>
        <v>4123.1669999999995</v>
      </c>
      <c r="O19" s="81">
        <f t="shared" si="4"/>
        <v>4157.5929999999998</v>
      </c>
      <c r="P19" s="81">
        <f t="shared" si="4"/>
        <v>4278.1479999999992</v>
      </c>
      <c r="Q19" s="81">
        <f t="shared" si="4"/>
        <v>4228.9560000000001</v>
      </c>
      <c r="R19" s="81">
        <f t="shared" si="4"/>
        <v>4425.1450000000004</v>
      </c>
      <c r="S19" s="81">
        <f t="shared" si="4"/>
        <v>4456.701</v>
      </c>
      <c r="T19" s="81">
        <f t="shared" si="4"/>
        <v>4476.1480000000001</v>
      </c>
      <c r="U19" s="81">
        <f t="shared" si="4"/>
        <v>4424.8490000000011</v>
      </c>
      <c r="V19" s="81">
        <f t="shared" si="4"/>
        <v>4428.5439999999999</v>
      </c>
      <c r="W19" s="81">
        <f t="shared" si="4"/>
        <v>4436.0960000000005</v>
      </c>
      <c r="X19" s="81">
        <f t="shared" si="4"/>
        <v>4455.8450000000003</v>
      </c>
      <c r="Y19" s="81">
        <f t="shared" si="4"/>
        <v>4454.3520000000008</v>
      </c>
      <c r="Z19" s="81">
        <f t="shared" si="4"/>
        <v>23391.8</v>
      </c>
      <c r="AA19" s="81">
        <f t="shared" si="4"/>
        <v>23581.399999999998</v>
      </c>
      <c r="AB19" s="81">
        <f>SUM(AB4:AB15,AB18)</f>
        <v>23356.1</v>
      </c>
      <c r="AC19" s="81">
        <f t="shared" ref="AC19:AR19" si="5">SUM(AC4:AC15,AC18)</f>
        <v>23132</v>
      </c>
      <c r="AD19" s="81">
        <f t="shared" si="5"/>
        <v>22867.599999999999</v>
      </c>
      <c r="AE19" s="81">
        <f t="shared" si="5"/>
        <v>22396.3</v>
      </c>
      <c r="AF19" s="81">
        <f t="shared" si="5"/>
        <v>22261.199999999997</v>
      </c>
      <c r="AG19" s="81">
        <f t="shared" si="5"/>
        <v>24489.499999999996</v>
      </c>
      <c r="AH19" s="81">
        <f t="shared" si="5"/>
        <v>24377.8</v>
      </c>
      <c r="AI19" s="81">
        <f t="shared" si="5"/>
        <v>24047.600000000002</v>
      </c>
      <c r="AJ19" s="81">
        <f t="shared" si="5"/>
        <v>23958.899999999998</v>
      </c>
      <c r="AK19" s="81">
        <f t="shared" si="5"/>
        <v>23642.099999999995</v>
      </c>
      <c r="AL19" s="81">
        <f t="shared" si="5"/>
        <v>23454.6</v>
      </c>
      <c r="AM19" s="81">
        <f t="shared" si="5"/>
        <v>23215.999999999996</v>
      </c>
      <c r="AN19" s="81">
        <f t="shared" si="5"/>
        <v>23824.5</v>
      </c>
      <c r="AO19" s="81">
        <f t="shared" si="5"/>
        <v>23530.6</v>
      </c>
      <c r="AP19" s="81">
        <f t="shared" si="5"/>
        <v>24924.399999999998</v>
      </c>
      <c r="AQ19" s="81">
        <f t="shared" si="5"/>
        <v>25095.3</v>
      </c>
      <c r="AR19" s="81">
        <f t="shared" si="5"/>
        <v>25274.1</v>
      </c>
      <c r="AS19" s="82">
        <f>SUM(AS4:AS15,AS18)</f>
        <v>26511.500000000004</v>
      </c>
      <c r="AU19" s="40"/>
    </row>
    <row r="20" spans="1:47" s="83" customFormat="1" ht="20.149999999999999" customHeight="1">
      <c r="A20" s="24" t="s">
        <v>64</v>
      </c>
      <c r="B20" s="42">
        <f>0*1/1000</f>
        <v>0</v>
      </c>
      <c r="C20" s="42">
        <f>(0*1/1000)*1/1000</f>
        <v>0</v>
      </c>
      <c r="D20" s="42">
        <f>0*1/1000</f>
        <v>0</v>
      </c>
      <c r="E20" s="42">
        <f>0*1/1000</f>
        <v>0</v>
      </c>
      <c r="F20" s="44">
        <f>(0*1/1000)</f>
        <v>0</v>
      </c>
      <c r="G20" s="42">
        <f>0*1/1000</f>
        <v>0</v>
      </c>
      <c r="H20" s="44">
        <f>0*$A$80</f>
        <v>0</v>
      </c>
      <c r="I20" s="42">
        <f>0*1/1000</f>
        <v>0</v>
      </c>
      <c r="J20" s="46">
        <f>0*1/1000</f>
        <v>0</v>
      </c>
      <c r="K20" s="46">
        <f>0*1/1000</f>
        <v>0</v>
      </c>
      <c r="L20" s="47">
        <f>0*1/1000</f>
        <v>0</v>
      </c>
      <c r="M20" s="46">
        <f>0*1/1000</f>
        <v>0</v>
      </c>
      <c r="N20" s="30">
        <f>172701*1/1000</f>
        <v>172.70099999999999</v>
      </c>
      <c r="O20" s="30">
        <f>195354*1/1000</f>
        <v>195.35400000000001</v>
      </c>
      <c r="P20" s="31">
        <f>137429*1/1000</f>
        <v>137.429</v>
      </c>
      <c r="Q20" s="30">
        <f>176114*1/1000</f>
        <v>176.114</v>
      </c>
      <c r="R20" s="30">
        <f>167251*1/1000</f>
        <v>167.251</v>
      </c>
      <c r="S20" s="30">
        <f>171461*1/1000</f>
        <v>171.46100000000001</v>
      </c>
      <c r="T20" s="31">
        <f>141652*1/1000</f>
        <v>141.65199999999999</v>
      </c>
      <c r="U20" s="30">
        <f>155399*1/1000</f>
        <v>155.399</v>
      </c>
      <c r="V20" s="30">
        <f>170743*1/1000</f>
        <v>170.74299999999999</v>
      </c>
      <c r="W20" s="30">
        <f>208533*1/1000</f>
        <v>208.53299999999999</v>
      </c>
      <c r="X20" s="31">
        <f>181341*1/1000</f>
        <v>181.34100000000001</v>
      </c>
      <c r="Y20" s="30">
        <f>228936*1/1000</f>
        <v>228.93600000000001</v>
      </c>
      <c r="Z20" s="52">
        <v>199.1</v>
      </c>
      <c r="AA20" s="52">
        <v>172.6</v>
      </c>
      <c r="AB20" s="33">
        <v>152.1</v>
      </c>
      <c r="AC20" s="34">
        <v>163.1</v>
      </c>
      <c r="AD20" s="34">
        <v>170.4</v>
      </c>
      <c r="AE20" s="52">
        <v>255.6</v>
      </c>
      <c r="AF20" s="35">
        <v>192.2</v>
      </c>
      <c r="AG20" s="36">
        <v>234.7</v>
      </c>
      <c r="AH20" s="36">
        <v>163.5</v>
      </c>
      <c r="AI20" s="36">
        <v>219.1</v>
      </c>
      <c r="AJ20" s="35">
        <v>192</v>
      </c>
      <c r="AK20" s="36">
        <v>179.8</v>
      </c>
      <c r="AL20" s="36">
        <v>214.3</v>
      </c>
      <c r="AM20" s="36">
        <v>243.6</v>
      </c>
      <c r="AN20" s="35">
        <v>251.7</v>
      </c>
      <c r="AO20" s="84">
        <v>256.60000000000002</v>
      </c>
      <c r="AP20" s="84">
        <v>353.2</v>
      </c>
      <c r="AQ20" s="84">
        <v>544.5</v>
      </c>
      <c r="AR20" s="35">
        <v>543.20000000000005</v>
      </c>
      <c r="AS20" s="85">
        <v>539.79999999999995</v>
      </c>
      <c r="AU20" s="40"/>
    </row>
    <row r="21" spans="1:47" s="83" customFormat="1" ht="20.149999999999999" customHeight="1">
      <c r="A21" s="86" t="s">
        <v>65</v>
      </c>
      <c r="B21" s="42"/>
      <c r="C21" s="42"/>
      <c r="D21" s="42"/>
      <c r="E21" s="42"/>
      <c r="F21" s="44"/>
      <c r="G21" s="42"/>
      <c r="H21" s="44"/>
      <c r="I21" s="42"/>
      <c r="J21" s="46"/>
      <c r="K21" s="46"/>
      <c r="L21" s="47"/>
      <c r="M21" s="46"/>
      <c r="N21" s="30"/>
      <c r="O21" s="30"/>
      <c r="P21" s="31"/>
      <c r="Q21" s="30"/>
      <c r="R21" s="30"/>
      <c r="S21" s="30"/>
      <c r="T21" s="31"/>
      <c r="U21" s="30"/>
      <c r="V21" s="30"/>
      <c r="W21" s="30"/>
      <c r="X21" s="31"/>
      <c r="Y21" s="30"/>
      <c r="Z21" s="52"/>
      <c r="AA21" s="52"/>
      <c r="AB21" s="33"/>
      <c r="AC21" s="34"/>
      <c r="AD21" s="34"/>
      <c r="AE21" s="52"/>
      <c r="AF21" s="35"/>
      <c r="AG21" s="36"/>
      <c r="AH21" s="36"/>
      <c r="AI21" s="36"/>
      <c r="AJ21" s="35"/>
      <c r="AK21" s="36"/>
      <c r="AL21" s="36"/>
      <c r="AM21" s="36"/>
      <c r="AN21" s="35"/>
      <c r="AO21" s="37">
        <v>680.8</v>
      </c>
      <c r="AP21" s="37">
        <v>681.5</v>
      </c>
      <c r="AQ21" s="37">
        <v>655.20000000000005</v>
      </c>
      <c r="AR21" s="35">
        <v>648.4</v>
      </c>
      <c r="AS21" s="38">
        <v>657.6</v>
      </c>
      <c r="AU21" s="40"/>
    </row>
    <row r="22" spans="1:47" s="39" customFormat="1" ht="20.149999999999999" customHeight="1">
      <c r="A22" s="24" t="s">
        <v>66</v>
      </c>
      <c r="B22" s="25">
        <f>21377*1/1000</f>
        <v>21.376999999999999</v>
      </c>
      <c r="C22" s="25">
        <f>30388*1/1000</f>
        <v>30.388000000000002</v>
      </c>
      <c r="D22" s="87">
        <f>58009*1/1000</f>
        <v>58.009</v>
      </c>
      <c r="E22" s="26">
        <f>130009*1/1000</f>
        <v>130.00899999999999</v>
      </c>
      <c r="F22" s="27">
        <f>147115*(1/1000)</f>
        <v>147.11500000000001</v>
      </c>
      <c r="G22" s="25">
        <f>94999*1/1000</f>
        <v>94.998999999999995</v>
      </c>
      <c r="H22" s="28">
        <f>167337*1/1000</f>
        <v>167.33699999999999</v>
      </c>
      <c r="I22" s="25">
        <f>122091*1/1000</f>
        <v>122.09099999999999</v>
      </c>
      <c r="J22" s="29">
        <f>142012*1/1000</f>
        <v>142.012</v>
      </c>
      <c r="K22" s="30">
        <f>167255*1/1000</f>
        <v>167.255</v>
      </c>
      <c r="L22" s="31">
        <f>173154*1/1000</f>
        <v>173.154</v>
      </c>
      <c r="M22" s="30">
        <f>155959*1/1000</f>
        <v>155.959</v>
      </c>
      <c r="N22" s="30">
        <f>159831*1/1000</f>
        <v>159.83099999999999</v>
      </c>
      <c r="O22" s="30">
        <f>167258*1/1000</f>
        <v>167.25800000000001</v>
      </c>
      <c r="P22" s="31">
        <f>178127*1/1000</f>
        <v>178.12700000000001</v>
      </c>
      <c r="Q22" s="30">
        <f>185376*1/1000</f>
        <v>185.376</v>
      </c>
      <c r="R22" s="30">
        <f>185528*1/1000</f>
        <v>185.52799999999999</v>
      </c>
      <c r="S22" s="30">
        <f>177054*1/1000</f>
        <v>177.054</v>
      </c>
      <c r="T22" s="31">
        <f>161974*1/1000</f>
        <v>161.97399999999999</v>
      </c>
      <c r="U22" s="30">
        <f>150701*1/1000</f>
        <v>150.70099999999999</v>
      </c>
      <c r="V22" s="30">
        <f>157445*1/1000</f>
        <v>157.44499999999999</v>
      </c>
      <c r="W22" s="30">
        <f>155698*1/1000</f>
        <v>155.69800000000001</v>
      </c>
      <c r="X22" s="31">
        <f>146771*1/1000</f>
        <v>146.77099999999999</v>
      </c>
      <c r="Y22" s="30">
        <f>163072*1/1000</f>
        <v>163.072</v>
      </c>
      <c r="Z22" s="41">
        <v>343.8</v>
      </c>
      <c r="AA22" s="41">
        <v>316.60000000000002</v>
      </c>
      <c r="AB22" s="33">
        <v>301.39999999999998</v>
      </c>
      <c r="AC22" s="34">
        <v>252.9</v>
      </c>
      <c r="AD22" s="34">
        <v>261.7</v>
      </c>
      <c r="AE22" s="41">
        <v>264.10000000000002</v>
      </c>
      <c r="AF22" s="35">
        <v>281</v>
      </c>
      <c r="AG22" s="36">
        <v>260.2</v>
      </c>
      <c r="AH22" s="36">
        <v>270</v>
      </c>
      <c r="AI22" s="36">
        <v>281</v>
      </c>
      <c r="AJ22" s="35">
        <v>278.7</v>
      </c>
      <c r="AK22" s="36">
        <v>237.2</v>
      </c>
      <c r="AL22" s="36">
        <v>279</v>
      </c>
      <c r="AM22" s="36">
        <v>295.60000000000002</v>
      </c>
      <c r="AN22" s="35">
        <v>283.7</v>
      </c>
      <c r="AO22" s="50">
        <v>305.3</v>
      </c>
      <c r="AP22" s="37">
        <v>362.1</v>
      </c>
      <c r="AQ22" s="37">
        <v>387.6</v>
      </c>
      <c r="AR22" s="35">
        <v>394</v>
      </c>
      <c r="AS22" s="88">
        <v>333.7</v>
      </c>
      <c r="AU22" s="40"/>
    </row>
    <row r="23" spans="1:47" s="39" customFormat="1" ht="20.149999999999999" customHeight="1">
      <c r="A23" s="24" t="s">
        <v>67</v>
      </c>
      <c r="B23" s="42">
        <f>0*1/1000</f>
        <v>0</v>
      </c>
      <c r="C23" s="89">
        <f>(0*1/1000)</f>
        <v>0</v>
      </c>
      <c r="D23" s="42">
        <f>0*1/1000</f>
        <v>0</v>
      </c>
      <c r="E23" s="42">
        <f>0*1/1000</f>
        <v>0</v>
      </c>
      <c r="F23" s="44">
        <f>(0*1/1000)</f>
        <v>0</v>
      </c>
      <c r="G23" s="42">
        <f>0*1/1000</f>
        <v>0</v>
      </c>
      <c r="H23" s="44">
        <f>0*$A$80</f>
        <v>0</v>
      </c>
      <c r="I23" s="42">
        <f t="shared" ref="I23:P24" si="6">0*1/1000</f>
        <v>0</v>
      </c>
      <c r="J23" s="46">
        <f t="shared" si="6"/>
        <v>0</v>
      </c>
      <c r="K23" s="46">
        <f t="shared" si="6"/>
        <v>0</v>
      </c>
      <c r="L23" s="47">
        <f t="shared" si="6"/>
        <v>0</v>
      </c>
      <c r="M23" s="46">
        <f t="shared" si="6"/>
        <v>0</v>
      </c>
      <c r="N23" s="46">
        <f t="shared" si="6"/>
        <v>0</v>
      </c>
      <c r="O23" s="46">
        <f t="shared" si="6"/>
        <v>0</v>
      </c>
      <c r="P23" s="47">
        <f t="shared" si="6"/>
        <v>0</v>
      </c>
      <c r="Q23" s="30">
        <f>1102*1/1000</f>
        <v>1.1020000000000001</v>
      </c>
      <c r="R23" s="46">
        <f t="shared" ref="R23:Y24" si="7">0*1/1000</f>
        <v>0</v>
      </c>
      <c r="S23" s="46">
        <f t="shared" si="7"/>
        <v>0</v>
      </c>
      <c r="T23" s="47">
        <f t="shared" si="7"/>
        <v>0</v>
      </c>
      <c r="U23" s="46">
        <f t="shared" si="7"/>
        <v>0</v>
      </c>
      <c r="V23" s="46">
        <f t="shared" si="7"/>
        <v>0</v>
      </c>
      <c r="W23" s="46">
        <f t="shared" si="7"/>
        <v>0</v>
      </c>
      <c r="X23" s="47">
        <f t="shared" si="7"/>
        <v>0</v>
      </c>
      <c r="Y23" s="46">
        <f t="shared" si="7"/>
        <v>0</v>
      </c>
      <c r="Z23" s="44">
        <v>0</v>
      </c>
      <c r="AA23" s="44">
        <v>0</v>
      </c>
      <c r="AB23" s="47">
        <f>0*1/1000</f>
        <v>0</v>
      </c>
      <c r="AC23" s="46">
        <f>0*1/1000</f>
        <v>0</v>
      </c>
      <c r="AD23" s="46">
        <v>0</v>
      </c>
      <c r="AE23" s="44">
        <v>0</v>
      </c>
      <c r="AF23" s="35">
        <v>0</v>
      </c>
      <c r="AG23" s="63">
        <v>0</v>
      </c>
      <c r="AH23" s="63">
        <v>0</v>
      </c>
      <c r="AI23" s="63">
        <v>0</v>
      </c>
      <c r="AJ23" s="35">
        <v>0</v>
      </c>
      <c r="AK23" s="63">
        <v>0</v>
      </c>
      <c r="AL23" s="63">
        <v>0</v>
      </c>
      <c r="AM23" s="63">
        <v>0</v>
      </c>
      <c r="AN23" s="35">
        <v>0</v>
      </c>
      <c r="AO23" s="37">
        <v>0</v>
      </c>
      <c r="AP23" s="50">
        <v>0</v>
      </c>
      <c r="AQ23" s="90" t="s">
        <v>68</v>
      </c>
      <c r="AR23" s="35">
        <v>0</v>
      </c>
      <c r="AS23" s="38">
        <v>0</v>
      </c>
      <c r="AU23" s="40"/>
    </row>
    <row r="24" spans="1:47" s="39" customFormat="1" ht="20.149999999999999" customHeight="1">
      <c r="A24" s="24" t="s">
        <v>69</v>
      </c>
      <c r="B24" s="42">
        <f>0*1/1000</f>
        <v>0</v>
      </c>
      <c r="C24" s="89">
        <f>(0*1/1000)</f>
        <v>0</v>
      </c>
      <c r="D24" s="42">
        <f>0*1/1000</f>
        <v>0</v>
      </c>
      <c r="E24" s="42">
        <f>0*1/1000</f>
        <v>0</v>
      </c>
      <c r="F24" s="44">
        <f>(0*1/1000)</f>
        <v>0</v>
      </c>
      <c r="G24" s="42">
        <f>0*1/1000</f>
        <v>0</v>
      </c>
      <c r="H24" s="44">
        <f>0*$A$80</f>
        <v>0</v>
      </c>
      <c r="I24" s="42">
        <f t="shared" si="6"/>
        <v>0</v>
      </c>
      <c r="J24" s="46">
        <f t="shared" si="6"/>
        <v>0</v>
      </c>
      <c r="K24" s="46">
        <f t="shared" si="6"/>
        <v>0</v>
      </c>
      <c r="L24" s="47">
        <f t="shared" si="6"/>
        <v>0</v>
      </c>
      <c r="M24" s="46">
        <f t="shared" si="6"/>
        <v>0</v>
      </c>
      <c r="N24" s="46">
        <f t="shared" si="6"/>
        <v>0</v>
      </c>
      <c r="O24" s="46">
        <f t="shared" si="6"/>
        <v>0</v>
      </c>
      <c r="P24" s="31">
        <f>14854*1/1000</f>
        <v>14.853999999999999</v>
      </c>
      <c r="Q24" s="46">
        <f>0*1/1000</f>
        <v>0</v>
      </c>
      <c r="R24" s="46">
        <f t="shared" si="7"/>
        <v>0</v>
      </c>
      <c r="S24" s="46">
        <f t="shared" si="7"/>
        <v>0</v>
      </c>
      <c r="T24" s="47">
        <f t="shared" si="7"/>
        <v>0</v>
      </c>
      <c r="U24" s="46">
        <f t="shared" si="7"/>
        <v>0</v>
      </c>
      <c r="V24" s="46">
        <f t="shared" si="7"/>
        <v>0</v>
      </c>
      <c r="W24" s="46">
        <f t="shared" si="7"/>
        <v>0</v>
      </c>
      <c r="X24" s="47">
        <f t="shared" si="7"/>
        <v>0</v>
      </c>
      <c r="Y24" s="46">
        <f t="shared" si="7"/>
        <v>0</v>
      </c>
      <c r="Z24" s="44">
        <v>0</v>
      </c>
      <c r="AA24" s="44">
        <v>0</v>
      </c>
      <c r="AB24" s="47">
        <f>0*1/1000</f>
        <v>0</v>
      </c>
      <c r="AC24" s="46">
        <f>0*1/1000</f>
        <v>0</v>
      </c>
      <c r="AD24" s="46">
        <v>0</v>
      </c>
      <c r="AE24" s="44">
        <v>0</v>
      </c>
      <c r="AF24" s="35">
        <v>0</v>
      </c>
      <c r="AG24" s="63">
        <v>0</v>
      </c>
      <c r="AH24" s="63">
        <v>0</v>
      </c>
      <c r="AI24" s="63">
        <v>0</v>
      </c>
      <c r="AJ24" s="35">
        <v>0</v>
      </c>
      <c r="AK24" s="63">
        <v>0</v>
      </c>
      <c r="AL24" s="63">
        <v>0</v>
      </c>
      <c r="AM24" s="63">
        <v>0</v>
      </c>
      <c r="AN24" s="35">
        <v>0</v>
      </c>
      <c r="AO24" s="37">
        <v>0</v>
      </c>
      <c r="AP24" s="50">
        <v>0</v>
      </c>
      <c r="AQ24" s="90" t="s">
        <v>68</v>
      </c>
      <c r="AR24" s="35">
        <v>0</v>
      </c>
      <c r="AS24" s="38">
        <v>0</v>
      </c>
      <c r="AU24" s="40"/>
    </row>
    <row r="25" spans="1:47" s="39" customFormat="1" ht="20.149999999999999" customHeight="1">
      <c r="A25" s="24" t="s">
        <v>70</v>
      </c>
      <c r="B25" s="25">
        <f>55225*1/1000</f>
        <v>55.225000000000001</v>
      </c>
      <c r="C25" s="25">
        <f>34163*1/1000</f>
        <v>34.162999999999997</v>
      </c>
      <c r="D25" s="87">
        <f>43299*1/1000</f>
        <v>43.298999999999999</v>
      </c>
      <c r="E25" s="26">
        <f>79133*1/1000</f>
        <v>79.132999999999996</v>
      </c>
      <c r="F25" s="27">
        <f>121511*(1/1000)</f>
        <v>121.511</v>
      </c>
      <c r="G25" s="25">
        <f>119515*1/1000</f>
        <v>119.515</v>
      </c>
      <c r="H25" s="28">
        <f>139804*1/1000</f>
        <v>139.804</v>
      </c>
      <c r="I25" s="25">
        <f>131900*1/1000</f>
        <v>131.9</v>
      </c>
      <c r="J25" s="29">
        <f>231747*1/1000</f>
        <v>231.74700000000001</v>
      </c>
      <c r="K25" s="30">
        <f>232952*1/1000</f>
        <v>232.952</v>
      </c>
      <c r="L25" s="31">
        <f>184298*1/1000</f>
        <v>184.298</v>
      </c>
      <c r="M25" s="30">
        <f>201875*1/1000</f>
        <v>201.875</v>
      </c>
      <c r="N25" s="30">
        <f>358165*1/1000</f>
        <v>358.16500000000002</v>
      </c>
      <c r="O25" s="30">
        <f>313496*1/1000</f>
        <v>313.49599999999998</v>
      </c>
      <c r="P25" s="31">
        <f>320542*1/1000</f>
        <v>320.54199999999997</v>
      </c>
      <c r="Q25" s="30">
        <f>342386*1/1000</f>
        <v>342.38600000000002</v>
      </c>
      <c r="R25" s="30">
        <f>382365*1/1000</f>
        <v>382.36500000000001</v>
      </c>
      <c r="S25" s="30">
        <f>376949*1/1000</f>
        <v>376.94900000000001</v>
      </c>
      <c r="T25" s="31">
        <f>375659*1/1000</f>
        <v>375.65899999999999</v>
      </c>
      <c r="U25" s="30">
        <f>403593*1/1000</f>
        <v>403.59300000000002</v>
      </c>
      <c r="V25" s="30">
        <f>410902*1/1000</f>
        <v>410.90199999999999</v>
      </c>
      <c r="W25" s="30">
        <f>401503*1/1000</f>
        <v>401.50299999999999</v>
      </c>
      <c r="X25" s="31">
        <f>374424*1/1000</f>
        <v>374.42399999999998</v>
      </c>
      <c r="Y25" s="30">
        <f>398589*1/1000</f>
        <v>398.589</v>
      </c>
      <c r="Z25" s="41">
        <v>1374.4</v>
      </c>
      <c r="AA25" s="41">
        <v>1369.9</v>
      </c>
      <c r="AB25" s="33">
        <v>1453.4</v>
      </c>
      <c r="AC25" s="34">
        <v>1599.5</v>
      </c>
      <c r="AD25" s="34">
        <v>1988.6</v>
      </c>
      <c r="AE25" s="41">
        <v>1699.4</v>
      </c>
      <c r="AF25" s="35">
        <v>1619.1</v>
      </c>
      <c r="AG25" s="36">
        <v>1503.9</v>
      </c>
      <c r="AH25" s="36">
        <v>1541.1</v>
      </c>
      <c r="AI25" s="36">
        <v>1571.8</v>
      </c>
      <c r="AJ25" s="35">
        <v>1688</v>
      </c>
      <c r="AK25" s="36">
        <v>1608.5</v>
      </c>
      <c r="AL25" s="36">
        <v>1727</v>
      </c>
      <c r="AM25" s="36">
        <v>1758.5</v>
      </c>
      <c r="AN25" s="35">
        <v>1983.2</v>
      </c>
      <c r="AO25" s="37">
        <v>1990.7</v>
      </c>
      <c r="AP25" s="37">
        <v>2161.3000000000002</v>
      </c>
      <c r="AQ25" s="37">
        <v>2197.3000000000002</v>
      </c>
      <c r="AR25" s="35">
        <v>2370.4</v>
      </c>
      <c r="AS25" s="38">
        <v>2334.6999999999998</v>
      </c>
      <c r="AU25" s="40"/>
    </row>
    <row r="26" spans="1:47" s="39" customFormat="1" ht="20.149999999999999" customHeight="1">
      <c r="A26" s="24" t="s">
        <v>71</v>
      </c>
      <c r="B26" s="42">
        <v>0</v>
      </c>
      <c r="C26" s="42">
        <f>(0*1/1000)</f>
        <v>0</v>
      </c>
      <c r="D26" s="42">
        <f>(0*1/1000)</f>
        <v>0</v>
      </c>
      <c r="E26" s="26">
        <f>3002*1/1000</f>
        <v>3.0019999999999998</v>
      </c>
      <c r="F26" s="44">
        <f>(0*1/1000)</f>
        <v>0</v>
      </c>
      <c r="G26" s="25">
        <f>9410*1/1000</f>
        <v>9.41</v>
      </c>
      <c r="H26" s="28">
        <f>4586*1/1000</f>
        <v>4.5860000000000003</v>
      </c>
      <c r="I26" s="25">
        <f>21265*1/1000</f>
        <v>21.265000000000001</v>
      </c>
      <c r="J26" s="29">
        <f>15496*1/1000</f>
        <v>15.496</v>
      </c>
      <c r="K26" s="30">
        <f>5267*1/1000</f>
        <v>5.2670000000000003</v>
      </c>
      <c r="L26" s="31">
        <f>7542*1/1000</f>
        <v>7.5419999999999998</v>
      </c>
      <c r="M26" s="30">
        <f>3254*1/1000</f>
        <v>3.254</v>
      </c>
      <c r="N26" s="30">
        <f>9402*1/1000</f>
        <v>9.4019999999999992</v>
      </c>
      <c r="O26" s="30">
        <f>9352*1/1000</f>
        <v>9.3520000000000003</v>
      </c>
      <c r="P26" s="31">
        <f>10086*1/1000</f>
        <v>10.086</v>
      </c>
      <c r="Q26" s="30">
        <f>9894*1/1000</f>
        <v>9.8940000000000001</v>
      </c>
      <c r="R26" s="30">
        <f>263*1/1000</f>
        <v>0.26300000000000001</v>
      </c>
      <c r="S26" s="30">
        <f>321*1/1000</f>
        <v>0.32100000000000001</v>
      </c>
      <c r="T26" s="31">
        <f>6494*1/1000</f>
        <v>6.4939999999999998</v>
      </c>
      <c r="U26" s="30">
        <f>1372*1/1000</f>
        <v>1.3720000000000001</v>
      </c>
      <c r="V26" s="30">
        <f>1952*1/1000</f>
        <v>1.952</v>
      </c>
      <c r="W26" s="30">
        <f>1195*1/1000</f>
        <v>1.1950000000000001</v>
      </c>
      <c r="X26" s="31">
        <f>183*1/1000</f>
        <v>0.183</v>
      </c>
      <c r="Y26" s="30">
        <f>365*1/1000</f>
        <v>0.36499999999999999</v>
      </c>
      <c r="Z26" s="41">
        <v>28</v>
      </c>
      <c r="AA26" s="41">
        <v>26</v>
      </c>
      <c r="AB26" s="33">
        <v>26</v>
      </c>
      <c r="AC26" s="34">
        <v>28.9</v>
      </c>
      <c r="AD26" s="34">
        <v>1.5</v>
      </c>
      <c r="AE26" s="41">
        <v>0.7</v>
      </c>
      <c r="AF26" s="35">
        <v>0.7</v>
      </c>
      <c r="AG26" s="36">
        <v>1.9</v>
      </c>
      <c r="AH26" s="36">
        <v>1.4</v>
      </c>
      <c r="AI26" s="36">
        <v>0.9</v>
      </c>
      <c r="AJ26" s="35">
        <v>29.1</v>
      </c>
      <c r="AK26" s="36">
        <v>30.3</v>
      </c>
      <c r="AL26" s="36">
        <v>17</v>
      </c>
      <c r="AM26" s="36">
        <v>25.3</v>
      </c>
      <c r="AN26" s="35">
        <v>1.3</v>
      </c>
      <c r="AO26" s="37">
        <v>55.8</v>
      </c>
      <c r="AP26" s="37">
        <v>68.7</v>
      </c>
      <c r="AQ26" s="37">
        <v>65.400000000000006</v>
      </c>
      <c r="AR26" s="35">
        <v>34.6</v>
      </c>
      <c r="AS26" s="38">
        <v>36.799999999999997</v>
      </c>
      <c r="AU26" s="40"/>
    </row>
    <row r="27" spans="1:47" s="39" customFormat="1" ht="20.149999999999999" customHeight="1">
      <c r="A27" s="24" t="s">
        <v>72</v>
      </c>
      <c r="B27" s="53" t="s">
        <v>57</v>
      </c>
      <c r="C27" s="91" t="s">
        <v>57</v>
      </c>
      <c r="D27" s="54" t="s">
        <v>57</v>
      </c>
      <c r="E27" s="54" t="s">
        <v>57</v>
      </c>
      <c r="F27" s="55" t="s">
        <v>57</v>
      </c>
      <c r="G27" s="56" t="s">
        <v>57</v>
      </c>
      <c r="H27" s="57" t="s">
        <v>57</v>
      </c>
      <c r="I27" s="56" t="s">
        <v>57</v>
      </c>
      <c r="J27" s="58" t="s">
        <v>57</v>
      </c>
      <c r="K27" s="58" t="s">
        <v>57</v>
      </c>
      <c r="L27" s="59" t="s">
        <v>57</v>
      </c>
      <c r="M27" s="58" t="s">
        <v>57</v>
      </c>
      <c r="N27" s="58" t="s">
        <v>57</v>
      </c>
      <c r="O27" s="58" t="s">
        <v>57</v>
      </c>
      <c r="P27" s="31">
        <f>59361*1/1000</f>
        <v>59.360999999999997</v>
      </c>
      <c r="Q27" s="60" t="s">
        <v>57</v>
      </c>
      <c r="R27" s="30">
        <f>53916*1/1000</f>
        <v>53.915999999999997</v>
      </c>
      <c r="S27" s="30">
        <f>54038*1/1000</f>
        <v>54.037999999999997</v>
      </c>
      <c r="T27" s="31">
        <f>57096*1/1000</f>
        <v>57.095999999999997</v>
      </c>
      <c r="U27" s="30">
        <f>60035*1/1000</f>
        <v>60.034999999999997</v>
      </c>
      <c r="V27" s="30">
        <f>63564*1/1000</f>
        <v>63.564</v>
      </c>
      <c r="W27" s="30">
        <f>65852*1/1000</f>
        <v>65.852000000000004</v>
      </c>
      <c r="X27" s="31">
        <f>70055*1/1000</f>
        <v>70.055000000000007</v>
      </c>
      <c r="Y27" s="30">
        <f>70958*1/1000</f>
        <v>70.957999999999998</v>
      </c>
      <c r="Z27" s="41">
        <v>91.2</v>
      </c>
      <c r="AA27" s="41">
        <v>117.3</v>
      </c>
      <c r="AB27" s="33">
        <v>141.69999999999999</v>
      </c>
      <c r="AC27" s="34">
        <v>165.3</v>
      </c>
      <c r="AD27" s="34">
        <v>186.1</v>
      </c>
      <c r="AE27" s="41">
        <v>200.4</v>
      </c>
      <c r="AF27" s="35">
        <v>212.7</v>
      </c>
      <c r="AG27" s="36">
        <v>213.3</v>
      </c>
      <c r="AH27" s="36">
        <v>209.1</v>
      </c>
      <c r="AI27" s="36">
        <v>207.6</v>
      </c>
      <c r="AJ27" s="35">
        <v>207.2</v>
      </c>
      <c r="AK27" s="36">
        <v>205.7</v>
      </c>
      <c r="AL27" s="36">
        <v>202.3</v>
      </c>
      <c r="AM27" s="36">
        <v>203.5</v>
      </c>
      <c r="AN27" s="35">
        <v>207.9</v>
      </c>
      <c r="AO27" s="37">
        <v>206.9</v>
      </c>
      <c r="AP27" s="37">
        <v>230.1</v>
      </c>
      <c r="AQ27" s="37">
        <v>230.1</v>
      </c>
      <c r="AR27" s="35">
        <v>218.5</v>
      </c>
      <c r="AS27" s="38">
        <v>221.6</v>
      </c>
      <c r="AU27" s="40"/>
    </row>
    <row r="28" spans="1:47" s="39" customFormat="1" ht="20.149999999999999" customHeight="1">
      <c r="A28" s="24" t="s">
        <v>73</v>
      </c>
      <c r="B28" s="25">
        <f>2712*1/1000</f>
        <v>2.7120000000000002</v>
      </c>
      <c r="C28" s="25">
        <f>22004*1/1000</f>
        <v>22.004000000000001</v>
      </c>
      <c r="D28" s="87">
        <f>37786*1/1000</f>
        <v>37.786000000000001</v>
      </c>
      <c r="E28" s="26">
        <f>68971*1/1000</f>
        <v>68.971000000000004</v>
      </c>
      <c r="F28" s="27">
        <f>61917*(1/1000)</f>
        <v>61.917000000000002</v>
      </c>
      <c r="G28" s="25">
        <f>85669*1/1000</f>
        <v>85.668999999999997</v>
      </c>
      <c r="H28" s="28">
        <f>65295*1/1000</f>
        <v>65.295000000000002</v>
      </c>
      <c r="I28" s="25">
        <f>59290*1/1000</f>
        <v>59.29</v>
      </c>
      <c r="J28" s="29">
        <f>62323*1/1000</f>
        <v>62.323</v>
      </c>
      <c r="K28" s="30">
        <f>62110*1/1000</f>
        <v>62.11</v>
      </c>
      <c r="L28" s="31">
        <f>77362*1/1000</f>
        <v>77.361999999999995</v>
      </c>
      <c r="M28" s="30">
        <f>122805*1/1000</f>
        <v>122.80500000000001</v>
      </c>
      <c r="N28" s="30">
        <f>126195*1/1000</f>
        <v>126.19499999999999</v>
      </c>
      <c r="O28" s="30">
        <f>156700*1/1000</f>
        <v>156.69999999999999</v>
      </c>
      <c r="P28" s="31">
        <f>72467*1/1000</f>
        <v>72.466999999999999</v>
      </c>
      <c r="Q28" s="30">
        <f>136299*1/1000</f>
        <v>136.29900000000001</v>
      </c>
      <c r="R28" s="30">
        <f>73814*1/1000</f>
        <v>73.813999999999993</v>
      </c>
      <c r="S28" s="30">
        <f>53239*1/1000</f>
        <v>53.238999999999997</v>
      </c>
      <c r="T28" s="31">
        <f>71968*1/1000</f>
        <v>71.968000000000004</v>
      </c>
      <c r="U28" s="30">
        <f>109187*1/1000</f>
        <v>109.187</v>
      </c>
      <c r="V28" s="30">
        <f>93754*1/1000</f>
        <v>93.754000000000005</v>
      </c>
      <c r="W28" s="30">
        <f>113708*1/1000</f>
        <v>113.708</v>
      </c>
      <c r="X28" s="31">
        <f>105360*1/1000</f>
        <v>105.36</v>
      </c>
      <c r="Y28" s="30">
        <f>106732*1/1000</f>
        <v>106.732</v>
      </c>
      <c r="Z28" s="41">
        <v>221.9</v>
      </c>
      <c r="AA28" s="41">
        <v>224.2</v>
      </c>
      <c r="AB28" s="33">
        <v>160.1</v>
      </c>
      <c r="AC28" s="34">
        <v>212.9</v>
      </c>
      <c r="AD28" s="34">
        <v>226.2</v>
      </c>
      <c r="AE28" s="41">
        <v>255</v>
      </c>
      <c r="AF28" s="35">
        <v>399.5</v>
      </c>
      <c r="AG28" s="36">
        <v>69.599999999999994</v>
      </c>
      <c r="AH28" s="36">
        <v>62.8</v>
      </c>
      <c r="AI28" s="36">
        <v>54.9</v>
      </c>
      <c r="AJ28" s="35">
        <v>38.700000000000003</v>
      </c>
      <c r="AK28" s="36">
        <v>72.3</v>
      </c>
      <c r="AL28" s="36">
        <v>60.7</v>
      </c>
      <c r="AM28" s="36">
        <v>61.7</v>
      </c>
      <c r="AN28" s="35">
        <v>31.7</v>
      </c>
      <c r="AO28" s="37">
        <v>70.2</v>
      </c>
      <c r="AP28" s="37">
        <v>82.5</v>
      </c>
      <c r="AQ28" s="37">
        <v>56.8</v>
      </c>
      <c r="AR28" s="35">
        <v>34.9</v>
      </c>
      <c r="AS28" s="38">
        <v>71.099999999999994</v>
      </c>
      <c r="AU28" s="40"/>
    </row>
    <row r="29" spans="1:47" s="78" customFormat="1" ht="20.149999999999999" customHeight="1">
      <c r="A29" s="65" t="s">
        <v>61</v>
      </c>
      <c r="B29" s="92"/>
      <c r="C29" s="92"/>
      <c r="D29" s="93"/>
      <c r="E29" s="94"/>
      <c r="F29" s="95"/>
      <c r="G29" s="92"/>
      <c r="H29" s="96"/>
      <c r="I29" s="92"/>
      <c r="J29" s="97"/>
      <c r="K29" s="98"/>
      <c r="L29" s="99"/>
      <c r="M29" s="98"/>
      <c r="N29" s="98"/>
      <c r="O29" s="98"/>
      <c r="P29" s="99"/>
      <c r="Q29" s="98"/>
      <c r="R29" s="98"/>
      <c r="S29" s="98"/>
      <c r="T29" s="99"/>
      <c r="U29" s="98"/>
      <c r="V29" s="98"/>
      <c r="W29" s="98"/>
      <c r="X29" s="99"/>
      <c r="Y29" s="98"/>
      <c r="Z29" s="100"/>
      <c r="AA29" s="100"/>
      <c r="AB29" s="76">
        <v>22.2</v>
      </c>
      <c r="AC29" s="101">
        <v>26.3</v>
      </c>
      <c r="AD29" s="101">
        <v>27.3</v>
      </c>
      <c r="AE29" s="100">
        <v>3.8</v>
      </c>
      <c r="AF29" s="67">
        <v>10.5</v>
      </c>
      <c r="AG29" s="74">
        <v>0.2</v>
      </c>
      <c r="AH29" s="74">
        <v>3.6</v>
      </c>
      <c r="AI29" s="74">
        <v>4.8</v>
      </c>
      <c r="AJ29" s="67">
        <v>6.7</v>
      </c>
      <c r="AK29" s="74">
        <v>4.9000000000000004</v>
      </c>
      <c r="AL29" s="74">
        <v>5.3</v>
      </c>
      <c r="AM29" s="74">
        <v>6.4</v>
      </c>
      <c r="AN29" s="67">
        <v>5.0999999999999996</v>
      </c>
      <c r="AO29" s="68">
        <v>2.7</v>
      </c>
      <c r="AP29" s="68">
        <v>1.6</v>
      </c>
      <c r="AQ29" s="68">
        <v>0.4</v>
      </c>
      <c r="AR29" s="67">
        <v>0</v>
      </c>
      <c r="AS29" s="69">
        <v>0</v>
      </c>
      <c r="AU29" s="40"/>
    </row>
    <row r="30" spans="1:47" s="39" customFormat="1" ht="20.149999999999999" customHeight="1">
      <c r="A30" s="24" t="s">
        <v>74</v>
      </c>
      <c r="B30" s="25">
        <f>13317*1/1000</f>
        <v>13.317</v>
      </c>
      <c r="C30" s="25">
        <f>2979*1/1000</f>
        <v>2.9790000000000001</v>
      </c>
      <c r="D30" s="87">
        <v>6.0999999999999999E-2</v>
      </c>
      <c r="E30" s="42">
        <f>0*1/1000</f>
        <v>0</v>
      </c>
      <c r="F30" s="44">
        <f>(0*1/1000)</f>
        <v>0</v>
      </c>
      <c r="G30" s="42">
        <f>0*1/1000</f>
        <v>0</v>
      </c>
      <c r="H30" s="44">
        <f>0*$A$80</f>
        <v>0</v>
      </c>
      <c r="I30" s="42">
        <f>0*1/1000</f>
        <v>0</v>
      </c>
      <c r="J30" s="46" t="s">
        <v>68</v>
      </c>
      <c r="K30" s="46">
        <f t="shared" ref="K30:Y30" si="8">0*1/1000</f>
        <v>0</v>
      </c>
      <c r="L30" s="47">
        <f t="shared" si="8"/>
        <v>0</v>
      </c>
      <c r="M30" s="46">
        <f t="shared" si="8"/>
        <v>0</v>
      </c>
      <c r="N30" s="46">
        <f t="shared" si="8"/>
        <v>0</v>
      </c>
      <c r="O30" s="46">
        <f t="shared" si="8"/>
        <v>0</v>
      </c>
      <c r="P30" s="47">
        <f t="shared" si="8"/>
        <v>0</v>
      </c>
      <c r="Q30" s="46">
        <f t="shared" si="8"/>
        <v>0</v>
      </c>
      <c r="R30" s="46">
        <f t="shared" si="8"/>
        <v>0</v>
      </c>
      <c r="S30" s="46">
        <f t="shared" si="8"/>
        <v>0</v>
      </c>
      <c r="T30" s="47">
        <f t="shared" si="8"/>
        <v>0</v>
      </c>
      <c r="U30" s="46">
        <f t="shared" si="8"/>
        <v>0</v>
      </c>
      <c r="V30" s="46">
        <f t="shared" si="8"/>
        <v>0</v>
      </c>
      <c r="W30" s="46">
        <f t="shared" si="8"/>
        <v>0</v>
      </c>
      <c r="X30" s="47">
        <f t="shared" si="8"/>
        <v>0</v>
      </c>
      <c r="Y30" s="46">
        <f t="shared" si="8"/>
        <v>0</v>
      </c>
      <c r="Z30" s="102">
        <v>270</v>
      </c>
      <c r="AA30" s="102">
        <v>30</v>
      </c>
      <c r="AB30" s="47">
        <f>0*1/1000</f>
        <v>0</v>
      </c>
      <c r="AC30" s="34">
        <v>42.7</v>
      </c>
      <c r="AD30" s="34">
        <v>43.1</v>
      </c>
      <c r="AE30" s="102"/>
      <c r="AF30" s="35">
        <v>0</v>
      </c>
      <c r="AG30" s="36">
        <v>12.4</v>
      </c>
      <c r="AH30" s="36">
        <v>0</v>
      </c>
      <c r="AI30" s="36">
        <v>0</v>
      </c>
      <c r="AJ30" s="35">
        <v>0</v>
      </c>
      <c r="AK30" s="36">
        <v>0</v>
      </c>
      <c r="AL30" s="36">
        <v>0</v>
      </c>
      <c r="AM30" s="36">
        <v>0</v>
      </c>
      <c r="AN30" s="35">
        <v>0</v>
      </c>
      <c r="AO30" s="37">
        <v>0</v>
      </c>
      <c r="AP30" s="37">
        <v>0</v>
      </c>
      <c r="AQ30" s="90" t="s">
        <v>68</v>
      </c>
      <c r="AR30" s="35">
        <v>0</v>
      </c>
      <c r="AS30" s="38">
        <v>0</v>
      </c>
      <c r="AU30" s="40"/>
    </row>
    <row r="31" spans="1:47" s="39" customFormat="1" ht="20.149999999999999" customHeight="1">
      <c r="A31" s="24" t="s">
        <v>75</v>
      </c>
      <c r="B31" s="25">
        <f>11874*1/1000</f>
        <v>11.874000000000001</v>
      </c>
      <c r="C31" s="25">
        <f>64478*1/1000</f>
        <v>64.477999999999994</v>
      </c>
      <c r="D31" s="87">
        <f>109833*1/1000</f>
        <v>109.833</v>
      </c>
      <c r="E31" s="26">
        <f>150726*1/1000</f>
        <v>150.726</v>
      </c>
      <c r="F31" s="27">
        <f>137291*(1/1000)</f>
        <v>137.291</v>
      </c>
      <c r="G31" s="25">
        <f>246422*1/1000</f>
        <v>246.422</v>
      </c>
      <c r="H31" s="28">
        <f>81270*1/1000</f>
        <v>81.27</v>
      </c>
      <c r="I31" s="25">
        <f>72652*1/1000</f>
        <v>72.652000000000001</v>
      </c>
      <c r="J31" s="29">
        <f>47571*1/1000</f>
        <v>47.570999999999998</v>
      </c>
      <c r="K31" s="30">
        <f>34038*1/1000</f>
        <v>34.037999999999997</v>
      </c>
      <c r="L31" s="31">
        <f>27615*1/1000</f>
        <v>27.614999999999998</v>
      </c>
      <c r="M31" s="30">
        <f>156414*1/1000</f>
        <v>156.41399999999999</v>
      </c>
      <c r="N31" s="30">
        <f>298614*1/1000</f>
        <v>298.61399999999998</v>
      </c>
      <c r="O31" s="30">
        <f>364116*1/1000</f>
        <v>364.11599999999999</v>
      </c>
      <c r="P31" s="31">
        <f>277534*1/1000</f>
        <v>277.53399999999999</v>
      </c>
      <c r="Q31" s="30">
        <f>422627*1/1000</f>
        <v>422.62700000000001</v>
      </c>
      <c r="R31" s="30">
        <f>309519*1/1000</f>
        <v>309.51900000000001</v>
      </c>
      <c r="S31" s="30">
        <f>225111*1/1000</f>
        <v>225.11099999999999</v>
      </c>
      <c r="T31" s="31">
        <f>270354*1/1000</f>
        <v>270.35399999999998</v>
      </c>
      <c r="U31" s="30">
        <f>324338*1/1000</f>
        <v>324.33800000000002</v>
      </c>
      <c r="V31" s="30">
        <f>265803*1/1000</f>
        <v>265.803</v>
      </c>
      <c r="W31" s="30">
        <f>215396*1/1000</f>
        <v>215.39599999999999</v>
      </c>
      <c r="X31" s="31">
        <f>342251*1/1000</f>
        <v>342.25099999999998</v>
      </c>
      <c r="Y31" s="30">
        <f>428190*1/1000</f>
        <v>428.19</v>
      </c>
      <c r="Z31" s="41">
        <v>1894.3</v>
      </c>
      <c r="AA31" s="41">
        <v>1631</v>
      </c>
      <c r="AB31" s="33">
        <v>1735.3</v>
      </c>
      <c r="AC31" s="34">
        <v>1478.9</v>
      </c>
      <c r="AD31" s="34">
        <v>1383.8</v>
      </c>
      <c r="AE31" s="41">
        <v>1059.5999999999999</v>
      </c>
      <c r="AF31" s="35">
        <v>1512</v>
      </c>
      <c r="AG31" s="36">
        <v>1538.6</v>
      </c>
      <c r="AH31" s="36">
        <v>944.5</v>
      </c>
      <c r="AI31" s="36">
        <v>1099.4000000000001</v>
      </c>
      <c r="AJ31" s="35">
        <v>1326</v>
      </c>
      <c r="AK31" s="36">
        <v>1567.7</v>
      </c>
      <c r="AL31" s="36">
        <v>1354.6</v>
      </c>
      <c r="AM31" s="36">
        <v>1080.2</v>
      </c>
      <c r="AN31" s="35">
        <v>1161.5</v>
      </c>
      <c r="AO31" s="37">
        <v>785.9</v>
      </c>
      <c r="AP31" s="37">
        <v>876.1</v>
      </c>
      <c r="AQ31" s="37">
        <v>1151.5</v>
      </c>
      <c r="AR31" s="35">
        <v>1167</v>
      </c>
      <c r="AS31" s="38">
        <v>745.7</v>
      </c>
      <c r="AU31" s="40"/>
    </row>
    <row r="32" spans="1:47" s="39" customFormat="1" ht="20.149999999999999" customHeight="1">
      <c r="A32" s="24" t="s">
        <v>76</v>
      </c>
      <c r="B32" s="89">
        <f>0*1/1000</f>
        <v>0</v>
      </c>
      <c r="C32" s="89">
        <f>(0*1/1000)</f>
        <v>0</v>
      </c>
      <c r="D32" s="42">
        <f>(0*1/1000)</f>
        <v>0</v>
      </c>
      <c r="E32" s="42">
        <f>0*1/1000</f>
        <v>0</v>
      </c>
      <c r="F32" s="44">
        <f>(0*1/1000)</f>
        <v>0</v>
      </c>
      <c r="G32" s="42">
        <f>0*1/1000</f>
        <v>0</v>
      </c>
      <c r="H32" s="44">
        <f>0*$A$80</f>
        <v>0</v>
      </c>
      <c r="I32" s="25">
        <f>26738*1/1000</f>
        <v>26.738</v>
      </c>
      <c r="J32" s="46">
        <f t="shared" ref="J32:Y33" si="9">0*1/1000</f>
        <v>0</v>
      </c>
      <c r="K32" s="46">
        <f t="shared" si="9"/>
        <v>0</v>
      </c>
      <c r="L32" s="47">
        <f t="shared" si="9"/>
        <v>0</v>
      </c>
      <c r="M32" s="46">
        <f t="shared" si="9"/>
        <v>0</v>
      </c>
      <c r="N32" s="46">
        <f t="shared" si="9"/>
        <v>0</v>
      </c>
      <c r="O32" s="46">
        <f t="shared" si="9"/>
        <v>0</v>
      </c>
      <c r="P32" s="47">
        <f t="shared" si="9"/>
        <v>0</v>
      </c>
      <c r="Q32" s="46">
        <f t="shared" si="9"/>
        <v>0</v>
      </c>
      <c r="R32" s="46">
        <f t="shared" si="9"/>
        <v>0</v>
      </c>
      <c r="S32" s="46">
        <f t="shared" si="9"/>
        <v>0</v>
      </c>
      <c r="T32" s="47">
        <f t="shared" si="9"/>
        <v>0</v>
      </c>
      <c r="U32" s="46">
        <f t="shared" si="9"/>
        <v>0</v>
      </c>
      <c r="V32" s="46">
        <f t="shared" si="9"/>
        <v>0</v>
      </c>
      <c r="W32" s="46">
        <f t="shared" si="9"/>
        <v>0</v>
      </c>
      <c r="X32" s="47">
        <f t="shared" si="9"/>
        <v>0</v>
      </c>
      <c r="Y32" s="46">
        <f t="shared" si="9"/>
        <v>0</v>
      </c>
      <c r="Z32" s="102">
        <v>12.6</v>
      </c>
      <c r="AA32" s="102">
        <v>12.2</v>
      </c>
      <c r="AB32" s="33">
        <v>12.6</v>
      </c>
      <c r="AC32" s="34">
        <v>12.7</v>
      </c>
      <c r="AD32" s="34">
        <v>12.8</v>
      </c>
      <c r="AE32" s="102">
        <v>12.4</v>
      </c>
      <c r="AF32" s="35">
        <v>11.7</v>
      </c>
      <c r="AG32" s="36">
        <v>31.4</v>
      </c>
      <c r="AH32" s="36">
        <v>10.9</v>
      </c>
      <c r="AI32" s="36">
        <v>10.8</v>
      </c>
      <c r="AJ32" s="35">
        <v>10.7</v>
      </c>
      <c r="AK32" s="36">
        <v>9.6</v>
      </c>
      <c r="AL32" s="36">
        <v>8</v>
      </c>
      <c r="AM32" s="36">
        <v>8.1999999999999993</v>
      </c>
      <c r="AN32" s="35">
        <v>10.5</v>
      </c>
      <c r="AO32" s="37">
        <v>11.6</v>
      </c>
      <c r="AP32" s="37">
        <v>11.7</v>
      </c>
      <c r="AQ32" s="37">
        <v>11.6</v>
      </c>
      <c r="AR32" s="35">
        <v>11.7</v>
      </c>
      <c r="AS32" s="38">
        <v>11.3</v>
      </c>
      <c r="AU32" s="40"/>
    </row>
    <row r="33" spans="1:50" s="39" customFormat="1" ht="20.149999999999999" customHeight="1" thickBot="1">
      <c r="A33" s="24" t="s">
        <v>77</v>
      </c>
      <c r="B33" s="89">
        <f>0*1/1000</f>
        <v>0</v>
      </c>
      <c r="C33" s="89">
        <f>(0*1/1000)</f>
        <v>0</v>
      </c>
      <c r="D33" s="87">
        <f>1361*1/1000</f>
        <v>1.361</v>
      </c>
      <c r="E33" s="42">
        <f>0*1/1000</f>
        <v>0</v>
      </c>
      <c r="F33" s="44">
        <f>(0*1/1000)</f>
        <v>0</v>
      </c>
      <c r="G33" s="42">
        <f>0*1/1000</f>
        <v>0</v>
      </c>
      <c r="H33" s="44">
        <f>0*$A$80</f>
        <v>0</v>
      </c>
      <c r="I33" s="42">
        <f>0*1/1000</f>
        <v>0</v>
      </c>
      <c r="J33" s="46">
        <f t="shared" si="9"/>
        <v>0</v>
      </c>
      <c r="K33" s="46">
        <f t="shared" si="9"/>
        <v>0</v>
      </c>
      <c r="L33" s="47">
        <f t="shared" si="9"/>
        <v>0</v>
      </c>
      <c r="M33" s="46">
        <f t="shared" si="9"/>
        <v>0</v>
      </c>
      <c r="N33" s="46">
        <f t="shared" si="9"/>
        <v>0</v>
      </c>
      <c r="O33" s="46">
        <f t="shared" si="9"/>
        <v>0</v>
      </c>
      <c r="P33" s="47">
        <f t="shared" si="9"/>
        <v>0</v>
      </c>
      <c r="Q33" s="46">
        <f t="shared" si="9"/>
        <v>0</v>
      </c>
      <c r="R33" s="46">
        <f t="shared" si="9"/>
        <v>0</v>
      </c>
      <c r="S33" s="46">
        <f t="shared" si="9"/>
        <v>0</v>
      </c>
      <c r="T33" s="47">
        <f t="shared" si="9"/>
        <v>0</v>
      </c>
      <c r="U33" s="46">
        <f t="shared" si="9"/>
        <v>0</v>
      </c>
      <c r="V33" s="46">
        <f t="shared" si="9"/>
        <v>0</v>
      </c>
      <c r="W33" s="46">
        <f t="shared" si="9"/>
        <v>0</v>
      </c>
      <c r="X33" s="47">
        <f t="shared" si="9"/>
        <v>0</v>
      </c>
      <c r="Y33" s="46">
        <f t="shared" si="9"/>
        <v>0</v>
      </c>
      <c r="Z33" s="44">
        <v>0</v>
      </c>
      <c r="AA33" s="44">
        <v>0</v>
      </c>
      <c r="AB33" s="47">
        <v>0</v>
      </c>
      <c r="AC33" s="46">
        <v>0</v>
      </c>
      <c r="AD33" s="46">
        <v>0</v>
      </c>
      <c r="AE33" s="46">
        <v>0</v>
      </c>
      <c r="AF33" s="35">
        <v>0</v>
      </c>
      <c r="AG33" s="49">
        <v>0</v>
      </c>
      <c r="AH33" s="49">
        <v>0</v>
      </c>
      <c r="AI33" s="49">
        <v>0</v>
      </c>
      <c r="AJ33" s="35">
        <v>0</v>
      </c>
      <c r="AK33" s="49">
        <v>0</v>
      </c>
      <c r="AL33" s="49">
        <v>0</v>
      </c>
      <c r="AM33" s="49">
        <v>0</v>
      </c>
      <c r="AN33" s="35">
        <v>0</v>
      </c>
      <c r="AO33" s="37">
        <v>0</v>
      </c>
      <c r="AP33" s="37">
        <v>0</v>
      </c>
      <c r="AQ33" s="37">
        <v>0</v>
      </c>
      <c r="AR33" s="35">
        <v>0</v>
      </c>
      <c r="AS33" s="38">
        <v>0</v>
      </c>
      <c r="AU33" s="40"/>
    </row>
    <row r="34" spans="1:50" s="83" customFormat="1" ht="20.149999999999999" customHeight="1" thickBot="1">
      <c r="A34" s="80" t="s">
        <v>78</v>
      </c>
      <c r="B34" s="103">
        <f t="shared" ref="B34:J34" si="10">SUM(B20:B33)</f>
        <v>104.505</v>
      </c>
      <c r="C34" s="103">
        <f t="shared" si="10"/>
        <v>154.012</v>
      </c>
      <c r="D34" s="103">
        <f t="shared" si="10"/>
        <v>250.34899999999999</v>
      </c>
      <c r="E34" s="103">
        <f t="shared" si="10"/>
        <v>431.84100000000001</v>
      </c>
      <c r="F34" s="104">
        <f t="shared" si="10"/>
        <v>467.834</v>
      </c>
      <c r="G34" s="103">
        <f t="shared" si="10"/>
        <v>556.01499999999999</v>
      </c>
      <c r="H34" s="104">
        <f t="shared" si="10"/>
        <v>458.29199999999997</v>
      </c>
      <c r="I34" s="103">
        <f t="shared" si="10"/>
        <v>433.93599999999998</v>
      </c>
      <c r="J34" s="105">
        <f t="shared" si="10"/>
        <v>499.149</v>
      </c>
      <c r="K34" s="105">
        <f t="shared" ref="K34:AA34" si="11">SUM(K20:K33)</f>
        <v>501.62200000000001</v>
      </c>
      <c r="L34" s="106">
        <f t="shared" si="11"/>
        <v>469.971</v>
      </c>
      <c r="M34" s="105">
        <f t="shared" si="11"/>
        <v>640.30700000000002</v>
      </c>
      <c r="N34" s="105">
        <f t="shared" si="11"/>
        <v>1124.9080000000001</v>
      </c>
      <c r="O34" s="105">
        <f t="shared" si="11"/>
        <v>1206.2759999999998</v>
      </c>
      <c r="P34" s="106">
        <f t="shared" si="11"/>
        <v>1070.4000000000001</v>
      </c>
      <c r="Q34" s="105">
        <f t="shared" si="11"/>
        <v>1273.798</v>
      </c>
      <c r="R34" s="105">
        <f t="shared" si="11"/>
        <v>1172.6559999999999</v>
      </c>
      <c r="S34" s="105">
        <f t="shared" si="11"/>
        <v>1058.173</v>
      </c>
      <c r="T34" s="106">
        <f t="shared" si="11"/>
        <v>1085.1969999999999</v>
      </c>
      <c r="U34" s="105">
        <f t="shared" si="11"/>
        <v>1204.625</v>
      </c>
      <c r="V34" s="105">
        <f t="shared" si="11"/>
        <v>1164.163</v>
      </c>
      <c r="W34" s="105">
        <f t="shared" si="11"/>
        <v>1161.885</v>
      </c>
      <c r="X34" s="106">
        <f t="shared" si="11"/>
        <v>1220.3849999999998</v>
      </c>
      <c r="Y34" s="105">
        <f t="shared" si="11"/>
        <v>1396.8419999999999</v>
      </c>
      <c r="Z34" s="107">
        <f t="shared" si="11"/>
        <v>4435.3</v>
      </c>
      <c r="AA34" s="107">
        <f t="shared" si="11"/>
        <v>3899.7999999999997</v>
      </c>
      <c r="AB34" s="108">
        <f t="shared" ref="AB34:AG34" si="12">SUM(AB20:AB33)-AB29</f>
        <v>3982.6</v>
      </c>
      <c r="AC34" s="107">
        <f t="shared" si="12"/>
        <v>3956.9</v>
      </c>
      <c r="AD34" s="107">
        <f t="shared" si="12"/>
        <v>4274.2</v>
      </c>
      <c r="AE34" s="107">
        <f t="shared" si="12"/>
        <v>3747.2000000000003</v>
      </c>
      <c r="AF34" s="81">
        <f t="shared" si="12"/>
        <v>4228.8999999999987</v>
      </c>
      <c r="AG34" s="109">
        <f t="shared" si="12"/>
        <v>3866.0000000000005</v>
      </c>
      <c r="AH34" s="109">
        <f t="shared" ref="AH34:AI34" si="13">SUM(AH20:AH33)-AH29</f>
        <v>3203.3</v>
      </c>
      <c r="AI34" s="109">
        <f t="shared" si="13"/>
        <v>3445.5000000000005</v>
      </c>
      <c r="AJ34" s="81">
        <f t="shared" ref="AJ34:AN34" si="14">SUM(AJ20:AJ33)-AJ29</f>
        <v>3770.3999999999992</v>
      </c>
      <c r="AK34" s="109">
        <f t="shared" si="14"/>
        <v>3911.1000000000004</v>
      </c>
      <c r="AL34" s="109">
        <f t="shared" si="14"/>
        <v>3862.9</v>
      </c>
      <c r="AM34" s="109">
        <f t="shared" si="14"/>
        <v>3676.6</v>
      </c>
      <c r="AN34" s="109">
        <f t="shared" si="14"/>
        <v>3931.5</v>
      </c>
      <c r="AO34" s="110">
        <f>SUM(AO20:AO32)-AO29</f>
        <v>4363.8</v>
      </c>
      <c r="AP34" s="110">
        <f>SUM(AP20:AP33)-AP29</f>
        <v>4827.2</v>
      </c>
      <c r="AQ34" s="110">
        <f>SUM(AQ20:AQ33)-AQ29</f>
        <v>5300.0000000000009</v>
      </c>
      <c r="AR34" s="109">
        <f>SUM(AR20:AR33)-AR30</f>
        <v>5422.7</v>
      </c>
      <c r="AS34" s="111">
        <f>SUM(AS20:AS33)-AS30</f>
        <v>4952.3000000000011</v>
      </c>
      <c r="AU34" s="40"/>
    </row>
    <row r="35" spans="1:50" s="122" customFormat="1" ht="22.5" customHeight="1" thickBot="1">
      <c r="A35" s="112" t="s">
        <v>79</v>
      </c>
      <c r="B35" s="113">
        <f>B34+B19</f>
        <v>257.64800000000002</v>
      </c>
      <c r="C35" s="113">
        <f>C34+C19</f>
        <v>241.97800000000001</v>
      </c>
      <c r="D35" s="113">
        <f>D34+D19</f>
        <v>353.358</v>
      </c>
      <c r="E35" s="113">
        <f>E34+E19</f>
        <v>595.20299999999997</v>
      </c>
      <c r="F35" s="114">
        <f t="shared" ref="F35:J35" si="15">F34+F19</f>
        <v>630.44000000000005</v>
      </c>
      <c r="G35" s="113">
        <f t="shared" si="15"/>
        <v>757.13099999999997</v>
      </c>
      <c r="H35" s="114">
        <f t="shared" si="15"/>
        <v>681.41300000000001</v>
      </c>
      <c r="I35" s="113">
        <f t="shared" si="15"/>
        <v>774.846</v>
      </c>
      <c r="J35" s="115">
        <f t="shared" si="15"/>
        <v>945.67500000000007</v>
      </c>
      <c r="K35" s="115">
        <f t="shared" ref="K35:AN35" si="16">K19+K34</f>
        <v>984.87200000000007</v>
      </c>
      <c r="L35" s="116">
        <f t="shared" si="16"/>
        <v>1015.1950000000001</v>
      </c>
      <c r="M35" s="115">
        <f t="shared" si="16"/>
        <v>1226.854</v>
      </c>
      <c r="N35" s="115">
        <f t="shared" si="16"/>
        <v>5248.0749999999998</v>
      </c>
      <c r="O35" s="115">
        <f t="shared" si="16"/>
        <v>5363.8689999999997</v>
      </c>
      <c r="P35" s="116">
        <f t="shared" si="16"/>
        <v>5348.5479999999989</v>
      </c>
      <c r="Q35" s="115">
        <f t="shared" si="16"/>
        <v>5502.7539999999999</v>
      </c>
      <c r="R35" s="115">
        <f t="shared" si="16"/>
        <v>5597.8010000000004</v>
      </c>
      <c r="S35" s="115">
        <f t="shared" si="16"/>
        <v>5514.8739999999998</v>
      </c>
      <c r="T35" s="116">
        <f t="shared" si="16"/>
        <v>5561.3450000000003</v>
      </c>
      <c r="U35" s="115">
        <f t="shared" si="16"/>
        <v>5629.4740000000011</v>
      </c>
      <c r="V35" s="115">
        <f t="shared" si="16"/>
        <v>5592.7070000000003</v>
      </c>
      <c r="W35" s="115">
        <f t="shared" si="16"/>
        <v>5597.9810000000007</v>
      </c>
      <c r="X35" s="116">
        <f t="shared" si="16"/>
        <v>5676.23</v>
      </c>
      <c r="Y35" s="115">
        <f t="shared" si="16"/>
        <v>5851.1940000000004</v>
      </c>
      <c r="Z35" s="117">
        <f t="shared" si="16"/>
        <v>27827.1</v>
      </c>
      <c r="AA35" s="117">
        <f t="shared" si="16"/>
        <v>27481.199999999997</v>
      </c>
      <c r="AB35" s="118">
        <f t="shared" si="16"/>
        <v>27338.699999999997</v>
      </c>
      <c r="AC35" s="117">
        <f t="shared" si="16"/>
        <v>27088.9</v>
      </c>
      <c r="AD35" s="117">
        <f t="shared" si="16"/>
        <v>27141.8</v>
      </c>
      <c r="AE35" s="117">
        <f t="shared" si="16"/>
        <v>26143.5</v>
      </c>
      <c r="AF35" s="119">
        <f t="shared" si="16"/>
        <v>26490.099999999995</v>
      </c>
      <c r="AG35" s="120">
        <f t="shared" si="16"/>
        <v>28355.499999999996</v>
      </c>
      <c r="AH35" s="120">
        <f t="shared" si="16"/>
        <v>27581.1</v>
      </c>
      <c r="AI35" s="120">
        <f t="shared" si="16"/>
        <v>27493.100000000002</v>
      </c>
      <c r="AJ35" s="119">
        <f t="shared" si="16"/>
        <v>27729.299999999996</v>
      </c>
      <c r="AK35" s="120">
        <f t="shared" si="16"/>
        <v>27553.199999999997</v>
      </c>
      <c r="AL35" s="120">
        <f t="shared" si="16"/>
        <v>27317.5</v>
      </c>
      <c r="AM35" s="120">
        <f t="shared" si="16"/>
        <v>26892.599999999995</v>
      </c>
      <c r="AN35" s="120">
        <f t="shared" si="16"/>
        <v>27756</v>
      </c>
      <c r="AO35" s="120">
        <f>AO19+AO34</f>
        <v>27894.399999999998</v>
      </c>
      <c r="AP35" s="120">
        <f>AP19+AP34</f>
        <v>29751.599999999999</v>
      </c>
      <c r="AQ35" s="120">
        <f>AQ19+AQ34</f>
        <v>30395.3</v>
      </c>
      <c r="AR35" s="120">
        <f>AR19+AR34</f>
        <v>30696.799999999999</v>
      </c>
      <c r="AS35" s="121">
        <f>AS19+AS34</f>
        <v>31463.800000000003</v>
      </c>
      <c r="AU35" s="40"/>
    </row>
    <row r="36" spans="1:50" s="12" customFormat="1" ht="31.5" customHeight="1">
      <c r="A36" s="14" t="s">
        <v>80</v>
      </c>
      <c r="B36" s="123"/>
      <c r="C36" s="123"/>
      <c r="D36" s="123"/>
      <c r="E36" s="124"/>
      <c r="F36" s="125"/>
      <c r="G36" s="126"/>
      <c r="H36" s="19"/>
      <c r="I36" s="20"/>
      <c r="J36" s="19"/>
      <c r="K36" s="19"/>
      <c r="L36" s="20"/>
      <c r="M36" s="19"/>
      <c r="N36" s="19"/>
      <c r="O36" s="19"/>
      <c r="P36" s="20"/>
      <c r="Q36" s="19"/>
      <c r="R36" s="19"/>
      <c r="S36" s="19"/>
      <c r="T36" s="20"/>
      <c r="U36" s="19"/>
      <c r="V36" s="19"/>
      <c r="W36" s="19"/>
      <c r="X36" s="20"/>
      <c r="Y36" s="19"/>
      <c r="Z36" s="127"/>
      <c r="AA36" s="127"/>
      <c r="AB36" s="20"/>
      <c r="AC36" s="19"/>
      <c r="AD36" s="19"/>
      <c r="AE36" s="127"/>
      <c r="AF36" s="128"/>
      <c r="AG36" s="129"/>
      <c r="AH36" s="129"/>
      <c r="AI36" s="129"/>
      <c r="AJ36" s="128"/>
      <c r="AK36" s="129"/>
      <c r="AL36" s="129"/>
      <c r="AM36" s="129"/>
      <c r="AN36" s="128"/>
      <c r="AO36" s="130"/>
      <c r="AP36" s="130"/>
      <c r="AQ36" s="130"/>
      <c r="AR36" s="128"/>
      <c r="AS36" s="131"/>
      <c r="AU36" s="40"/>
    </row>
    <row r="37" spans="1:50" s="39" customFormat="1" ht="20.149999999999999" customHeight="1">
      <c r="A37" s="24" t="s">
        <v>81</v>
      </c>
      <c r="B37" s="25">
        <f>500*1/1000</f>
        <v>0.5</v>
      </c>
      <c r="C37" s="25">
        <f>10500*1/1000</f>
        <v>10.5</v>
      </c>
      <c r="D37" s="87">
        <f>10500*1/1000</f>
        <v>10.5</v>
      </c>
      <c r="E37" s="26">
        <f t="shared" ref="E37:M37" si="17">10733*1/1000</f>
        <v>10.733000000000001</v>
      </c>
      <c r="F37" s="27">
        <f t="shared" si="17"/>
        <v>10.733000000000001</v>
      </c>
      <c r="G37" s="26">
        <f t="shared" si="17"/>
        <v>10.733000000000001</v>
      </c>
      <c r="H37" s="27">
        <f t="shared" si="17"/>
        <v>10.733000000000001</v>
      </c>
      <c r="I37" s="26">
        <f t="shared" si="17"/>
        <v>10.733000000000001</v>
      </c>
      <c r="J37" s="27">
        <f t="shared" si="17"/>
        <v>10.733000000000001</v>
      </c>
      <c r="K37" s="27">
        <f t="shared" si="17"/>
        <v>10.733000000000001</v>
      </c>
      <c r="L37" s="26">
        <f t="shared" si="17"/>
        <v>10.733000000000001</v>
      </c>
      <c r="M37" s="27">
        <f t="shared" si="17"/>
        <v>10.733000000000001</v>
      </c>
      <c r="N37" s="27">
        <f t="shared" ref="N37:Y37" si="18">13934*1/1000</f>
        <v>13.933999999999999</v>
      </c>
      <c r="O37" s="27">
        <f t="shared" si="18"/>
        <v>13.933999999999999</v>
      </c>
      <c r="P37" s="26">
        <f t="shared" si="18"/>
        <v>13.933999999999999</v>
      </c>
      <c r="Q37" s="27">
        <f t="shared" si="18"/>
        <v>13.933999999999999</v>
      </c>
      <c r="R37" s="27">
        <f t="shared" si="18"/>
        <v>13.933999999999999</v>
      </c>
      <c r="S37" s="27">
        <f t="shared" si="18"/>
        <v>13.933999999999999</v>
      </c>
      <c r="T37" s="132">
        <f t="shared" si="18"/>
        <v>13.933999999999999</v>
      </c>
      <c r="U37" s="133">
        <f t="shared" si="18"/>
        <v>13.933999999999999</v>
      </c>
      <c r="V37" s="133">
        <f t="shared" si="18"/>
        <v>13.933999999999999</v>
      </c>
      <c r="W37" s="133">
        <f t="shared" si="18"/>
        <v>13.933999999999999</v>
      </c>
      <c r="X37" s="132">
        <f t="shared" si="18"/>
        <v>13.933999999999999</v>
      </c>
      <c r="Y37" s="133">
        <f t="shared" si="18"/>
        <v>13.933999999999999</v>
      </c>
      <c r="Z37" s="41">
        <v>25.6</v>
      </c>
      <c r="AA37" s="41">
        <v>25.6</v>
      </c>
      <c r="AB37" s="134">
        <v>25.6</v>
      </c>
      <c r="AC37" s="135">
        <v>25.6</v>
      </c>
      <c r="AD37" s="135">
        <v>25.6</v>
      </c>
      <c r="AE37" s="135">
        <v>25.6</v>
      </c>
      <c r="AF37" s="136">
        <v>25.6</v>
      </c>
      <c r="AG37" s="36">
        <v>25.6</v>
      </c>
      <c r="AH37" s="36">
        <v>25.6</v>
      </c>
      <c r="AI37" s="36">
        <v>25.6</v>
      </c>
      <c r="AJ37" s="136">
        <v>25.6</v>
      </c>
      <c r="AK37" s="36">
        <v>25.6</v>
      </c>
      <c r="AL37" s="36">
        <v>25.6</v>
      </c>
      <c r="AM37" s="36">
        <v>25.6</v>
      </c>
      <c r="AN37" s="35">
        <v>25.6</v>
      </c>
      <c r="AO37" s="37">
        <v>25.6</v>
      </c>
      <c r="AP37" s="37">
        <v>25.6</v>
      </c>
      <c r="AQ37" s="37">
        <v>25.6</v>
      </c>
      <c r="AR37" s="35">
        <v>25.6</v>
      </c>
      <c r="AS37" s="38">
        <v>25.6</v>
      </c>
      <c r="AU37" s="40"/>
    </row>
    <row r="38" spans="1:50" s="39" customFormat="1" ht="20.149999999999999" customHeight="1">
      <c r="A38" s="24" t="s">
        <v>82</v>
      </c>
      <c r="B38" s="42">
        <v>0</v>
      </c>
      <c r="C38" s="42">
        <v>0</v>
      </c>
      <c r="D38" s="42">
        <v>0</v>
      </c>
      <c r="E38" s="26">
        <f>3500*1/1000</f>
        <v>3.5</v>
      </c>
      <c r="F38" s="27">
        <f>3500*1/1000</f>
        <v>3.5</v>
      </c>
      <c r="G38" s="26">
        <f>3964*1/1000</f>
        <v>3.964</v>
      </c>
      <c r="H38" s="27">
        <f>73997*1/1000</f>
        <v>73.997</v>
      </c>
      <c r="I38" s="26">
        <f>73997*1/1000</f>
        <v>73.997</v>
      </c>
      <c r="J38" s="27">
        <f>156534*1/1000</f>
        <v>156.53399999999999</v>
      </c>
      <c r="K38" s="27">
        <f>156534*1/1000</f>
        <v>156.53399999999999</v>
      </c>
      <c r="L38" s="26">
        <f>156534*1/1000</f>
        <v>156.53399999999999</v>
      </c>
      <c r="M38" s="27">
        <f>156534*1/1000</f>
        <v>156.53399999999999</v>
      </c>
      <c r="N38" s="27">
        <f>432265*1/1000</f>
        <v>432.26499999999999</v>
      </c>
      <c r="O38" s="27">
        <f>432265*1/1000</f>
        <v>432.26499999999999</v>
      </c>
      <c r="P38" s="137" t="s">
        <v>83</v>
      </c>
      <c r="Q38" s="27">
        <f>432265*1/1000</f>
        <v>432.26499999999999</v>
      </c>
      <c r="R38" s="44">
        <v>0</v>
      </c>
      <c r="S38" s="44">
        <v>0</v>
      </c>
      <c r="T38" s="42">
        <v>0</v>
      </c>
      <c r="U38" s="44">
        <v>0</v>
      </c>
      <c r="V38" s="44">
        <v>0</v>
      </c>
      <c r="W38" s="44">
        <v>0</v>
      </c>
      <c r="X38" s="42">
        <v>0</v>
      </c>
      <c r="Y38" s="44">
        <v>0</v>
      </c>
      <c r="Z38" s="44">
        <v>0</v>
      </c>
      <c r="AA38" s="44">
        <v>0</v>
      </c>
      <c r="AB38" s="42">
        <v>0</v>
      </c>
      <c r="AC38" s="44">
        <v>0</v>
      </c>
      <c r="AD38" s="44">
        <v>0</v>
      </c>
      <c r="AE38" s="44">
        <v>0</v>
      </c>
      <c r="AF38" s="61">
        <v>0</v>
      </c>
      <c r="AG38" s="63">
        <v>0</v>
      </c>
      <c r="AH38" s="63">
        <v>0</v>
      </c>
      <c r="AI38" s="63">
        <v>0</v>
      </c>
      <c r="AJ38" s="61">
        <v>0</v>
      </c>
      <c r="AK38" s="63">
        <v>0</v>
      </c>
      <c r="AL38" s="63">
        <v>0</v>
      </c>
      <c r="AM38" s="63">
        <v>0</v>
      </c>
      <c r="AN38" s="61">
        <v>0</v>
      </c>
      <c r="AO38" s="138">
        <v>0</v>
      </c>
      <c r="AP38" s="138">
        <v>0</v>
      </c>
      <c r="AQ38" s="138">
        <v>0</v>
      </c>
      <c r="AR38" s="61">
        <v>0</v>
      </c>
      <c r="AS38" s="139">
        <v>0</v>
      </c>
      <c r="AU38" s="40"/>
    </row>
    <row r="39" spans="1:50" s="39" customFormat="1" ht="20.149999999999999" customHeight="1">
      <c r="A39" s="24" t="s">
        <v>84</v>
      </c>
      <c r="B39" s="42">
        <v>0</v>
      </c>
      <c r="C39" s="42">
        <v>0</v>
      </c>
      <c r="D39" s="42">
        <v>0</v>
      </c>
      <c r="E39" s="26">
        <f t="shared" ref="E39:M39" si="19">10174*1/1000</f>
        <v>10.173999999999999</v>
      </c>
      <c r="F39" s="27">
        <f t="shared" si="19"/>
        <v>10.173999999999999</v>
      </c>
      <c r="G39" s="26">
        <f t="shared" si="19"/>
        <v>10.173999999999999</v>
      </c>
      <c r="H39" s="27">
        <f t="shared" si="19"/>
        <v>10.173999999999999</v>
      </c>
      <c r="I39" s="26">
        <f t="shared" si="19"/>
        <v>10.173999999999999</v>
      </c>
      <c r="J39" s="27">
        <f t="shared" si="19"/>
        <v>10.173999999999999</v>
      </c>
      <c r="K39" s="27">
        <f t="shared" si="19"/>
        <v>10.173999999999999</v>
      </c>
      <c r="L39" s="26">
        <f t="shared" si="19"/>
        <v>10.173999999999999</v>
      </c>
      <c r="M39" s="27">
        <f t="shared" si="19"/>
        <v>10.173999999999999</v>
      </c>
      <c r="N39" s="27">
        <f>1305277*1/1000</f>
        <v>1305.277</v>
      </c>
      <c r="O39" s="140">
        <f>1305277*1/1000</f>
        <v>1305.277</v>
      </c>
      <c r="P39" s="141" t="s">
        <v>83</v>
      </c>
      <c r="Q39" s="140">
        <f>1305277*1/1000</f>
        <v>1305.277</v>
      </c>
      <c r="R39" s="44">
        <v>0</v>
      </c>
      <c r="S39" s="44">
        <v>0</v>
      </c>
      <c r="T39" s="42">
        <v>0</v>
      </c>
      <c r="U39" s="44">
        <v>0</v>
      </c>
      <c r="V39" s="44">
        <v>0</v>
      </c>
      <c r="W39" s="44">
        <v>0</v>
      </c>
      <c r="X39" s="42">
        <v>0</v>
      </c>
      <c r="Y39" s="44">
        <v>0</v>
      </c>
      <c r="Z39" s="44">
        <v>0</v>
      </c>
      <c r="AA39" s="44">
        <v>0</v>
      </c>
      <c r="AB39" s="42">
        <v>0</v>
      </c>
      <c r="AC39" s="44">
        <v>0</v>
      </c>
      <c r="AD39" s="44">
        <v>0</v>
      </c>
      <c r="AE39" s="44">
        <v>0</v>
      </c>
      <c r="AF39" s="61">
        <v>0</v>
      </c>
      <c r="AG39" s="63">
        <v>0</v>
      </c>
      <c r="AH39" s="63">
        <v>0</v>
      </c>
      <c r="AI39" s="63">
        <v>0</v>
      </c>
      <c r="AJ39" s="61">
        <v>0</v>
      </c>
      <c r="AK39" s="63">
        <v>0</v>
      </c>
      <c r="AL39" s="63">
        <v>0</v>
      </c>
      <c r="AM39" s="63">
        <v>0</v>
      </c>
      <c r="AN39" s="61">
        <v>0</v>
      </c>
      <c r="AO39" s="138">
        <v>0</v>
      </c>
      <c r="AP39" s="138">
        <v>0</v>
      </c>
      <c r="AQ39" s="138">
        <v>0</v>
      </c>
      <c r="AR39" s="61">
        <v>0</v>
      </c>
      <c r="AS39" s="139">
        <v>0</v>
      </c>
      <c r="AU39" s="40"/>
    </row>
    <row r="40" spans="1:50" s="39" customFormat="1" ht="20.149999999999999" customHeight="1">
      <c r="A40" s="24" t="s">
        <v>85</v>
      </c>
      <c r="B40" s="54" t="s">
        <v>83</v>
      </c>
      <c r="C40" s="54" t="s">
        <v>83</v>
      </c>
      <c r="D40" s="54" t="s">
        <v>83</v>
      </c>
      <c r="E40" s="54" t="s">
        <v>83</v>
      </c>
      <c r="F40" s="55" t="s">
        <v>83</v>
      </c>
      <c r="G40" s="142" t="s">
        <v>83</v>
      </c>
      <c r="H40" s="55" t="s">
        <v>83</v>
      </c>
      <c r="I40" s="142" t="s">
        <v>83</v>
      </c>
      <c r="J40" s="55" t="s">
        <v>83</v>
      </c>
      <c r="K40" s="143" t="s">
        <v>83</v>
      </c>
      <c r="L40" s="137" t="s">
        <v>83</v>
      </c>
      <c r="M40" s="143" t="s">
        <v>83</v>
      </c>
      <c r="N40" s="144" t="s">
        <v>83</v>
      </c>
      <c r="O40" s="144" t="s">
        <v>83</v>
      </c>
      <c r="P40" s="145">
        <f>1295103*1/1000</f>
        <v>1295.1030000000001</v>
      </c>
      <c r="Q40" s="146" t="s">
        <v>83</v>
      </c>
      <c r="R40" s="140">
        <f t="shared" ref="R40:Y40" si="20">1295103*1/1000</f>
        <v>1295.1030000000001</v>
      </c>
      <c r="S40" s="140">
        <f t="shared" si="20"/>
        <v>1295.1030000000001</v>
      </c>
      <c r="T40" s="147">
        <f t="shared" si="20"/>
        <v>1295.1030000000001</v>
      </c>
      <c r="U40" s="148">
        <f t="shared" si="20"/>
        <v>1295.1030000000001</v>
      </c>
      <c r="V40" s="148">
        <f t="shared" si="20"/>
        <v>1295.1030000000001</v>
      </c>
      <c r="W40" s="148">
        <f t="shared" si="20"/>
        <v>1295.1030000000001</v>
      </c>
      <c r="X40" s="147">
        <f t="shared" si="20"/>
        <v>1295.1030000000001</v>
      </c>
      <c r="Y40" s="148">
        <f t="shared" si="20"/>
        <v>1295.1030000000001</v>
      </c>
      <c r="Z40" s="149">
        <v>7237.5</v>
      </c>
      <c r="AA40" s="149">
        <v>7237.5</v>
      </c>
      <c r="AB40" s="150">
        <v>7174</v>
      </c>
      <c r="AC40" s="151">
        <v>7237.4</v>
      </c>
      <c r="AD40" s="151">
        <v>7174</v>
      </c>
      <c r="AE40" s="151">
        <v>7174</v>
      </c>
      <c r="AF40" s="35">
        <v>7174</v>
      </c>
      <c r="AG40" s="36">
        <v>7174</v>
      </c>
      <c r="AH40" s="36">
        <v>7174</v>
      </c>
      <c r="AI40" s="36">
        <v>7174</v>
      </c>
      <c r="AJ40" s="35">
        <v>7174</v>
      </c>
      <c r="AK40" s="36">
        <v>7174</v>
      </c>
      <c r="AL40" s="36">
        <v>7174</v>
      </c>
      <c r="AM40" s="36">
        <v>7174</v>
      </c>
      <c r="AN40" s="35">
        <v>7174</v>
      </c>
      <c r="AO40" s="37">
        <v>7174</v>
      </c>
      <c r="AP40" s="37">
        <v>7174</v>
      </c>
      <c r="AQ40" s="37">
        <v>7174</v>
      </c>
      <c r="AR40" s="35">
        <v>7174</v>
      </c>
      <c r="AS40" s="38">
        <v>7174</v>
      </c>
      <c r="AU40" s="40"/>
    </row>
    <row r="41" spans="1:50" s="39" customFormat="1" ht="20.149999999999999" customHeight="1">
      <c r="A41" s="24" t="s">
        <v>86</v>
      </c>
      <c r="B41" s="42">
        <v>0</v>
      </c>
      <c r="C41" s="42">
        <v>0</v>
      </c>
      <c r="D41" s="42">
        <v>0</v>
      </c>
      <c r="E41" s="42">
        <v>0</v>
      </c>
      <c r="F41" s="44">
        <v>0</v>
      </c>
      <c r="G41" s="42">
        <v>0</v>
      </c>
      <c r="H41" s="44">
        <v>0</v>
      </c>
      <c r="I41" s="42">
        <v>0</v>
      </c>
      <c r="J41" s="44">
        <v>0</v>
      </c>
      <c r="K41" s="44">
        <v>0</v>
      </c>
      <c r="L41" s="42">
        <v>0</v>
      </c>
      <c r="M41" s="44">
        <v>0</v>
      </c>
      <c r="N41" s="152">
        <f>-927*1/1000</f>
        <v>-0.92700000000000005</v>
      </c>
      <c r="O41" s="152">
        <f>5230*1/1000</f>
        <v>5.23</v>
      </c>
      <c r="P41" s="137" t="s">
        <v>83</v>
      </c>
      <c r="Q41" s="152">
        <f>-3170*1/1000</f>
        <v>-3.17</v>
      </c>
      <c r="R41" s="44">
        <v>0</v>
      </c>
      <c r="S41" s="44">
        <v>0</v>
      </c>
      <c r="T41" s="42">
        <v>0</v>
      </c>
      <c r="U41" s="44">
        <v>0</v>
      </c>
      <c r="V41" s="44">
        <v>0</v>
      </c>
      <c r="W41" s="44">
        <v>0</v>
      </c>
      <c r="X41" s="42">
        <v>0</v>
      </c>
      <c r="Y41" s="44">
        <v>0</v>
      </c>
      <c r="Z41" s="44">
        <v>0</v>
      </c>
      <c r="AA41" s="44">
        <v>0</v>
      </c>
      <c r="AB41" s="42">
        <v>0</v>
      </c>
      <c r="AC41" s="44">
        <v>0</v>
      </c>
      <c r="AD41" s="44">
        <v>0</v>
      </c>
      <c r="AE41" s="44">
        <v>0</v>
      </c>
      <c r="AF41" s="61">
        <v>0</v>
      </c>
      <c r="AG41" s="63">
        <v>0</v>
      </c>
      <c r="AH41" s="63">
        <v>0</v>
      </c>
      <c r="AI41" s="63">
        <v>0</v>
      </c>
      <c r="AJ41" s="61">
        <v>0</v>
      </c>
      <c r="AK41" s="63">
        <v>0</v>
      </c>
      <c r="AL41" s="63">
        <v>0</v>
      </c>
      <c r="AM41" s="63">
        <v>0</v>
      </c>
      <c r="AN41" s="61">
        <v>0</v>
      </c>
      <c r="AO41" s="138">
        <v>0</v>
      </c>
      <c r="AP41" s="138">
        <v>0</v>
      </c>
      <c r="AQ41" s="138">
        <v>0</v>
      </c>
      <c r="AR41" s="61">
        <v>0</v>
      </c>
      <c r="AS41" s="139">
        <v>0</v>
      </c>
      <c r="AU41" s="40"/>
    </row>
    <row r="42" spans="1:50" s="39" customFormat="1" ht="20.149999999999999" customHeight="1">
      <c r="A42" s="24" t="s">
        <v>87</v>
      </c>
      <c r="B42" s="42">
        <v>0</v>
      </c>
      <c r="C42" s="42">
        <v>0</v>
      </c>
      <c r="D42" s="42">
        <v>0</v>
      </c>
      <c r="E42" s="42">
        <v>0</v>
      </c>
      <c r="F42" s="44">
        <v>0</v>
      </c>
      <c r="G42" s="42">
        <v>0</v>
      </c>
      <c r="H42" s="44">
        <v>0</v>
      </c>
      <c r="I42" s="42">
        <v>0</v>
      </c>
      <c r="J42" s="44">
        <v>0</v>
      </c>
      <c r="K42" s="44">
        <v>0</v>
      </c>
      <c r="L42" s="42">
        <v>0</v>
      </c>
      <c r="M42" s="44">
        <v>0</v>
      </c>
      <c r="N42" s="152">
        <f>-608*1/1000</f>
        <v>-0.60799999999999998</v>
      </c>
      <c r="O42" s="152">
        <f>3449*1/1000</f>
        <v>3.4489999999999998</v>
      </c>
      <c r="P42" s="137" t="s">
        <v>83</v>
      </c>
      <c r="Q42" s="152">
        <f>2396*1/1000</f>
        <v>2.3959999999999999</v>
      </c>
      <c r="R42" s="44">
        <v>0</v>
      </c>
      <c r="S42" s="44">
        <v>0</v>
      </c>
      <c r="T42" s="42">
        <v>0</v>
      </c>
      <c r="U42" s="44">
        <v>0</v>
      </c>
      <c r="V42" s="44">
        <v>0</v>
      </c>
      <c r="W42" s="44">
        <v>0</v>
      </c>
      <c r="X42" s="42">
        <v>0</v>
      </c>
      <c r="Y42" s="44">
        <v>0</v>
      </c>
      <c r="Z42" s="44">
        <v>0</v>
      </c>
      <c r="AA42" s="44">
        <v>0</v>
      </c>
      <c r="AB42" s="42">
        <v>0</v>
      </c>
      <c r="AC42" s="44">
        <v>0</v>
      </c>
      <c r="AD42" s="44">
        <v>0</v>
      </c>
      <c r="AE42" s="44">
        <v>0</v>
      </c>
      <c r="AF42" s="61">
        <v>0</v>
      </c>
      <c r="AG42" s="63">
        <v>0</v>
      </c>
      <c r="AH42" s="63">
        <v>0</v>
      </c>
      <c r="AI42" s="63">
        <v>0</v>
      </c>
      <c r="AJ42" s="61">
        <v>0</v>
      </c>
      <c r="AK42" s="63">
        <v>0</v>
      </c>
      <c r="AL42" s="63">
        <v>0</v>
      </c>
      <c r="AM42" s="63">
        <v>0</v>
      </c>
      <c r="AN42" s="61">
        <v>0</v>
      </c>
      <c r="AO42" s="138">
        <v>0</v>
      </c>
      <c r="AP42" s="138">
        <v>0</v>
      </c>
      <c r="AQ42" s="138">
        <v>0</v>
      </c>
      <c r="AR42" s="61">
        <v>0</v>
      </c>
      <c r="AS42" s="139">
        <v>0</v>
      </c>
      <c r="AU42" s="40"/>
      <c r="AW42" s="78"/>
    </row>
    <row r="43" spans="1:50" s="39" customFormat="1" ht="20.149999999999999" customHeight="1">
      <c r="A43" s="24" t="s">
        <v>88</v>
      </c>
      <c r="B43" s="54" t="s">
        <v>83</v>
      </c>
      <c r="C43" s="54" t="s">
        <v>83</v>
      </c>
      <c r="D43" s="54" t="s">
        <v>83</v>
      </c>
      <c r="E43" s="54" t="s">
        <v>83</v>
      </c>
      <c r="F43" s="55" t="s">
        <v>83</v>
      </c>
      <c r="G43" s="142" t="s">
        <v>83</v>
      </c>
      <c r="H43" s="55" t="s">
        <v>83</v>
      </c>
      <c r="I43" s="142" t="s">
        <v>83</v>
      </c>
      <c r="J43" s="55" t="s">
        <v>83</v>
      </c>
      <c r="K43" s="143" t="s">
        <v>83</v>
      </c>
      <c r="L43" s="137" t="s">
        <v>83</v>
      </c>
      <c r="M43" s="143" t="s">
        <v>83</v>
      </c>
      <c r="N43" s="144" t="s">
        <v>83</v>
      </c>
      <c r="O43" s="144" t="s">
        <v>83</v>
      </c>
      <c r="P43" s="26">
        <v>9.6110000000000007</v>
      </c>
      <c r="Q43" s="143" t="s">
        <v>83</v>
      </c>
      <c r="R43" s="27">
        <f>1225*1/1000</f>
        <v>1.2250000000000001</v>
      </c>
      <c r="S43" s="152">
        <f>-8191*1/1000</f>
        <v>-8.1910000000000007</v>
      </c>
      <c r="T43" s="153">
        <f>-16327*1/1000</f>
        <v>-16.327000000000002</v>
      </c>
      <c r="U43" s="152">
        <f>-17667*1/1000</f>
        <v>-17.667000000000002</v>
      </c>
      <c r="V43" s="152">
        <f>-13285*1/1000</f>
        <v>-13.285</v>
      </c>
      <c r="W43" s="152">
        <f>-11455*1/1000</f>
        <v>-11.455</v>
      </c>
      <c r="X43" s="153">
        <f>-8964*1/1000</f>
        <v>-8.9640000000000004</v>
      </c>
      <c r="Y43" s="44">
        <v>0</v>
      </c>
      <c r="Z43" s="44">
        <v>0</v>
      </c>
      <c r="AA43" s="154">
        <v>-9.1999999999999993</v>
      </c>
      <c r="AB43" s="155">
        <v>-12.2</v>
      </c>
      <c r="AC43" s="154">
        <v>-12.7</v>
      </c>
      <c r="AD43" s="154">
        <v>-7.9</v>
      </c>
      <c r="AE43" s="154">
        <v>-8.1999999999999993</v>
      </c>
      <c r="AF43" s="35">
        <v>-3.7</v>
      </c>
      <c r="AG43" s="62">
        <v>-1.7</v>
      </c>
      <c r="AH43" s="62">
        <v>0.1</v>
      </c>
      <c r="AI43" s="62">
        <v>2.2000000000000002</v>
      </c>
      <c r="AJ43" s="35">
        <v>4.5</v>
      </c>
      <c r="AK43" s="62">
        <v>3.8</v>
      </c>
      <c r="AL43" s="62">
        <v>3.6</v>
      </c>
      <c r="AM43" s="62">
        <v>3.5</v>
      </c>
      <c r="AN43" s="35">
        <v>3.2</v>
      </c>
      <c r="AO43" s="156">
        <v>2.8</v>
      </c>
      <c r="AP43" s="156">
        <v>-204.3</v>
      </c>
      <c r="AQ43" s="156">
        <v>-204.1</v>
      </c>
      <c r="AR43" s="35">
        <v>-162.5</v>
      </c>
      <c r="AS43" s="157">
        <v>-162.4</v>
      </c>
      <c r="AU43" s="40"/>
      <c r="AW43" s="83"/>
    </row>
    <row r="44" spans="1:50" s="39" customFormat="1" ht="20.149999999999999" customHeight="1" thickBot="1">
      <c r="A44" s="24" t="s">
        <v>89</v>
      </c>
      <c r="B44" s="51">
        <f>-94429*1/1000</f>
        <v>-94.429000000000002</v>
      </c>
      <c r="C44" s="51">
        <f>-128937*1/1000</f>
        <v>-128.93700000000001</v>
      </c>
      <c r="D44" s="51">
        <f>-73188*1/1000</f>
        <v>-73.188000000000002</v>
      </c>
      <c r="E44" s="51">
        <f>36733*1/1000</f>
        <v>36.732999999999997</v>
      </c>
      <c r="F44" s="27">
        <f>179696*1/1000</f>
        <v>179.696</v>
      </c>
      <c r="G44" s="26">
        <f>268467*1/1000</f>
        <v>268.46699999999998</v>
      </c>
      <c r="H44" s="27">
        <f>125905*1/1000</f>
        <v>125.905</v>
      </c>
      <c r="I44" s="26">
        <f>227509*1/1000</f>
        <v>227.50899999999999</v>
      </c>
      <c r="J44" s="27">
        <f>145155*1/1000</f>
        <v>145.155</v>
      </c>
      <c r="K44" s="27">
        <f>213548*1/1000</f>
        <v>213.548</v>
      </c>
      <c r="L44" s="26">
        <f>250497*1/1000</f>
        <v>250.49700000000001</v>
      </c>
      <c r="M44" s="27">
        <f>326895*1/1000</f>
        <v>326.89499999999998</v>
      </c>
      <c r="N44" s="27">
        <f>120646*1/1000</f>
        <v>120.646</v>
      </c>
      <c r="O44" s="27">
        <f>58659*1/1000</f>
        <v>58.658999999999999</v>
      </c>
      <c r="P44" s="26">
        <f>577395*1/1000</f>
        <v>577.39499999999998</v>
      </c>
      <c r="Q44" s="27">
        <f>340065*1/1000</f>
        <v>340.065</v>
      </c>
      <c r="R44" s="27">
        <f>882007*1/1000</f>
        <v>882.00699999999995</v>
      </c>
      <c r="S44" s="140">
        <f>1054069*1/1000</f>
        <v>1054.069</v>
      </c>
      <c r="T44" s="147">
        <f>1175693*1/1000</f>
        <v>1175.693</v>
      </c>
      <c r="U44" s="140">
        <f>1270798*1/1000</f>
        <v>1270.798</v>
      </c>
      <c r="V44" s="140">
        <f>1351543*1/1000</f>
        <v>1351.5429999999999</v>
      </c>
      <c r="W44" s="140">
        <f>1527994*1/1000</f>
        <v>1527.9939999999999</v>
      </c>
      <c r="X44" s="147">
        <f>1701138*1/1000</f>
        <v>1701.1379999999999</v>
      </c>
      <c r="Y44" s="140">
        <f>1799310*1/1000</f>
        <v>1799.31</v>
      </c>
      <c r="Z44" s="149">
        <v>1828.6</v>
      </c>
      <c r="AA44" s="149">
        <v>1876.8</v>
      </c>
      <c r="AB44" s="134">
        <v>1890.8</v>
      </c>
      <c r="AC44" s="149">
        <v>2061.6</v>
      </c>
      <c r="AD44" s="149">
        <v>2366.1</v>
      </c>
      <c r="AE44" s="149">
        <v>2868.6</v>
      </c>
      <c r="AF44" s="35">
        <v>3054.2</v>
      </c>
      <c r="AG44" s="62">
        <v>3229.7</v>
      </c>
      <c r="AH44" s="62">
        <v>3467.4</v>
      </c>
      <c r="AI44" s="62">
        <v>3745.6</v>
      </c>
      <c r="AJ44" s="35">
        <v>4095.5</v>
      </c>
      <c r="AK44" s="62">
        <v>4374.8999999999996</v>
      </c>
      <c r="AL44" s="62">
        <v>4461.3999999999996</v>
      </c>
      <c r="AM44" s="62">
        <v>4704.3</v>
      </c>
      <c r="AN44" s="35">
        <v>4871.3999999999996</v>
      </c>
      <c r="AO44" s="156">
        <v>5668.6</v>
      </c>
      <c r="AP44" s="156">
        <v>5904.4</v>
      </c>
      <c r="AQ44" s="156">
        <v>6130.5</v>
      </c>
      <c r="AR44" s="35">
        <v>6189.9</v>
      </c>
      <c r="AS44" s="157">
        <v>6481.8</v>
      </c>
      <c r="AU44" s="40"/>
    </row>
    <row r="45" spans="1:50" s="83" customFormat="1" ht="20.149999999999999" customHeight="1" thickBot="1">
      <c r="A45" s="158" t="s">
        <v>90</v>
      </c>
      <c r="B45" s="159">
        <f t="shared" ref="B45:I45" si="21">SUM(B37:B44)</f>
        <v>-93.929000000000002</v>
      </c>
      <c r="C45" s="159">
        <f t="shared" si="21"/>
        <v>-118.43700000000001</v>
      </c>
      <c r="D45" s="159">
        <f t="shared" si="21"/>
        <v>-62.688000000000002</v>
      </c>
      <c r="E45" s="159">
        <f t="shared" si="21"/>
        <v>61.14</v>
      </c>
      <c r="F45" s="104">
        <f t="shared" si="21"/>
        <v>204.10300000000001</v>
      </c>
      <c r="G45" s="103">
        <f t="shared" si="21"/>
        <v>293.33799999999997</v>
      </c>
      <c r="H45" s="104">
        <f t="shared" si="21"/>
        <v>220.809</v>
      </c>
      <c r="I45" s="103">
        <f t="shared" si="21"/>
        <v>322.41300000000001</v>
      </c>
      <c r="J45" s="104">
        <f t="shared" ref="J45:AR45" si="22">SUM(J37:J44)</f>
        <v>322.596</v>
      </c>
      <c r="K45" s="104">
        <f t="shared" si="22"/>
        <v>390.98900000000003</v>
      </c>
      <c r="L45" s="103">
        <f t="shared" si="22"/>
        <v>427.93799999999999</v>
      </c>
      <c r="M45" s="104">
        <f t="shared" si="22"/>
        <v>504.33600000000001</v>
      </c>
      <c r="N45" s="160">
        <f t="shared" si="22"/>
        <v>1870.5870000000002</v>
      </c>
      <c r="O45" s="160">
        <f t="shared" si="22"/>
        <v>1818.8140000000003</v>
      </c>
      <c r="P45" s="161">
        <f t="shared" si="22"/>
        <v>1896.0430000000001</v>
      </c>
      <c r="Q45" s="160">
        <f t="shared" si="22"/>
        <v>2090.7669999999998</v>
      </c>
      <c r="R45" s="160">
        <f t="shared" si="22"/>
        <v>2192.2689999999998</v>
      </c>
      <c r="S45" s="160">
        <f t="shared" si="22"/>
        <v>2354.915</v>
      </c>
      <c r="T45" s="161">
        <f t="shared" si="22"/>
        <v>2468.4030000000002</v>
      </c>
      <c r="U45" s="160">
        <f t="shared" si="22"/>
        <v>2562.1680000000001</v>
      </c>
      <c r="V45" s="160">
        <f t="shared" si="22"/>
        <v>2647.2950000000001</v>
      </c>
      <c r="W45" s="160">
        <f t="shared" si="22"/>
        <v>2825.576</v>
      </c>
      <c r="X45" s="161">
        <f t="shared" si="22"/>
        <v>3001.2110000000002</v>
      </c>
      <c r="Y45" s="160">
        <f t="shared" si="22"/>
        <v>3108.3469999999998</v>
      </c>
      <c r="Z45" s="162">
        <f t="shared" si="22"/>
        <v>9091.7000000000007</v>
      </c>
      <c r="AA45" s="162">
        <f t="shared" si="22"/>
        <v>9130.7000000000007</v>
      </c>
      <c r="AB45" s="163">
        <f t="shared" si="22"/>
        <v>9078.2000000000007</v>
      </c>
      <c r="AC45" s="162">
        <f t="shared" si="22"/>
        <v>9311.9</v>
      </c>
      <c r="AD45" s="162">
        <f t="shared" si="22"/>
        <v>9557.8000000000011</v>
      </c>
      <c r="AE45" s="162">
        <f t="shared" si="22"/>
        <v>10060</v>
      </c>
      <c r="AF45" s="164">
        <f t="shared" si="22"/>
        <v>10250.1</v>
      </c>
      <c r="AG45" s="165">
        <f t="shared" si="22"/>
        <v>10427.6</v>
      </c>
      <c r="AH45" s="165">
        <f t="shared" si="22"/>
        <v>10667.1</v>
      </c>
      <c r="AI45" s="165">
        <f t="shared" si="22"/>
        <v>10947.4</v>
      </c>
      <c r="AJ45" s="164">
        <f t="shared" si="22"/>
        <v>11299.6</v>
      </c>
      <c r="AK45" s="165">
        <f t="shared" si="22"/>
        <v>11578.3</v>
      </c>
      <c r="AL45" s="165">
        <f t="shared" si="22"/>
        <v>11664.6</v>
      </c>
      <c r="AM45" s="165">
        <f t="shared" si="22"/>
        <v>11907.400000000001</v>
      </c>
      <c r="AN45" s="165">
        <f t="shared" si="22"/>
        <v>12074.2</v>
      </c>
      <c r="AO45" s="110">
        <f t="shared" si="22"/>
        <v>12871</v>
      </c>
      <c r="AP45" s="110">
        <f t="shared" si="22"/>
        <v>12899.7</v>
      </c>
      <c r="AQ45" s="110">
        <f t="shared" si="22"/>
        <v>13126</v>
      </c>
      <c r="AR45" s="165">
        <f t="shared" si="22"/>
        <v>13227</v>
      </c>
      <c r="AS45" s="111">
        <f>SUM(AS37:AS44)</f>
        <v>13519</v>
      </c>
      <c r="AU45" s="40"/>
      <c r="AV45" s="39"/>
      <c r="AW45" s="39"/>
    </row>
    <row r="46" spans="1:50" s="39" customFormat="1" ht="20.149999999999999" customHeight="1" thickBot="1">
      <c r="A46" s="24" t="s">
        <v>91</v>
      </c>
      <c r="B46" s="25">
        <f>321*1/1000</f>
        <v>0.32100000000000001</v>
      </c>
      <c r="C46" s="25">
        <f>126*1/1000</f>
        <v>0.126</v>
      </c>
      <c r="D46" s="25">
        <f>70*1/1000</f>
        <v>7.0000000000000007E-2</v>
      </c>
      <c r="E46" s="42">
        <v>0</v>
      </c>
      <c r="F46" s="44">
        <v>0</v>
      </c>
      <c r="G46" s="42">
        <v>0</v>
      </c>
      <c r="H46" s="44">
        <v>0</v>
      </c>
      <c r="I46" s="42">
        <v>0</v>
      </c>
      <c r="J46" s="44">
        <v>0</v>
      </c>
      <c r="K46" s="44">
        <v>0</v>
      </c>
      <c r="L46" s="42">
        <v>0</v>
      </c>
      <c r="M46" s="44">
        <v>0</v>
      </c>
      <c r="N46" s="44">
        <v>0</v>
      </c>
      <c r="O46" s="44">
        <v>0</v>
      </c>
      <c r="P46" s="42">
        <v>0</v>
      </c>
      <c r="Q46" s="44">
        <v>0</v>
      </c>
      <c r="R46" s="44">
        <v>0</v>
      </c>
      <c r="S46" s="44">
        <v>0</v>
      </c>
      <c r="T46" s="42">
        <v>0</v>
      </c>
      <c r="U46" s="44">
        <v>0</v>
      </c>
      <c r="V46" s="44">
        <v>0</v>
      </c>
      <c r="W46" s="166">
        <f>2/1000</f>
        <v>2E-3</v>
      </c>
      <c r="X46" s="167">
        <f>2/1000</f>
        <v>2E-3</v>
      </c>
      <c r="Y46" s="166">
        <f>2/1000</f>
        <v>2E-3</v>
      </c>
      <c r="Z46" s="44">
        <v>0</v>
      </c>
      <c r="AA46" s="44">
        <v>0</v>
      </c>
      <c r="AB46" s="42">
        <v>0</v>
      </c>
      <c r="AC46" s="44">
        <v>0</v>
      </c>
      <c r="AD46" s="44">
        <v>0</v>
      </c>
      <c r="AE46" s="44">
        <v>0</v>
      </c>
      <c r="AF46" s="61">
        <v>0</v>
      </c>
      <c r="AG46" s="63">
        <v>-22.4</v>
      </c>
      <c r="AH46" s="63">
        <v>94.5</v>
      </c>
      <c r="AI46" s="63">
        <v>86.1</v>
      </c>
      <c r="AJ46" s="61">
        <v>78</v>
      </c>
      <c r="AK46" s="63">
        <v>70</v>
      </c>
      <c r="AL46" s="63">
        <v>60.5</v>
      </c>
      <c r="AM46" s="63">
        <v>52.5</v>
      </c>
      <c r="AN46" s="61">
        <v>42.6</v>
      </c>
      <c r="AO46" s="138">
        <v>34</v>
      </c>
      <c r="AP46" s="138">
        <v>554.29999999999995</v>
      </c>
      <c r="AQ46" s="138">
        <v>555.29999999999995</v>
      </c>
      <c r="AR46" s="61">
        <v>648.20000000000005</v>
      </c>
      <c r="AS46" s="139">
        <v>653.6</v>
      </c>
      <c r="AU46" s="40"/>
    </row>
    <row r="47" spans="1:50" s="83" customFormat="1" ht="20.149999999999999" customHeight="1" thickBot="1">
      <c r="A47" s="158" t="s">
        <v>92</v>
      </c>
      <c r="B47" s="168">
        <f>B45+B46</f>
        <v>-93.608000000000004</v>
      </c>
      <c r="C47" s="168">
        <f t="shared" ref="C47:S47" si="23">C45+C46</f>
        <v>-118.31100000000001</v>
      </c>
      <c r="D47" s="168">
        <f t="shared" si="23"/>
        <v>-62.618000000000002</v>
      </c>
      <c r="E47" s="168">
        <f t="shared" si="23"/>
        <v>61.14</v>
      </c>
      <c r="F47" s="104">
        <f t="shared" si="23"/>
        <v>204.10300000000001</v>
      </c>
      <c r="G47" s="103">
        <f t="shared" si="23"/>
        <v>293.33799999999997</v>
      </c>
      <c r="H47" s="104">
        <f t="shared" si="23"/>
        <v>220.809</v>
      </c>
      <c r="I47" s="103">
        <f t="shared" si="23"/>
        <v>322.41300000000001</v>
      </c>
      <c r="J47" s="104">
        <f t="shared" si="23"/>
        <v>322.596</v>
      </c>
      <c r="K47" s="104">
        <f t="shared" si="23"/>
        <v>390.98900000000003</v>
      </c>
      <c r="L47" s="103">
        <f t="shared" si="23"/>
        <v>427.93799999999999</v>
      </c>
      <c r="M47" s="104">
        <f t="shared" si="23"/>
        <v>504.33600000000001</v>
      </c>
      <c r="N47" s="160">
        <f t="shared" si="23"/>
        <v>1870.5870000000002</v>
      </c>
      <c r="O47" s="160">
        <f t="shared" si="23"/>
        <v>1818.8140000000003</v>
      </c>
      <c r="P47" s="161">
        <f t="shared" si="23"/>
        <v>1896.0430000000001</v>
      </c>
      <c r="Q47" s="160">
        <f t="shared" si="23"/>
        <v>2090.7669999999998</v>
      </c>
      <c r="R47" s="160">
        <f t="shared" si="23"/>
        <v>2192.2689999999998</v>
      </c>
      <c r="S47" s="160">
        <f t="shared" si="23"/>
        <v>2354.915</v>
      </c>
      <c r="T47" s="161">
        <f t="shared" ref="T47:V47" si="24">T45</f>
        <v>2468.4030000000002</v>
      </c>
      <c r="U47" s="160">
        <f t="shared" si="24"/>
        <v>2562.1680000000001</v>
      </c>
      <c r="V47" s="160">
        <f t="shared" si="24"/>
        <v>2647.2950000000001</v>
      </c>
      <c r="W47" s="160">
        <f>SUM(W45:W46)</f>
        <v>2825.578</v>
      </c>
      <c r="X47" s="161">
        <f t="shared" ref="X47:AS47" si="25">X45+X46</f>
        <v>3001.2130000000002</v>
      </c>
      <c r="Y47" s="160">
        <f t="shared" si="25"/>
        <v>3108.3489999999997</v>
      </c>
      <c r="Z47" s="162">
        <f t="shared" si="25"/>
        <v>9091.7000000000007</v>
      </c>
      <c r="AA47" s="162">
        <f t="shared" si="25"/>
        <v>9130.7000000000007</v>
      </c>
      <c r="AB47" s="163">
        <f t="shared" si="25"/>
        <v>9078.2000000000007</v>
      </c>
      <c r="AC47" s="162">
        <f t="shared" si="25"/>
        <v>9311.9</v>
      </c>
      <c r="AD47" s="162">
        <f t="shared" si="25"/>
        <v>9557.8000000000011</v>
      </c>
      <c r="AE47" s="162">
        <f t="shared" si="25"/>
        <v>10060</v>
      </c>
      <c r="AF47" s="164">
        <f t="shared" si="25"/>
        <v>10250.1</v>
      </c>
      <c r="AG47" s="165">
        <f t="shared" si="25"/>
        <v>10405.200000000001</v>
      </c>
      <c r="AH47" s="165">
        <f t="shared" si="25"/>
        <v>10761.6</v>
      </c>
      <c r="AI47" s="165">
        <f t="shared" si="25"/>
        <v>11033.5</v>
      </c>
      <c r="AJ47" s="164">
        <f t="shared" si="25"/>
        <v>11377.6</v>
      </c>
      <c r="AK47" s="165">
        <f t="shared" si="25"/>
        <v>11648.3</v>
      </c>
      <c r="AL47" s="165">
        <f t="shared" si="25"/>
        <v>11725.1</v>
      </c>
      <c r="AM47" s="165">
        <f t="shared" si="25"/>
        <v>11959.900000000001</v>
      </c>
      <c r="AN47" s="165">
        <f t="shared" si="25"/>
        <v>12116.800000000001</v>
      </c>
      <c r="AO47" s="110">
        <f t="shared" si="25"/>
        <v>12905</v>
      </c>
      <c r="AP47" s="110">
        <f t="shared" si="25"/>
        <v>13454</v>
      </c>
      <c r="AQ47" s="110">
        <f t="shared" si="25"/>
        <v>13681.3</v>
      </c>
      <c r="AR47" s="165">
        <f t="shared" si="25"/>
        <v>13875.2</v>
      </c>
      <c r="AS47" s="111">
        <f t="shared" si="25"/>
        <v>14172.6</v>
      </c>
      <c r="AU47" s="40"/>
      <c r="AV47" s="78"/>
      <c r="AW47" s="39"/>
      <c r="AX47" s="39"/>
    </row>
    <row r="48" spans="1:50" s="39" customFormat="1" ht="20.149999999999999" customHeight="1">
      <c r="A48" s="24" t="s">
        <v>93</v>
      </c>
      <c r="B48" s="25">
        <f>198263*1/1000</f>
        <v>198.26300000000001</v>
      </c>
      <c r="C48" s="42">
        <v>0</v>
      </c>
      <c r="D48" s="87">
        <f>29240*1/1000</f>
        <v>29.24</v>
      </c>
      <c r="E48" s="26">
        <f>132226*1/1000</f>
        <v>132.226</v>
      </c>
      <c r="F48" s="27">
        <f>73747*1/1000</f>
        <v>73.747</v>
      </c>
      <c r="G48" s="26">
        <f>44135*1/1000</f>
        <v>44.134999999999998</v>
      </c>
      <c r="H48" s="27">
        <f>15054*1/1000</f>
        <v>15.054</v>
      </c>
      <c r="I48" s="42">
        <v>0</v>
      </c>
      <c r="J48" s="44">
        <v>0</v>
      </c>
      <c r="K48" s="44">
        <v>0</v>
      </c>
      <c r="L48" s="42">
        <v>0</v>
      </c>
      <c r="M48" s="44">
        <v>0</v>
      </c>
      <c r="N48" s="27">
        <f>1061912*1/1000</f>
        <v>1061.912</v>
      </c>
      <c r="O48" s="27">
        <f>1018123*1/1000</f>
        <v>1018.123</v>
      </c>
      <c r="P48" s="26">
        <f>958407*1/1000</f>
        <v>958.40700000000004</v>
      </c>
      <c r="Q48" s="27">
        <f>932068*1/1000</f>
        <v>932.06799999999998</v>
      </c>
      <c r="R48" s="27">
        <f>889155*1/1000</f>
        <v>889.15499999999997</v>
      </c>
      <c r="S48" s="169">
        <f>680371*1/1000</f>
        <v>680.37099999999998</v>
      </c>
      <c r="T48" s="132">
        <f>592003*1/1000</f>
        <v>592.00300000000004</v>
      </c>
      <c r="U48" s="133">
        <f>572819*1/1000</f>
        <v>572.81899999999996</v>
      </c>
      <c r="V48" s="133">
        <f>422858*1/1000</f>
        <v>422.858</v>
      </c>
      <c r="W48" s="133">
        <f>329798*1/1000</f>
        <v>329.798</v>
      </c>
      <c r="X48" s="132">
        <f>239889*1/1000</f>
        <v>239.88900000000001</v>
      </c>
      <c r="Y48" s="133">
        <f>236277*1/1000</f>
        <v>236.27699999999999</v>
      </c>
      <c r="Z48" s="32">
        <v>8446.1</v>
      </c>
      <c r="AA48" s="32">
        <v>7976.3</v>
      </c>
      <c r="AB48" s="134">
        <v>7683.5</v>
      </c>
      <c r="AC48" s="149">
        <v>7357.9</v>
      </c>
      <c r="AD48" s="149">
        <v>7034.6</v>
      </c>
      <c r="AE48" s="32">
        <v>5644.9</v>
      </c>
      <c r="AF48" s="35">
        <v>5379.8</v>
      </c>
      <c r="AG48" s="62">
        <v>9982.1</v>
      </c>
      <c r="AH48" s="62">
        <v>9752</v>
      </c>
      <c r="AI48" s="62">
        <v>9530.2999999999993</v>
      </c>
      <c r="AJ48" s="35">
        <v>9302.7000000000007</v>
      </c>
      <c r="AK48" s="62">
        <v>9056</v>
      </c>
      <c r="AL48" s="62">
        <v>8808.6</v>
      </c>
      <c r="AM48" s="62">
        <v>8561.9</v>
      </c>
      <c r="AN48" s="35">
        <v>9291.4</v>
      </c>
      <c r="AO48" s="156">
        <v>9474.7000000000007</v>
      </c>
      <c r="AP48" s="156">
        <v>9139.4</v>
      </c>
      <c r="AQ48" s="37">
        <v>9043.7999999999993</v>
      </c>
      <c r="AR48" s="35">
        <v>8605.2999999999993</v>
      </c>
      <c r="AS48" s="157">
        <v>8339.7999999999993</v>
      </c>
      <c r="AU48" s="40"/>
      <c r="AV48" s="83"/>
    </row>
    <row r="49" spans="1:48" s="39" customFormat="1" ht="20.149999999999999" customHeight="1">
      <c r="A49" s="24" t="s">
        <v>94</v>
      </c>
      <c r="B49" s="42">
        <v>0</v>
      </c>
      <c r="C49" s="42">
        <v>0</v>
      </c>
      <c r="D49" s="42">
        <v>0</v>
      </c>
      <c r="E49" s="42">
        <v>0</v>
      </c>
      <c r="F49" s="44">
        <v>0</v>
      </c>
      <c r="G49" s="42">
        <v>0</v>
      </c>
      <c r="H49" s="44">
        <v>0</v>
      </c>
      <c r="I49" s="42">
        <v>0</v>
      </c>
      <c r="J49" s="44">
        <v>0</v>
      </c>
      <c r="K49" s="44">
        <v>0</v>
      </c>
      <c r="L49" s="42">
        <v>0</v>
      </c>
      <c r="M49" s="44">
        <v>0</v>
      </c>
      <c r="N49" s="27">
        <f>1277148*1/1000</f>
        <v>1277.1479999999999</v>
      </c>
      <c r="O49" s="27">
        <f>1439935*1/1000</f>
        <v>1439.9349999999999</v>
      </c>
      <c r="P49" s="26">
        <f>1417525*1/1000</f>
        <v>1417.5250000000001</v>
      </c>
      <c r="Q49" s="27">
        <f>1360637*1/1000</f>
        <v>1360.6369999999999</v>
      </c>
      <c r="R49" s="27">
        <f>1369593*1/1000</f>
        <v>1369.5930000000001</v>
      </c>
      <c r="S49" s="169">
        <f>1347224*1/1000</f>
        <v>1347.2239999999999</v>
      </c>
      <c r="T49" s="132">
        <f>1316479*1/1000</f>
        <v>1316.479</v>
      </c>
      <c r="U49" s="133">
        <f>1370119*1/1000</f>
        <v>1370.1189999999999</v>
      </c>
      <c r="V49" s="133">
        <f>1395972*1/1000</f>
        <v>1395.972</v>
      </c>
      <c r="W49" s="133">
        <f>1385314*1/1000</f>
        <v>1385.3140000000001</v>
      </c>
      <c r="X49" s="147">
        <f>1340010*1/1000</f>
        <v>1340.01</v>
      </c>
      <c r="Y49" s="133">
        <f>1396071*1/1000</f>
        <v>1396.0709999999999</v>
      </c>
      <c r="Z49" s="32">
        <v>4286.8999999999996</v>
      </c>
      <c r="AA49" s="32">
        <v>4302.1000000000004</v>
      </c>
      <c r="AB49" s="134">
        <v>4550.2</v>
      </c>
      <c r="AC49" s="149">
        <v>4470</v>
      </c>
      <c r="AD49" s="149">
        <v>4582.5</v>
      </c>
      <c r="AE49" s="32">
        <v>964.4</v>
      </c>
      <c r="AF49" s="35">
        <v>975.3</v>
      </c>
      <c r="AG49" s="62">
        <v>2252.6</v>
      </c>
      <c r="AH49" s="62">
        <v>1795.1</v>
      </c>
      <c r="AI49" s="62">
        <v>1805.1</v>
      </c>
      <c r="AJ49" s="35">
        <v>1835.7</v>
      </c>
      <c r="AK49" s="62">
        <v>964.9</v>
      </c>
      <c r="AL49" s="62">
        <v>975.3</v>
      </c>
      <c r="AM49" s="62">
        <v>965.2</v>
      </c>
      <c r="AN49" s="35">
        <v>975.7</v>
      </c>
      <c r="AO49" s="156">
        <v>965.2</v>
      </c>
      <c r="AP49" s="156">
        <v>975.5</v>
      </c>
      <c r="AQ49" s="37">
        <v>965.6</v>
      </c>
      <c r="AR49" s="35">
        <v>976</v>
      </c>
      <c r="AS49" s="157">
        <v>965.5</v>
      </c>
      <c r="AU49" s="40"/>
    </row>
    <row r="50" spans="1:48" s="39" customFormat="1" ht="20.149999999999999" customHeight="1">
      <c r="A50" s="24" t="s">
        <v>95</v>
      </c>
      <c r="B50" s="42">
        <v>0</v>
      </c>
      <c r="C50" s="42">
        <v>0</v>
      </c>
      <c r="D50" s="25">
        <f>893*1/1000</f>
        <v>0.89300000000000002</v>
      </c>
      <c r="E50" s="26">
        <f>1412*1/1000</f>
        <v>1.4119999999999999</v>
      </c>
      <c r="F50" s="27">
        <f>1227*1/1000</f>
        <v>1.2270000000000001</v>
      </c>
      <c r="G50" s="26">
        <f>1407*1/1000</f>
        <v>1.407</v>
      </c>
      <c r="H50" s="27">
        <f>1380*1/1000</f>
        <v>1.38</v>
      </c>
      <c r="I50" s="26">
        <f>1151*1/1000</f>
        <v>1.151</v>
      </c>
      <c r="J50" s="27">
        <f>1580*1/1000</f>
        <v>1.58</v>
      </c>
      <c r="K50" s="27">
        <f>1246*1/1000</f>
        <v>1.246</v>
      </c>
      <c r="L50" s="26">
        <f>1095*1/1000</f>
        <v>1.095</v>
      </c>
      <c r="M50" s="27">
        <f>1029*1/1000</f>
        <v>1.0289999999999999</v>
      </c>
      <c r="N50" s="27">
        <f>1103*1/1000</f>
        <v>1.103</v>
      </c>
      <c r="O50" s="27">
        <f>1032*1/1000</f>
        <v>1.032</v>
      </c>
      <c r="P50" s="26">
        <f>934*1/1000</f>
        <v>0.93400000000000005</v>
      </c>
      <c r="Q50" s="27">
        <f>810*1/1000</f>
        <v>0.81</v>
      </c>
      <c r="R50" s="27">
        <f>741*1/1000</f>
        <v>0.74099999999999999</v>
      </c>
      <c r="S50" s="169">
        <f>638*1/1000</f>
        <v>0.63800000000000001</v>
      </c>
      <c r="T50" s="132">
        <f>551*1/1000</f>
        <v>0.55100000000000005</v>
      </c>
      <c r="U50" s="133">
        <f>474*1/1000</f>
        <v>0.47399999999999998</v>
      </c>
      <c r="V50" s="133">
        <f>424*1/1000</f>
        <v>0.42399999999999999</v>
      </c>
      <c r="W50" s="133">
        <f>306*1/1000</f>
        <v>0.30599999999999999</v>
      </c>
      <c r="X50" s="132">
        <f>227*1/1000</f>
        <v>0.22700000000000001</v>
      </c>
      <c r="Y50" s="133">
        <f>166*1/1000</f>
        <v>0.16600000000000001</v>
      </c>
      <c r="Z50" s="41">
        <v>4.5</v>
      </c>
      <c r="AA50" s="41">
        <v>7.9</v>
      </c>
      <c r="AB50" s="134">
        <v>11.7</v>
      </c>
      <c r="AC50" s="135">
        <v>13.4</v>
      </c>
      <c r="AD50" s="135">
        <v>15.7</v>
      </c>
      <c r="AE50" s="41">
        <v>21.3</v>
      </c>
      <c r="AF50" s="35">
        <v>20.9</v>
      </c>
      <c r="AG50" s="36">
        <v>21.2</v>
      </c>
      <c r="AH50" s="36">
        <v>23.3</v>
      </c>
      <c r="AI50" s="36">
        <v>22.1</v>
      </c>
      <c r="AJ50" s="35">
        <v>20.9</v>
      </c>
      <c r="AK50" s="36">
        <v>22.6</v>
      </c>
      <c r="AL50" s="36">
        <v>21.4</v>
      </c>
      <c r="AM50" s="36">
        <v>19.399999999999999</v>
      </c>
      <c r="AN50" s="35">
        <v>18.600000000000001</v>
      </c>
      <c r="AO50" s="37">
        <v>17.3</v>
      </c>
      <c r="AP50" s="37">
        <v>14.6</v>
      </c>
      <c r="AQ50" s="37">
        <v>15</v>
      </c>
      <c r="AR50" s="35">
        <v>15.8</v>
      </c>
      <c r="AS50" s="38">
        <v>1070</v>
      </c>
      <c r="AU50" s="40"/>
    </row>
    <row r="51" spans="1:48" s="39" customFormat="1" ht="20.149999999999999" customHeight="1">
      <c r="A51" s="24" t="s">
        <v>96</v>
      </c>
      <c r="B51" s="42">
        <v>0</v>
      </c>
      <c r="C51" s="42">
        <v>0</v>
      </c>
      <c r="D51" s="170">
        <v>0</v>
      </c>
      <c r="E51" s="171">
        <v>0</v>
      </c>
      <c r="F51" s="62">
        <v>0</v>
      </c>
      <c r="G51" s="171">
        <v>0</v>
      </c>
      <c r="H51" s="62">
        <v>0</v>
      </c>
      <c r="I51" s="171">
        <v>0</v>
      </c>
      <c r="J51" s="62">
        <v>0</v>
      </c>
      <c r="K51" s="36">
        <v>0</v>
      </c>
      <c r="L51" s="35">
        <v>0</v>
      </c>
      <c r="M51" s="36">
        <v>0</v>
      </c>
      <c r="N51" s="36">
        <v>0</v>
      </c>
      <c r="O51" s="36">
        <v>0</v>
      </c>
      <c r="P51" s="35">
        <v>0</v>
      </c>
      <c r="Q51" s="36">
        <v>0</v>
      </c>
      <c r="R51" s="36">
        <v>0</v>
      </c>
      <c r="S51" s="36">
        <v>0</v>
      </c>
      <c r="T51" s="35">
        <v>0</v>
      </c>
      <c r="U51" s="36">
        <v>0</v>
      </c>
      <c r="V51" s="36">
        <v>0</v>
      </c>
      <c r="W51" s="36">
        <v>0</v>
      </c>
      <c r="X51" s="35">
        <v>0</v>
      </c>
      <c r="Y51" s="36">
        <v>0</v>
      </c>
      <c r="Z51" s="41">
        <v>835.8</v>
      </c>
      <c r="AA51" s="41">
        <v>730.2</v>
      </c>
      <c r="AB51" s="134">
        <v>750.3</v>
      </c>
      <c r="AC51" s="135">
        <v>724.4</v>
      </c>
      <c r="AD51" s="135">
        <v>747.9</v>
      </c>
      <c r="AE51" s="41">
        <v>645.1</v>
      </c>
      <c r="AF51" s="35">
        <v>652.79999999999995</v>
      </c>
      <c r="AG51" s="36">
        <v>658</v>
      </c>
      <c r="AH51" s="36">
        <v>686.7</v>
      </c>
      <c r="AI51" s="36">
        <v>555.79999999999995</v>
      </c>
      <c r="AJ51" s="35">
        <v>574</v>
      </c>
      <c r="AK51" s="36">
        <v>551</v>
      </c>
      <c r="AL51" s="36">
        <v>555.4</v>
      </c>
      <c r="AM51" s="36">
        <v>452.4</v>
      </c>
      <c r="AN51" s="35">
        <v>440.8</v>
      </c>
      <c r="AO51" s="37">
        <v>447.6</v>
      </c>
      <c r="AP51" s="37">
        <v>466.9</v>
      </c>
      <c r="AQ51" s="37">
        <v>343.6</v>
      </c>
      <c r="AR51" s="35">
        <v>348.2</v>
      </c>
      <c r="AS51" s="38">
        <v>350.5</v>
      </c>
      <c r="AU51" s="40"/>
    </row>
    <row r="52" spans="1:48" s="39" customFormat="1" ht="20.149999999999999" customHeight="1">
      <c r="A52" s="24" t="s">
        <v>97</v>
      </c>
      <c r="B52" s="25">
        <f>8543*1/1000</f>
        <v>8.5429999999999993</v>
      </c>
      <c r="C52" s="42">
        <v>0</v>
      </c>
      <c r="D52" s="25">
        <f>22*1/1000</f>
        <v>2.1999999999999999E-2</v>
      </c>
      <c r="E52" s="25">
        <f>671*1/1000</f>
        <v>0.67100000000000004</v>
      </c>
      <c r="F52" s="27">
        <f>5029*1/1000</f>
        <v>5.0289999999999999</v>
      </c>
      <c r="G52" s="26">
        <f>11536*1/1000</f>
        <v>11.536</v>
      </c>
      <c r="H52" s="27">
        <f>11980*1/1000</f>
        <v>11.98</v>
      </c>
      <c r="I52" s="26">
        <f>26060*1/1000</f>
        <v>26.06</v>
      </c>
      <c r="J52" s="27">
        <f>56863*1/1000</f>
        <v>56.863</v>
      </c>
      <c r="K52" s="27">
        <f>63455*1/1000</f>
        <v>63.454999999999998</v>
      </c>
      <c r="L52" s="26">
        <f>65338*1/1000</f>
        <v>65.337999999999994</v>
      </c>
      <c r="M52" s="27">
        <f>73846*1/1000</f>
        <v>73.846000000000004</v>
      </c>
      <c r="N52" s="27">
        <f>86665*1/1000</f>
        <v>86.665000000000006</v>
      </c>
      <c r="O52" s="27">
        <f>63474*1/1000</f>
        <v>63.473999999999997</v>
      </c>
      <c r="P52" s="26">
        <f>87122*1/1000</f>
        <v>87.122</v>
      </c>
      <c r="Q52" s="27">
        <f>87307*1/1000</f>
        <v>87.307000000000002</v>
      </c>
      <c r="R52" s="27">
        <f>88480*1/1000</f>
        <v>88.48</v>
      </c>
      <c r="S52" s="27">
        <f>97271*1/1000</f>
        <v>97.271000000000001</v>
      </c>
      <c r="T52" s="132">
        <f>94258*1/1000</f>
        <v>94.257999999999996</v>
      </c>
      <c r="U52" s="133">
        <f>93487*1/1000</f>
        <v>93.486999999999995</v>
      </c>
      <c r="V52" s="133">
        <f>93150*1/1000</f>
        <v>93.15</v>
      </c>
      <c r="W52" s="133">
        <f>98799*1/1000</f>
        <v>98.799000000000007</v>
      </c>
      <c r="X52" s="132">
        <f>108066*1/1000</f>
        <v>108.066</v>
      </c>
      <c r="Y52" s="133">
        <f>95950*1/1000</f>
        <v>95.95</v>
      </c>
      <c r="Z52" s="32">
        <v>1010.7</v>
      </c>
      <c r="AA52" s="32">
        <v>1038.8</v>
      </c>
      <c r="AB52" s="134">
        <v>908.7</v>
      </c>
      <c r="AC52" s="135">
        <v>888.6</v>
      </c>
      <c r="AD52" s="135">
        <v>821.1</v>
      </c>
      <c r="AE52" s="32">
        <v>770.4</v>
      </c>
      <c r="AF52" s="35">
        <v>615.79999999999995</v>
      </c>
      <c r="AG52" s="36">
        <v>694.4</v>
      </c>
      <c r="AH52" s="36">
        <v>889.1</v>
      </c>
      <c r="AI52" s="36">
        <v>923.2</v>
      </c>
      <c r="AJ52" s="35">
        <v>786.9</v>
      </c>
      <c r="AK52" s="36">
        <v>812.3</v>
      </c>
      <c r="AL52" s="36">
        <v>775.7</v>
      </c>
      <c r="AM52" s="36">
        <v>771.8</v>
      </c>
      <c r="AN52" s="35">
        <v>879.8</v>
      </c>
      <c r="AO52" s="37">
        <v>1034.8</v>
      </c>
      <c r="AP52" s="37">
        <v>1027.8</v>
      </c>
      <c r="AQ52" s="37">
        <v>1006.2</v>
      </c>
      <c r="AR52" s="35">
        <v>1160.0999999999999</v>
      </c>
      <c r="AS52" s="38">
        <v>1132</v>
      </c>
      <c r="AU52" s="40"/>
    </row>
    <row r="53" spans="1:48" s="39" customFormat="1" ht="20.149999999999999" customHeight="1">
      <c r="A53" s="24" t="s">
        <v>98</v>
      </c>
      <c r="B53" s="54" t="s">
        <v>99</v>
      </c>
      <c r="C53" s="54" t="s">
        <v>99</v>
      </c>
      <c r="D53" s="54" t="s">
        <v>99</v>
      </c>
      <c r="E53" s="54" t="s">
        <v>99</v>
      </c>
      <c r="F53" s="172" t="s">
        <v>99</v>
      </c>
      <c r="G53" s="54" t="s">
        <v>99</v>
      </c>
      <c r="H53" s="172" t="s">
        <v>99</v>
      </c>
      <c r="I53" s="54" t="s">
        <v>99</v>
      </c>
      <c r="J53" s="172" t="s">
        <v>99</v>
      </c>
      <c r="K53" s="172" t="s">
        <v>99</v>
      </c>
      <c r="L53" s="54" t="s">
        <v>99</v>
      </c>
      <c r="M53" s="172" t="s">
        <v>99</v>
      </c>
      <c r="N53" s="172" t="s">
        <v>99</v>
      </c>
      <c r="O53" s="172" t="s">
        <v>99</v>
      </c>
      <c r="P53" s="26">
        <f>7595*1/1000</f>
        <v>7.5949999999999998</v>
      </c>
      <c r="Q53" s="143" t="s">
        <v>99</v>
      </c>
      <c r="R53" s="27">
        <f>6285*1/1000</f>
        <v>6.2850000000000001</v>
      </c>
      <c r="S53" s="27">
        <f>5716*1/1000</f>
        <v>5.7160000000000002</v>
      </c>
      <c r="T53" s="132">
        <f>5181*1/1000</f>
        <v>5.181</v>
      </c>
      <c r="U53" s="133">
        <f>4978*1/1000</f>
        <v>4.9779999999999998</v>
      </c>
      <c r="V53" s="133">
        <f>4754*1/1000</f>
        <v>4.7539999999999996</v>
      </c>
      <c r="W53" s="133">
        <f>4303*1/1000</f>
        <v>4.3029999999999999</v>
      </c>
      <c r="X53" s="132">
        <f>4079*1/1000</f>
        <v>4.0789999999999997</v>
      </c>
      <c r="Y53" s="133">
        <f>3008*1/1000</f>
        <v>3.008</v>
      </c>
      <c r="Z53" s="41">
        <v>2.8</v>
      </c>
      <c r="AA53" s="41">
        <v>3.9</v>
      </c>
      <c r="AB53" s="134">
        <v>4.7</v>
      </c>
      <c r="AC53" s="135">
        <v>5.5</v>
      </c>
      <c r="AD53" s="135">
        <v>5</v>
      </c>
      <c r="AE53" s="41">
        <v>4.5</v>
      </c>
      <c r="AF53" s="35">
        <v>4.7</v>
      </c>
      <c r="AG53" s="36">
        <v>22.1</v>
      </c>
      <c r="AH53" s="36">
        <v>21</v>
      </c>
      <c r="AI53" s="36">
        <v>20.100000000000001</v>
      </c>
      <c r="AJ53" s="35">
        <v>20.100000000000001</v>
      </c>
      <c r="AK53" s="36">
        <v>4</v>
      </c>
      <c r="AL53" s="36">
        <v>3.8</v>
      </c>
      <c r="AM53" s="36">
        <v>3.4</v>
      </c>
      <c r="AN53" s="35">
        <v>3.2</v>
      </c>
      <c r="AO53" s="37">
        <v>0</v>
      </c>
      <c r="AP53" s="37">
        <v>0</v>
      </c>
      <c r="AQ53" s="37">
        <v>0</v>
      </c>
      <c r="AR53" s="35">
        <v>0</v>
      </c>
      <c r="AS53" s="38">
        <v>0</v>
      </c>
      <c r="AU53" s="40"/>
    </row>
    <row r="54" spans="1:48" s="39" customFormat="1" ht="20.149999999999999" customHeight="1">
      <c r="A54" s="24" t="s">
        <v>100</v>
      </c>
      <c r="B54" s="25">
        <f>4048*1/1000</f>
        <v>4.048</v>
      </c>
      <c r="C54" s="25">
        <f>1898*1/1000</f>
        <v>1.8979999999999999</v>
      </c>
      <c r="D54" s="25">
        <f>564*1/1000</f>
        <v>0.56399999999999995</v>
      </c>
      <c r="E54" s="25">
        <f>605*1/1000</f>
        <v>0.60499999999999998</v>
      </c>
      <c r="F54" s="27">
        <f>243*1/1000</f>
        <v>0.24299999999999999</v>
      </c>
      <c r="G54" s="25">
        <f>269*1/1000</f>
        <v>0.26900000000000002</v>
      </c>
      <c r="H54" s="27">
        <f>489*1/1000</f>
        <v>0.48899999999999999</v>
      </c>
      <c r="I54" s="26">
        <f>1543*1/1000</f>
        <v>1.5429999999999999</v>
      </c>
      <c r="J54" s="27">
        <f>2446*1/1000</f>
        <v>2.4460000000000002</v>
      </c>
      <c r="K54" s="27">
        <f>2441*1/1000</f>
        <v>2.4409999999999998</v>
      </c>
      <c r="L54" s="26">
        <f>2384*1/1000</f>
        <v>2.3839999999999999</v>
      </c>
      <c r="M54" s="27">
        <f>2317*1/1000</f>
        <v>2.3170000000000002</v>
      </c>
      <c r="N54" s="27">
        <f>11108*1/1000</f>
        <v>11.108000000000001</v>
      </c>
      <c r="O54" s="27">
        <f>12002*1/1000</f>
        <v>12.002000000000001</v>
      </c>
      <c r="P54" s="26">
        <f>12497*1/1000</f>
        <v>12.497</v>
      </c>
      <c r="Q54" s="27">
        <f>13779*1/1000</f>
        <v>13.779</v>
      </c>
      <c r="R54" s="27">
        <f>17835*1/1000</f>
        <v>17.835000000000001</v>
      </c>
      <c r="S54" s="27">
        <f>19037*1/1000</f>
        <v>19.036999999999999</v>
      </c>
      <c r="T54" s="132">
        <f>17690*1/1000</f>
        <v>17.690000000000001</v>
      </c>
      <c r="U54" s="133">
        <f>17684*1/1000</f>
        <v>17.684000000000001</v>
      </c>
      <c r="V54" s="133">
        <f>10154*1/1000</f>
        <v>10.154</v>
      </c>
      <c r="W54" s="133">
        <f>8594*1/1000</f>
        <v>8.5939999999999994</v>
      </c>
      <c r="X54" s="132">
        <f>7915*1/1000</f>
        <v>7.915</v>
      </c>
      <c r="Y54" s="133">
        <f>7828*1/1000</f>
        <v>7.8280000000000003</v>
      </c>
      <c r="Z54" s="41">
        <v>158.19999999999999</v>
      </c>
      <c r="AA54" s="41">
        <v>164.6</v>
      </c>
      <c r="AB54" s="134">
        <v>184.2</v>
      </c>
      <c r="AC54" s="135">
        <v>167.4</v>
      </c>
      <c r="AD54" s="135">
        <v>132.4</v>
      </c>
      <c r="AE54" s="41">
        <v>133.1</v>
      </c>
      <c r="AF54" s="35">
        <v>124.2</v>
      </c>
      <c r="AG54" s="36">
        <v>157.30000000000001</v>
      </c>
      <c r="AH54" s="36">
        <v>148.9</v>
      </c>
      <c r="AI54" s="36">
        <v>148.19999999999999</v>
      </c>
      <c r="AJ54" s="35">
        <v>130.19999999999999</v>
      </c>
      <c r="AK54" s="36">
        <v>128.1</v>
      </c>
      <c r="AL54" s="36">
        <v>122</v>
      </c>
      <c r="AM54" s="36">
        <v>122.2</v>
      </c>
      <c r="AN54" s="35">
        <v>114.2</v>
      </c>
      <c r="AO54" s="37">
        <v>122.4</v>
      </c>
      <c r="AP54" s="37">
        <v>436.6</v>
      </c>
      <c r="AQ54" s="37">
        <v>728.3</v>
      </c>
      <c r="AR54" s="35">
        <v>697.6</v>
      </c>
      <c r="AS54" s="38">
        <v>620.1</v>
      </c>
      <c r="AU54" s="40"/>
    </row>
    <row r="55" spans="1:48" s="78" customFormat="1" ht="20.149999999999999" customHeight="1" thickBot="1">
      <c r="A55" s="65" t="s">
        <v>101</v>
      </c>
      <c r="B55" s="70">
        <v>0</v>
      </c>
      <c r="C55" s="70">
        <v>0</v>
      </c>
      <c r="D55" s="70">
        <v>0</v>
      </c>
      <c r="E55" s="70">
        <v>0</v>
      </c>
      <c r="F55" s="72">
        <v>0</v>
      </c>
      <c r="G55" s="70">
        <v>0</v>
      </c>
      <c r="H55" s="72">
        <v>0</v>
      </c>
      <c r="I55" s="71">
        <v>0</v>
      </c>
      <c r="J55" s="72">
        <v>0</v>
      </c>
      <c r="K55" s="72">
        <v>0</v>
      </c>
      <c r="L55" s="71">
        <v>0</v>
      </c>
      <c r="M55" s="72">
        <v>0</v>
      </c>
      <c r="N55" s="72">
        <v>0</v>
      </c>
      <c r="O55" s="72">
        <v>0</v>
      </c>
      <c r="P55" s="71">
        <v>0</v>
      </c>
      <c r="Q55" s="72">
        <v>0</v>
      </c>
      <c r="R55" s="72">
        <v>0</v>
      </c>
      <c r="S55" s="72">
        <v>0</v>
      </c>
      <c r="T55" s="67">
        <v>0</v>
      </c>
      <c r="U55" s="74">
        <v>0</v>
      </c>
      <c r="V55" s="74">
        <v>0</v>
      </c>
      <c r="W55" s="74">
        <v>0</v>
      </c>
      <c r="X55" s="67">
        <v>0</v>
      </c>
      <c r="Y55" s="74">
        <v>0</v>
      </c>
      <c r="Z55" s="75">
        <v>0</v>
      </c>
      <c r="AA55" s="75">
        <v>0</v>
      </c>
      <c r="AB55" s="173">
        <v>40.1</v>
      </c>
      <c r="AC55" s="174">
        <v>22.6</v>
      </c>
      <c r="AD55" s="174">
        <v>2</v>
      </c>
      <c r="AE55" s="100">
        <v>1.9</v>
      </c>
      <c r="AF55" s="61">
        <v>0</v>
      </c>
      <c r="AG55" s="74">
        <v>1.1000000000000001</v>
      </c>
      <c r="AH55" s="74">
        <v>0.9</v>
      </c>
      <c r="AI55" s="74">
        <v>0</v>
      </c>
      <c r="AJ55" s="61">
        <v>0</v>
      </c>
      <c r="AK55" s="74">
        <v>1.5</v>
      </c>
      <c r="AL55" s="74">
        <v>1.7</v>
      </c>
      <c r="AM55" s="74">
        <v>1.3</v>
      </c>
      <c r="AN55" s="61">
        <v>0</v>
      </c>
      <c r="AO55" s="68">
        <v>2.2000000000000002</v>
      </c>
      <c r="AP55" s="68">
        <v>0.5</v>
      </c>
      <c r="AQ55" s="68">
        <v>205</v>
      </c>
      <c r="AR55" s="61">
        <v>165.2</v>
      </c>
      <c r="AS55" s="69">
        <v>167.2</v>
      </c>
      <c r="AU55" s="40"/>
      <c r="AV55" s="39"/>
    </row>
    <row r="56" spans="1:48" s="83" customFormat="1" ht="20.149999999999999" customHeight="1" thickBot="1">
      <c r="A56" s="158" t="s">
        <v>102</v>
      </c>
      <c r="B56" s="103">
        <f>SUM(B48:B54)</f>
        <v>210.85400000000001</v>
      </c>
      <c r="C56" s="103">
        <f>SUM(C48:C55)</f>
        <v>1.8979999999999999</v>
      </c>
      <c r="D56" s="103">
        <f t="shared" ref="D56:Y56" si="26">SUM(D48:D54)</f>
        <v>30.718999999999998</v>
      </c>
      <c r="E56" s="103">
        <f t="shared" si="26"/>
        <v>134.91399999999999</v>
      </c>
      <c r="F56" s="104">
        <f t="shared" si="26"/>
        <v>80.245999999999995</v>
      </c>
      <c r="G56" s="103">
        <f t="shared" si="26"/>
        <v>57.347000000000001</v>
      </c>
      <c r="H56" s="104">
        <f t="shared" si="26"/>
        <v>28.903000000000002</v>
      </c>
      <c r="I56" s="103">
        <f t="shared" si="26"/>
        <v>28.753999999999998</v>
      </c>
      <c r="J56" s="104">
        <f t="shared" si="26"/>
        <v>60.888999999999996</v>
      </c>
      <c r="K56" s="104">
        <f t="shared" si="26"/>
        <v>67.141999999999996</v>
      </c>
      <c r="L56" s="103">
        <f t="shared" si="26"/>
        <v>68.816999999999993</v>
      </c>
      <c r="M56" s="104">
        <f t="shared" si="26"/>
        <v>77.192000000000007</v>
      </c>
      <c r="N56" s="160">
        <f t="shared" si="26"/>
        <v>2437.9360000000001</v>
      </c>
      <c r="O56" s="160">
        <f t="shared" si="26"/>
        <v>2534.5660000000003</v>
      </c>
      <c r="P56" s="161">
        <f t="shared" si="26"/>
        <v>2484.08</v>
      </c>
      <c r="Q56" s="160">
        <f t="shared" si="26"/>
        <v>2394.6009999999997</v>
      </c>
      <c r="R56" s="160">
        <f t="shared" si="26"/>
        <v>2372.0889999999999</v>
      </c>
      <c r="S56" s="160">
        <f t="shared" si="26"/>
        <v>2150.2569999999996</v>
      </c>
      <c r="T56" s="161">
        <f t="shared" si="26"/>
        <v>2026.162</v>
      </c>
      <c r="U56" s="160">
        <f t="shared" si="26"/>
        <v>2059.5610000000001</v>
      </c>
      <c r="V56" s="160">
        <f t="shared" si="26"/>
        <v>1927.3119999999999</v>
      </c>
      <c r="W56" s="160">
        <f t="shared" si="26"/>
        <v>1827.1140000000003</v>
      </c>
      <c r="X56" s="161">
        <f t="shared" si="26"/>
        <v>1700.1859999999999</v>
      </c>
      <c r="Y56" s="160">
        <f t="shared" si="26"/>
        <v>1739.3</v>
      </c>
      <c r="Z56" s="175">
        <f>SUM(Z48:Z55)</f>
        <v>14745</v>
      </c>
      <c r="AA56" s="175">
        <f>SUM(AA48:AA55)</f>
        <v>14223.800000000001</v>
      </c>
      <c r="AB56" s="163">
        <f t="shared" ref="AB56:AG56" si="27">SUM(AB48:AB55)-AB55</f>
        <v>14093.300000000003</v>
      </c>
      <c r="AC56" s="162">
        <f t="shared" si="27"/>
        <v>13627.199999999999</v>
      </c>
      <c r="AD56" s="162">
        <f t="shared" si="27"/>
        <v>13339.2</v>
      </c>
      <c r="AE56" s="162">
        <f t="shared" si="27"/>
        <v>8183.7</v>
      </c>
      <c r="AF56" s="164">
        <f t="shared" si="27"/>
        <v>7773.5</v>
      </c>
      <c r="AG56" s="165">
        <f t="shared" si="27"/>
        <v>13787.7</v>
      </c>
      <c r="AH56" s="165">
        <f t="shared" ref="AH56:AJ56" si="28">SUM(AH48:AH55)-AH55</f>
        <v>13316.1</v>
      </c>
      <c r="AI56" s="165">
        <f t="shared" si="28"/>
        <v>13004.800000000001</v>
      </c>
      <c r="AJ56" s="164">
        <f t="shared" si="28"/>
        <v>12670.500000000002</v>
      </c>
      <c r="AK56" s="165">
        <f t="shared" ref="AK56:AR56" si="29">SUM(AK48:AK55)-AK55</f>
        <v>11538.9</v>
      </c>
      <c r="AL56" s="165">
        <f t="shared" si="29"/>
        <v>11262.199999999999</v>
      </c>
      <c r="AM56" s="165">
        <f t="shared" si="29"/>
        <v>10896.3</v>
      </c>
      <c r="AN56" s="165">
        <f t="shared" si="29"/>
        <v>11723.7</v>
      </c>
      <c r="AO56" s="110">
        <f t="shared" si="29"/>
        <v>12062</v>
      </c>
      <c r="AP56" s="110">
        <f t="shared" si="29"/>
        <v>12060.8</v>
      </c>
      <c r="AQ56" s="110">
        <f t="shared" si="29"/>
        <v>12102.5</v>
      </c>
      <c r="AR56" s="165">
        <f t="shared" si="29"/>
        <v>11803</v>
      </c>
      <c r="AS56" s="111">
        <f>SUM(AS48:AS55)-AS55</f>
        <v>12477.9</v>
      </c>
      <c r="AU56" s="40"/>
      <c r="AV56" s="39"/>
    </row>
    <row r="57" spans="1:48" s="39" customFormat="1" ht="20.149999999999999" customHeight="1">
      <c r="A57" s="24" t="s">
        <v>93</v>
      </c>
      <c r="B57" s="25">
        <f>30355*1/1000</f>
        <v>30.355</v>
      </c>
      <c r="C57" s="25">
        <f>247376*1/1000</f>
        <v>247.376</v>
      </c>
      <c r="D57" s="87">
        <f>208084*1/1000</f>
        <v>208.084</v>
      </c>
      <c r="E57" s="26">
        <f>88731*1/1000</f>
        <v>88.730999999999995</v>
      </c>
      <c r="F57" s="27">
        <f>93063*1/1000</f>
        <v>93.063000000000002</v>
      </c>
      <c r="G57" s="26">
        <f>66571*1/1000</f>
        <v>66.570999999999998</v>
      </c>
      <c r="H57" s="27">
        <f>63868*1/1000</f>
        <v>63.868000000000002</v>
      </c>
      <c r="I57" s="26">
        <f>47370*1/1000</f>
        <v>47.37</v>
      </c>
      <c r="J57" s="27">
        <f>20085*1/1000</f>
        <v>20.085000000000001</v>
      </c>
      <c r="K57" s="27">
        <f>71541*1/1000</f>
        <v>71.540999999999997</v>
      </c>
      <c r="L57" s="26">
        <f>18041*1/1000</f>
        <v>18.041</v>
      </c>
      <c r="M57" s="27">
        <f>164648*1/1000</f>
        <v>164.648</v>
      </c>
      <c r="N57" s="27">
        <f>225577*1/1000</f>
        <v>225.577</v>
      </c>
      <c r="O57" s="27">
        <f>230283*1/1000</f>
        <v>230.28299999999999</v>
      </c>
      <c r="P57" s="26">
        <f>246778*1/1000</f>
        <v>246.77799999999999</v>
      </c>
      <c r="Q57" s="27">
        <f>250363*1/1000</f>
        <v>250.363</v>
      </c>
      <c r="R57" s="27">
        <f>265796*1/1000</f>
        <v>265.79599999999999</v>
      </c>
      <c r="S57" s="27">
        <f>238676*1/1000</f>
        <v>238.67599999999999</v>
      </c>
      <c r="T57" s="132">
        <f>275608*1/1000</f>
        <v>275.608</v>
      </c>
      <c r="U57" s="133">
        <f>250329*1/1000</f>
        <v>250.32900000000001</v>
      </c>
      <c r="V57" s="133">
        <f>263389*1/1000</f>
        <v>263.38900000000001</v>
      </c>
      <c r="W57" s="133">
        <f>214673*1/1000</f>
        <v>214.673</v>
      </c>
      <c r="X57" s="132">
        <f>245994*1/1000</f>
        <v>245.994</v>
      </c>
      <c r="Y57" s="133">
        <f>240921*1/1000</f>
        <v>240.92099999999999</v>
      </c>
      <c r="Z57" s="32">
        <v>1094.3</v>
      </c>
      <c r="AA57" s="32">
        <v>1365.1</v>
      </c>
      <c r="AB57" s="134">
        <v>1322.6</v>
      </c>
      <c r="AC57" s="149">
        <v>1543.9</v>
      </c>
      <c r="AD57" s="149">
        <v>1169.9000000000001</v>
      </c>
      <c r="AE57" s="32">
        <v>963.7</v>
      </c>
      <c r="AF57" s="35">
        <v>1230.9000000000001</v>
      </c>
      <c r="AG57" s="62">
        <v>1593</v>
      </c>
      <c r="AH57" s="62">
        <v>1251.3</v>
      </c>
      <c r="AI57" s="62">
        <v>1269.4000000000001</v>
      </c>
      <c r="AJ57" s="35">
        <v>1270</v>
      </c>
      <c r="AK57" s="62">
        <v>1286.8</v>
      </c>
      <c r="AL57" s="62">
        <v>1805.9</v>
      </c>
      <c r="AM57" s="62">
        <v>1824.8</v>
      </c>
      <c r="AN57" s="35">
        <v>1341.9</v>
      </c>
      <c r="AO57" s="156">
        <v>552.9</v>
      </c>
      <c r="AP57" s="156">
        <v>1074.7</v>
      </c>
      <c r="AQ57" s="37">
        <v>1368.9</v>
      </c>
      <c r="AR57" s="35">
        <v>1611.3</v>
      </c>
      <c r="AS57" s="157">
        <v>1298.2</v>
      </c>
      <c r="AU57" s="40"/>
    </row>
    <row r="58" spans="1:48" s="39" customFormat="1" ht="20.149999999999999" customHeight="1">
      <c r="A58" s="24" t="s">
        <v>94</v>
      </c>
      <c r="B58" s="42">
        <v>0</v>
      </c>
      <c r="C58" s="42">
        <v>0</v>
      </c>
      <c r="D58" s="42">
        <v>0</v>
      </c>
      <c r="E58" s="42">
        <v>0</v>
      </c>
      <c r="F58" s="44">
        <v>0</v>
      </c>
      <c r="G58" s="42">
        <v>0</v>
      </c>
      <c r="H58" s="44">
        <v>0</v>
      </c>
      <c r="I58" s="42">
        <v>0</v>
      </c>
      <c r="J58" s="44">
        <v>0</v>
      </c>
      <c r="K58" s="44">
        <v>0</v>
      </c>
      <c r="L58" s="42">
        <v>0</v>
      </c>
      <c r="M58" s="44">
        <v>0</v>
      </c>
      <c r="N58" s="27">
        <f>94800*1/1000</f>
        <v>94.8</v>
      </c>
      <c r="O58" s="27">
        <f>106883*1/1000</f>
        <v>106.883</v>
      </c>
      <c r="P58" s="26">
        <f>105052*1/1000</f>
        <v>105.05200000000001</v>
      </c>
      <c r="Q58" s="27">
        <f>100836*1/1000</f>
        <v>100.836</v>
      </c>
      <c r="R58" s="27">
        <f>101342*1/1000</f>
        <v>101.342</v>
      </c>
      <c r="S58" s="27">
        <f>99687*1/1000</f>
        <v>99.686999999999998</v>
      </c>
      <c r="T58" s="132">
        <f>97256*1/1000</f>
        <v>97.256</v>
      </c>
      <c r="U58" s="133">
        <f>101219*1/1000</f>
        <v>101.21899999999999</v>
      </c>
      <c r="V58" s="133">
        <f>102957*1/1000</f>
        <v>102.95699999999999</v>
      </c>
      <c r="W58" s="133">
        <f>102171*1/1000</f>
        <v>102.17100000000001</v>
      </c>
      <c r="X58" s="132">
        <f>98659*1/1000</f>
        <v>98.659000000000006</v>
      </c>
      <c r="Y58" s="133">
        <f>101071*1/1000</f>
        <v>101.071</v>
      </c>
      <c r="Z58" s="41">
        <v>431.9</v>
      </c>
      <c r="AA58" s="41">
        <v>439.1</v>
      </c>
      <c r="AB58" s="134">
        <v>464.4</v>
      </c>
      <c r="AC58" s="135">
        <v>462.5</v>
      </c>
      <c r="AD58" s="135">
        <v>479.4</v>
      </c>
      <c r="AE58" s="41">
        <v>4607.5</v>
      </c>
      <c r="AF58" s="35">
        <v>4776.7</v>
      </c>
      <c r="AG58" s="36">
        <v>41.5</v>
      </c>
      <c r="AH58" s="36">
        <v>42.3</v>
      </c>
      <c r="AI58" s="36">
        <v>41.9</v>
      </c>
      <c r="AJ58" s="35">
        <v>42.4</v>
      </c>
      <c r="AK58" s="36">
        <v>981.4</v>
      </c>
      <c r="AL58" s="36">
        <v>42.5</v>
      </c>
      <c r="AM58" s="36">
        <v>42.1</v>
      </c>
      <c r="AN58" s="35">
        <v>42.5</v>
      </c>
      <c r="AO58" s="37">
        <v>41.9</v>
      </c>
      <c r="AP58" s="37">
        <v>42.4</v>
      </c>
      <c r="AQ58" s="37">
        <v>41.8</v>
      </c>
      <c r="AR58" s="35">
        <v>42.3</v>
      </c>
      <c r="AS58" s="38">
        <v>41.9</v>
      </c>
      <c r="AU58" s="40"/>
    </row>
    <row r="59" spans="1:48" s="39" customFormat="1" ht="20.149999999999999" customHeight="1">
      <c r="A59" s="24" t="s">
        <v>95</v>
      </c>
      <c r="B59" s="42">
        <v>0</v>
      </c>
      <c r="C59" s="42">
        <v>0</v>
      </c>
      <c r="D59" s="42">
        <v>0</v>
      </c>
      <c r="E59" s="25">
        <f>204*1/1000</f>
        <v>0.20399999999999999</v>
      </c>
      <c r="F59" s="27">
        <f>191*1/1000</f>
        <v>0.191</v>
      </c>
      <c r="G59" s="25">
        <f>238*1/1000</f>
        <v>0.23799999999999999</v>
      </c>
      <c r="H59" s="28">
        <f>255*1/1000</f>
        <v>0.255</v>
      </c>
      <c r="I59" s="25">
        <f>234*1/1000</f>
        <v>0.23400000000000001</v>
      </c>
      <c r="J59" s="27">
        <f>729*1/1000</f>
        <v>0.72899999999999998</v>
      </c>
      <c r="K59" s="27">
        <f>574*1/1000</f>
        <v>0.57399999999999995</v>
      </c>
      <c r="L59" s="26">
        <f>491*1/1000</f>
        <v>0.49099999999999999</v>
      </c>
      <c r="M59" s="27">
        <f>430*1/1000</f>
        <v>0.43</v>
      </c>
      <c r="N59" s="27">
        <f>227*1/1000</f>
        <v>0.22700000000000001</v>
      </c>
      <c r="O59" s="27">
        <f>251*1/1000</f>
        <v>0.251</v>
      </c>
      <c r="P59" s="26">
        <f>252*1/1000</f>
        <v>0.252</v>
      </c>
      <c r="Q59" s="27">
        <f>237*1/1000</f>
        <v>0.23699999999999999</v>
      </c>
      <c r="R59" s="27">
        <f>243*1/1000</f>
        <v>0.24299999999999999</v>
      </c>
      <c r="S59" s="27">
        <f>234*1/1000</f>
        <v>0.23400000000000001</v>
      </c>
      <c r="T59" s="132">
        <f>233*1/1000</f>
        <v>0.23300000000000001</v>
      </c>
      <c r="U59" s="133">
        <f>238*1/1000</f>
        <v>0.23799999999999999</v>
      </c>
      <c r="V59" s="133">
        <f>247*1/1000</f>
        <v>0.247</v>
      </c>
      <c r="W59" s="133">
        <f>240*1/1000</f>
        <v>0.24</v>
      </c>
      <c r="X59" s="132">
        <f>236*1/1000</f>
        <v>0.23599999999999999</v>
      </c>
      <c r="Y59" s="133">
        <f>237*1/1000</f>
        <v>0.23699999999999999</v>
      </c>
      <c r="Z59" s="41">
        <v>5.3</v>
      </c>
      <c r="AA59" s="41">
        <v>5.8</v>
      </c>
      <c r="AB59" s="134">
        <v>6.8</v>
      </c>
      <c r="AC59" s="135">
        <v>2.7</v>
      </c>
      <c r="AD59" s="135">
        <v>3.7</v>
      </c>
      <c r="AE59" s="41">
        <v>4.3</v>
      </c>
      <c r="AF59" s="35">
        <v>4.3</v>
      </c>
      <c r="AG59" s="36">
        <v>4.5</v>
      </c>
      <c r="AH59" s="36">
        <v>4.9000000000000004</v>
      </c>
      <c r="AI59" s="36">
        <v>4.9000000000000004</v>
      </c>
      <c r="AJ59" s="35">
        <v>5</v>
      </c>
      <c r="AK59" s="36">
        <v>5.2</v>
      </c>
      <c r="AL59" s="36">
        <v>7.6</v>
      </c>
      <c r="AM59" s="36">
        <v>7</v>
      </c>
      <c r="AN59" s="35">
        <v>9.6999999999999993</v>
      </c>
      <c r="AO59" s="37">
        <v>10.4</v>
      </c>
      <c r="AP59" s="37">
        <v>9.6999999999999993</v>
      </c>
      <c r="AQ59" s="37">
        <v>10.7</v>
      </c>
      <c r="AR59" s="35">
        <v>8.1999999999999993</v>
      </c>
      <c r="AS59" s="38">
        <v>411.5</v>
      </c>
      <c r="AU59" s="40"/>
    </row>
    <row r="60" spans="1:48" s="39" customFormat="1" ht="20.149999999999999" customHeight="1">
      <c r="A60" s="24" t="s">
        <v>96</v>
      </c>
      <c r="B60" s="61">
        <v>0</v>
      </c>
      <c r="C60" s="61">
        <v>0</v>
      </c>
      <c r="D60" s="61">
        <v>0</v>
      </c>
      <c r="E60" s="171">
        <v>0</v>
      </c>
      <c r="F60" s="62">
        <v>0</v>
      </c>
      <c r="G60" s="171">
        <v>0</v>
      </c>
      <c r="H60" s="62">
        <v>0</v>
      </c>
      <c r="I60" s="171">
        <v>0</v>
      </c>
      <c r="J60" s="62">
        <v>0</v>
      </c>
      <c r="K60" s="62">
        <v>0</v>
      </c>
      <c r="L60" s="171">
        <v>0</v>
      </c>
      <c r="M60" s="62">
        <v>0</v>
      </c>
      <c r="N60" s="36">
        <v>0</v>
      </c>
      <c r="O60" s="36">
        <v>0</v>
      </c>
      <c r="P60" s="35">
        <v>0</v>
      </c>
      <c r="Q60" s="36">
        <v>0</v>
      </c>
      <c r="R60" s="36">
        <v>0</v>
      </c>
      <c r="S60" s="36">
        <v>0</v>
      </c>
      <c r="T60" s="35">
        <v>0</v>
      </c>
      <c r="U60" s="36">
        <v>0</v>
      </c>
      <c r="V60" s="36">
        <v>0</v>
      </c>
      <c r="W60" s="36">
        <v>0</v>
      </c>
      <c r="X60" s="35">
        <v>0</v>
      </c>
      <c r="Y60" s="36">
        <v>0</v>
      </c>
      <c r="Z60" s="41">
        <v>115.8</v>
      </c>
      <c r="AA60" s="41">
        <v>113.9</v>
      </c>
      <c r="AB60" s="134">
        <v>117.1</v>
      </c>
      <c r="AC60" s="135">
        <v>113</v>
      </c>
      <c r="AD60" s="135">
        <v>116.7</v>
      </c>
      <c r="AE60" s="41">
        <v>115.6</v>
      </c>
      <c r="AF60" s="35">
        <v>117</v>
      </c>
      <c r="AG60" s="36">
        <v>118</v>
      </c>
      <c r="AH60" s="36">
        <v>123.1</v>
      </c>
      <c r="AI60" s="36">
        <v>117.7</v>
      </c>
      <c r="AJ60" s="35">
        <v>121.5</v>
      </c>
      <c r="AK60" s="36">
        <v>116.6</v>
      </c>
      <c r="AL60" s="36">
        <v>117.6</v>
      </c>
      <c r="AM60" s="36">
        <v>117.6</v>
      </c>
      <c r="AN60" s="35">
        <v>114.5</v>
      </c>
      <c r="AO60" s="37">
        <v>116.3</v>
      </c>
      <c r="AP60" s="37">
        <v>121.3</v>
      </c>
      <c r="AQ60" s="37">
        <v>116.6</v>
      </c>
      <c r="AR60" s="35">
        <v>118.1</v>
      </c>
      <c r="AS60" s="38">
        <v>118.9</v>
      </c>
      <c r="AU60" s="40"/>
      <c r="AV60" s="78"/>
    </row>
    <row r="61" spans="1:48" s="39" customFormat="1" ht="20.149999999999999" customHeight="1">
      <c r="A61" s="86" t="s">
        <v>103</v>
      </c>
      <c r="B61" s="61"/>
      <c r="C61" s="61"/>
      <c r="D61" s="61"/>
      <c r="E61" s="171"/>
      <c r="F61" s="62"/>
      <c r="G61" s="171"/>
      <c r="H61" s="62"/>
      <c r="I61" s="171"/>
      <c r="J61" s="62"/>
      <c r="K61" s="62"/>
      <c r="L61" s="171"/>
      <c r="M61" s="62"/>
      <c r="N61" s="36"/>
      <c r="O61" s="36"/>
      <c r="P61" s="35"/>
      <c r="Q61" s="36"/>
      <c r="R61" s="36"/>
      <c r="S61" s="36"/>
      <c r="T61" s="35"/>
      <c r="U61" s="36"/>
      <c r="V61" s="36"/>
      <c r="W61" s="36"/>
      <c r="X61" s="35"/>
      <c r="Y61" s="36"/>
      <c r="Z61" s="41"/>
      <c r="AA61" s="41"/>
      <c r="AB61" s="134"/>
      <c r="AC61" s="135"/>
      <c r="AD61" s="135"/>
      <c r="AE61" s="41"/>
      <c r="AF61" s="35"/>
      <c r="AG61" s="36"/>
      <c r="AH61" s="36"/>
      <c r="AI61" s="36"/>
      <c r="AJ61" s="35"/>
      <c r="AK61" s="36"/>
      <c r="AL61" s="36"/>
      <c r="AM61" s="36"/>
      <c r="AN61" s="35"/>
      <c r="AO61" s="156">
        <v>359</v>
      </c>
      <c r="AP61" s="37">
        <v>649.1</v>
      </c>
      <c r="AQ61" s="37">
        <v>643.5</v>
      </c>
      <c r="AR61" s="35">
        <v>705.2</v>
      </c>
      <c r="AS61" s="157">
        <v>722.6</v>
      </c>
      <c r="AU61" s="40"/>
      <c r="AV61" s="83"/>
    </row>
    <row r="62" spans="1:48" s="39" customFormat="1" ht="20.149999999999999" customHeight="1">
      <c r="A62" s="24" t="s">
        <v>104</v>
      </c>
      <c r="B62" s="25">
        <f>50510*1/1000</f>
        <v>50.51</v>
      </c>
      <c r="C62" s="25">
        <f>46898*1/1000</f>
        <v>46.898000000000003</v>
      </c>
      <c r="D62" s="87">
        <f>97562*1/1000</f>
        <v>97.561999999999998</v>
      </c>
      <c r="E62" s="26">
        <f>208714*1/1000</f>
        <v>208.714</v>
      </c>
      <c r="F62" s="27">
        <f>124381*1/1000</f>
        <v>124.381</v>
      </c>
      <c r="G62" s="26">
        <f>197525*1/1000</f>
        <v>197.52500000000001</v>
      </c>
      <c r="H62" s="27">
        <f>214344*1/1000</f>
        <v>214.34399999999999</v>
      </c>
      <c r="I62" s="26">
        <f>222213*1/1000</f>
        <v>222.21299999999999</v>
      </c>
      <c r="J62" s="27">
        <f>373736*1/1000</f>
        <v>373.73599999999999</v>
      </c>
      <c r="K62" s="27">
        <f>279303*1/1000</f>
        <v>279.303</v>
      </c>
      <c r="L62" s="26">
        <f>317953*1/1000</f>
        <v>317.95299999999997</v>
      </c>
      <c r="M62" s="27">
        <f>294933*1/1000</f>
        <v>294.93299999999999</v>
      </c>
      <c r="N62" s="27">
        <f>409504*1/1000</f>
        <v>409.50400000000002</v>
      </c>
      <c r="O62" s="27">
        <f>458370*1/1000</f>
        <v>458.37</v>
      </c>
      <c r="P62" s="26">
        <f>374955*1/1000</f>
        <v>374.95499999999998</v>
      </c>
      <c r="Q62" s="27">
        <f>435427*1/1000</f>
        <v>435.42700000000002</v>
      </c>
      <c r="R62" s="27">
        <f>436188*1/1000</f>
        <v>436.18799999999999</v>
      </c>
      <c r="S62" s="27">
        <f>441676*1/1000</f>
        <v>441.67599999999999</v>
      </c>
      <c r="T62" s="132">
        <f>472094*1/1000</f>
        <v>472.09399999999999</v>
      </c>
      <c r="U62" s="133">
        <f>432897*1/1000</f>
        <v>432.89699999999999</v>
      </c>
      <c r="V62" s="133">
        <f>428004*1/1000</f>
        <v>428.00400000000002</v>
      </c>
      <c r="W62" s="133">
        <f>390829*1/1000</f>
        <v>390.82900000000001</v>
      </c>
      <c r="X62" s="132">
        <f>413210*1/1000</f>
        <v>413.21</v>
      </c>
      <c r="Y62" s="133">
        <f>418100*1/1000</f>
        <v>418.1</v>
      </c>
      <c r="Z62" s="32">
        <v>1618.8</v>
      </c>
      <c r="AA62" s="32">
        <v>1505.3</v>
      </c>
      <c r="AB62" s="134">
        <v>1523</v>
      </c>
      <c r="AC62" s="149">
        <v>1333.5</v>
      </c>
      <c r="AD62" s="149">
        <v>1670.4</v>
      </c>
      <c r="AE62" s="32">
        <v>1431.5</v>
      </c>
      <c r="AF62" s="35">
        <v>1485.4</v>
      </c>
      <c r="AG62" s="62">
        <v>1711.4</v>
      </c>
      <c r="AH62" s="62">
        <v>1365.9</v>
      </c>
      <c r="AI62" s="62">
        <v>1338.1</v>
      </c>
      <c r="AJ62" s="35">
        <v>1569.5</v>
      </c>
      <c r="AK62" s="62">
        <v>1337.9</v>
      </c>
      <c r="AL62" s="62">
        <v>1694.4</v>
      </c>
      <c r="AM62" s="62">
        <v>1397.9</v>
      </c>
      <c r="AN62" s="35">
        <v>1727.3</v>
      </c>
      <c r="AO62" s="37">
        <v>1430.8</v>
      </c>
      <c r="AP62" s="156">
        <v>2254.9</v>
      </c>
      <c r="AQ62" s="37">
        <v>2302.6999999999998</v>
      </c>
      <c r="AR62" s="35">
        <v>2382.4</v>
      </c>
      <c r="AS62" s="38">
        <v>2029.1</v>
      </c>
      <c r="AU62" s="40"/>
    </row>
    <row r="63" spans="1:48" s="39" customFormat="1" ht="20.149999999999999" customHeight="1">
      <c r="A63" s="65" t="s">
        <v>101</v>
      </c>
      <c r="B63" s="61">
        <v>0</v>
      </c>
      <c r="C63" s="61">
        <v>0</v>
      </c>
      <c r="D63" s="170">
        <v>0</v>
      </c>
      <c r="E63" s="171">
        <v>0</v>
      </c>
      <c r="F63" s="62">
        <v>0</v>
      </c>
      <c r="G63" s="171">
        <v>0</v>
      </c>
      <c r="H63" s="62">
        <v>0</v>
      </c>
      <c r="I63" s="171">
        <v>0</v>
      </c>
      <c r="J63" s="62">
        <v>0</v>
      </c>
      <c r="K63" s="62">
        <v>0</v>
      </c>
      <c r="L63" s="171">
        <v>0</v>
      </c>
      <c r="M63" s="62">
        <v>0</v>
      </c>
      <c r="N63" s="62">
        <v>0</v>
      </c>
      <c r="O63" s="62">
        <v>0</v>
      </c>
      <c r="P63" s="171">
        <v>0</v>
      </c>
      <c r="Q63" s="62">
        <v>0</v>
      </c>
      <c r="R63" s="62">
        <v>0</v>
      </c>
      <c r="S63" s="62">
        <v>0</v>
      </c>
      <c r="T63" s="35">
        <v>0</v>
      </c>
      <c r="U63" s="36">
        <v>0</v>
      </c>
      <c r="V63" s="36">
        <v>0</v>
      </c>
      <c r="W63" s="36">
        <v>0</v>
      </c>
      <c r="X63" s="35">
        <v>0</v>
      </c>
      <c r="Y63" s="36">
        <v>0</v>
      </c>
      <c r="Z63" s="64">
        <v>0</v>
      </c>
      <c r="AA63" s="64">
        <v>0</v>
      </c>
      <c r="AB63" s="173">
        <v>87</v>
      </c>
      <c r="AC63" s="174">
        <v>99.7</v>
      </c>
      <c r="AD63" s="174">
        <v>79</v>
      </c>
      <c r="AE63" s="176">
        <v>57.1</v>
      </c>
      <c r="AF63" s="67">
        <v>72.900000000000006</v>
      </c>
      <c r="AG63" s="74">
        <v>25.8</v>
      </c>
      <c r="AH63" s="74">
        <v>3.5</v>
      </c>
      <c r="AI63" s="74">
        <v>1.8</v>
      </c>
      <c r="AJ63" s="67">
        <v>0</v>
      </c>
      <c r="AK63" s="74">
        <v>1.5</v>
      </c>
      <c r="AL63" s="74">
        <v>0.6</v>
      </c>
      <c r="AM63" s="74">
        <v>0.5</v>
      </c>
      <c r="AN63" s="67">
        <v>3.6</v>
      </c>
      <c r="AO63" s="68">
        <v>2.8</v>
      </c>
      <c r="AP63" s="68">
        <v>4.2</v>
      </c>
      <c r="AQ63" s="68">
        <v>5.5</v>
      </c>
      <c r="AR63" s="67">
        <v>8.8000000000000007</v>
      </c>
      <c r="AS63" s="69">
        <v>9.1</v>
      </c>
      <c r="AU63" s="40"/>
    </row>
    <row r="64" spans="1:48" s="39" customFormat="1" ht="20.149999999999999" customHeight="1">
      <c r="A64" s="24" t="s">
        <v>105</v>
      </c>
      <c r="B64" s="42">
        <v>0</v>
      </c>
      <c r="C64" s="42">
        <v>0</v>
      </c>
      <c r="D64" s="42">
        <v>0</v>
      </c>
      <c r="E64" s="42">
        <v>0</v>
      </c>
      <c r="F64" s="27">
        <f>1779*1/1000</f>
        <v>1.7789999999999999</v>
      </c>
      <c r="G64" s="25">
        <v>0.4</v>
      </c>
      <c r="H64" s="27">
        <f>330*1/1000</f>
        <v>0.33</v>
      </c>
      <c r="I64" s="42">
        <v>0</v>
      </c>
      <c r="J64" s="44">
        <v>0</v>
      </c>
      <c r="K64" s="44">
        <v>0</v>
      </c>
      <c r="L64" s="42">
        <v>0</v>
      </c>
      <c r="M64" s="44">
        <v>0</v>
      </c>
      <c r="N64" s="27">
        <f>23085*1/1000</f>
        <v>23.085000000000001</v>
      </c>
      <c r="O64" s="27">
        <f>24895*1/1000</f>
        <v>24.895</v>
      </c>
      <c r="P64" s="26">
        <f>29226*1/1000</f>
        <v>29.225999999999999</v>
      </c>
      <c r="Q64" s="27">
        <f>29589*1/1000</f>
        <v>29.588999999999999</v>
      </c>
      <c r="R64" s="27">
        <f>7799*1/1000</f>
        <v>7.7990000000000004</v>
      </c>
      <c r="S64" s="27">
        <f>6782*1/1000</f>
        <v>6.782</v>
      </c>
      <c r="T64" s="132">
        <f>7092*1/1000</f>
        <v>7.0919999999999996</v>
      </c>
      <c r="U64" s="133">
        <f>1990*1/1000</f>
        <v>1.99</v>
      </c>
      <c r="V64" s="133">
        <f>6510*1/1000</f>
        <v>6.51</v>
      </c>
      <c r="W64" s="133">
        <f>14152*1/1000</f>
        <v>14.151999999999999</v>
      </c>
      <c r="X64" s="132">
        <f>4520*1/1000</f>
        <v>4.5199999999999996</v>
      </c>
      <c r="Y64" s="133">
        <f>12203*1/1000</f>
        <v>12.202999999999999</v>
      </c>
      <c r="Z64" s="41">
        <v>43.7</v>
      </c>
      <c r="AA64" s="41">
        <v>22.1</v>
      </c>
      <c r="AB64" s="134">
        <v>48.028993427171699</v>
      </c>
      <c r="AC64" s="135">
        <v>22.5</v>
      </c>
      <c r="AD64" s="135">
        <v>132.69999999999999</v>
      </c>
      <c r="AE64" s="41">
        <v>96.3</v>
      </c>
      <c r="AF64" s="35">
        <v>176.1</v>
      </c>
      <c r="AG64" s="36">
        <v>29.2</v>
      </c>
      <c r="AH64" s="36">
        <v>39.1</v>
      </c>
      <c r="AI64" s="36">
        <v>21.967722325707697</v>
      </c>
      <c r="AJ64" s="35">
        <v>24.9</v>
      </c>
      <c r="AK64" s="36">
        <v>4.3</v>
      </c>
      <c r="AL64" s="36">
        <v>24.9</v>
      </c>
      <c r="AM64" s="36">
        <v>17.5</v>
      </c>
      <c r="AN64" s="35">
        <v>61.3</v>
      </c>
      <c r="AO64" s="37">
        <v>60.1</v>
      </c>
      <c r="AP64" s="37">
        <v>44.9</v>
      </c>
      <c r="AQ64" s="37">
        <v>62.3</v>
      </c>
      <c r="AR64" s="35">
        <v>151.1</v>
      </c>
      <c r="AS64" s="38">
        <v>191.1</v>
      </c>
      <c r="AU64" s="40"/>
    </row>
    <row r="65" spans="1:50" s="39" customFormat="1" ht="20.149999999999999" customHeight="1">
      <c r="A65" s="24" t="s">
        <v>106</v>
      </c>
      <c r="B65" s="25">
        <f>31542*1/1000</f>
        <v>31.542000000000002</v>
      </c>
      <c r="C65" s="25">
        <f>28472*1/1000</f>
        <v>28.472000000000001</v>
      </c>
      <c r="D65" s="87">
        <f>21641*1/1000</f>
        <v>21.640999999999998</v>
      </c>
      <c r="E65" s="26">
        <f>20032*1/1000</f>
        <v>20.032</v>
      </c>
      <c r="F65" s="27">
        <f>19853*1/1000</f>
        <v>19.853000000000002</v>
      </c>
      <c r="G65" s="26">
        <f>22447*1/1000</f>
        <v>22.446999999999999</v>
      </c>
      <c r="H65" s="27">
        <f>19631*1/1000</f>
        <v>19.631</v>
      </c>
      <c r="I65" s="26">
        <f>18800*1/1000</f>
        <v>18.8</v>
      </c>
      <c r="J65" s="27">
        <f>17659*1/1000</f>
        <v>17.658999999999999</v>
      </c>
      <c r="K65" s="27">
        <f>16126*1/1000</f>
        <v>16.126000000000001</v>
      </c>
      <c r="L65" s="26">
        <f>15523*1/1000</f>
        <v>15.523</v>
      </c>
      <c r="M65" s="27">
        <f>14124*1/1000</f>
        <v>14.124000000000001</v>
      </c>
      <c r="N65" s="27">
        <f>15170*1/1000</f>
        <v>15.17</v>
      </c>
      <c r="O65" s="27">
        <f>14960*1/1000</f>
        <v>14.96</v>
      </c>
      <c r="P65" s="26">
        <f>12744*1/1000</f>
        <v>12.744</v>
      </c>
      <c r="Q65" s="27">
        <f>12532*1/1000</f>
        <v>12.532</v>
      </c>
      <c r="R65" s="27">
        <f>12125*1/1000</f>
        <v>12.125</v>
      </c>
      <c r="S65" s="27">
        <f>12084*1/1000</f>
        <v>12.084</v>
      </c>
      <c r="T65" s="132">
        <f>13259*1/1000</f>
        <v>13.259</v>
      </c>
      <c r="U65" s="133">
        <f>13182*1/1000</f>
        <v>13.182</v>
      </c>
      <c r="V65" s="133">
        <f>12551*1/1000</f>
        <v>12.551</v>
      </c>
      <c r="W65" s="133">
        <f>12536*1/1000</f>
        <v>12.536</v>
      </c>
      <c r="X65" s="132">
        <f>2727*1/1000</f>
        <v>2.7269999999999999</v>
      </c>
      <c r="Y65" s="133">
        <f>2843*1/1000</f>
        <v>2.843</v>
      </c>
      <c r="Z65" s="41">
        <v>2.6</v>
      </c>
      <c r="AA65" s="41">
        <v>2.7</v>
      </c>
      <c r="AB65" s="134">
        <v>1.4</v>
      </c>
      <c r="AC65" s="135">
        <v>1.4</v>
      </c>
      <c r="AD65" s="172" t="s">
        <v>107</v>
      </c>
      <c r="AE65" s="172" t="s">
        <v>107</v>
      </c>
      <c r="AF65" s="177" t="s">
        <v>107</v>
      </c>
      <c r="AG65" s="172" t="s">
        <v>107</v>
      </c>
      <c r="AH65" s="172" t="s">
        <v>107</v>
      </c>
      <c r="AI65" s="172" t="s">
        <v>107</v>
      </c>
      <c r="AJ65" s="177" t="s">
        <v>107</v>
      </c>
      <c r="AK65" s="172" t="s">
        <v>107</v>
      </c>
      <c r="AL65" s="172" t="s">
        <v>107</v>
      </c>
      <c r="AM65" s="172" t="s">
        <v>107</v>
      </c>
      <c r="AN65" s="177" t="s">
        <v>107</v>
      </c>
      <c r="AO65" s="178" t="s">
        <v>107</v>
      </c>
      <c r="AP65" s="178" t="s">
        <v>107</v>
      </c>
      <c r="AQ65" s="178" t="s">
        <v>107</v>
      </c>
      <c r="AR65" s="177" t="s">
        <v>99</v>
      </c>
      <c r="AS65" s="179" t="s">
        <v>107</v>
      </c>
      <c r="AU65" s="40"/>
    </row>
    <row r="66" spans="1:50" s="39" customFormat="1" ht="20.149999999999999" customHeight="1">
      <c r="A66" s="24" t="s">
        <v>98</v>
      </c>
      <c r="B66" s="25">
        <f>27995*1/1000</f>
        <v>27.995000000000001</v>
      </c>
      <c r="C66" s="25">
        <f>35645*1/1000</f>
        <v>35.645000000000003</v>
      </c>
      <c r="D66" s="87">
        <f>56799*1/1000</f>
        <v>56.798999999999999</v>
      </c>
      <c r="E66" s="26">
        <f>81468*1/1000</f>
        <v>81.468000000000004</v>
      </c>
      <c r="F66" s="27">
        <f>106824*1/1000</f>
        <v>106.824</v>
      </c>
      <c r="G66" s="26">
        <f>119265*1/1000</f>
        <v>119.265</v>
      </c>
      <c r="H66" s="27">
        <f>133273*1/1000</f>
        <v>133.273</v>
      </c>
      <c r="I66" s="26">
        <f>135062*1/1000</f>
        <v>135.06200000000001</v>
      </c>
      <c r="J66" s="27">
        <f>149981*1/1000</f>
        <v>149.98099999999999</v>
      </c>
      <c r="K66" s="27">
        <f>159197*1/1000</f>
        <v>159.197</v>
      </c>
      <c r="L66" s="26">
        <f>166432*1/1000</f>
        <v>166.43199999999999</v>
      </c>
      <c r="M66" s="27">
        <f>171191*1/1000</f>
        <v>171.191</v>
      </c>
      <c r="N66" s="27">
        <f>171189*1/1000</f>
        <v>171.18899999999999</v>
      </c>
      <c r="O66" s="27">
        <f>174847*1/1000</f>
        <v>174.84700000000001</v>
      </c>
      <c r="P66" s="26">
        <f>199418*1/1000</f>
        <v>199.41800000000001</v>
      </c>
      <c r="Q66" s="27">
        <f>188402*1/1000</f>
        <v>188.40199999999999</v>
      </c>
      <c r="R66" s="27">
        <f>209950*1/1000</f>
        <v>209.95</v>
      </c>
      <c r="S66" s="27">
        <f>210563*1/1000</f>
        <v>210.56299999999999</v>
      </c>
      <c r="T66" s="132">
        <f>201238*1/1000</f>
        <v>201.238</v>
      </c>
      <c r="U66" s="133">
        <f>207890*1/1000</f>
        <v>207.89</v>
      </c>
      <c r="V66" s="133">
        <f>204442*1/1000</f>
        <v>204.44200000000001</v>
      </c>
      <c r="W66" s="133">
        <f>210688*1/1000</f>
        <v>210.68799999999999</v>
      </c>
      <c r="X66" s="132">
        <f>209485*1/1000</f>
        <v>209.48500000000001</v>
      </c>
      <c r="Y66" s="133">
        <f>228170*1/1000</f>
        <v>228.17</v>
      </c>
      <c r="Z66" s="41">
        <v>678</v>
      </c>
      <c r="AA66" s="41">
        <v>672.7</v>
      </c>
      <c r="AB66" s="134">
        <v>683.9</v>
      </c>
      <c r="AC66" s="135">
        <v>670.3</v>
      </c>
      <c r="AD66" s="135">
        <v>672</v>
      </c>
      <c r="AE66" s="41">
        <v>680.9</v>
      </c>
      <c r="AF66" s="35">
        <v>676.1</v>
      </c>
      <c r="AG66" s="36">
        <v>665</v>
      </c>
      <c r="AH66" s="36">
        <v>676.8</v>
      </c>
      <c r="AI66" s="36">
        <v>660.84343092999995</v>
      </c>
      <c r="AJ66" s="35">
        <v>647.9</v>
      </c>
      <c r="AK66" s="36">
        <v>633.79999999999995</v>
      </c>
      <c r="AL66" s="36">
        <v>637.29999999999995</v>
      </c>
      <c r="AM66" s="36">
        <v>629.5</v>
      </c>
      <c r="AN66" s="35">
        <v>618.29999999999995</v>
      </c>
      <c r="AO66" s="37">
        <v>356</v>
      </c>
      <c r="AP66" s="37">
        <v>39.799999999999997</v>
      </c>
      <c r="AQ66" s="37">
        <v>65</v>
      </c>
      <c r="AR66" s="35">
        <v>0</v>
      </c>
      <c r="AS66" s="38">
        <v>0</v>
      </c>
      <c r="AU66" s="40"/>
    </row>
    <row r="67" spans="1:50" s="39" customFormat="1" ht="20.149999999999999" customHeight="1" thickBot="1">
      <c r="A67" s="24" t="s">
        <v>108</v>
      </c>
      <c r="B67" s="42">
        <v>0</v>
      </c>
      <c r="C67" s="42">
        <v>0</v>
      </c>
      <c r="D67" s="87">
        <f>1171*1/1000</f>
        <v>1.171</v>
      </c>
      <c r="E67" s="42">
        <v>0</v>
      </c>
      <c r="F67" s="44">
        <v>0</v>
      </c>
      <c r="G67" s="42">
        <v>0</v>
      </c>
      <c r="H67" s="44">
        <v>0</v>
      </c>
      <c r="I67" s="42">
        <v>0</v>
      </c>
      <c r="J67" s="44">
        <v>0</v>
      </c>
      <c r="K67" s="44">
        <v>0</v>
      </c>
      <c r="L67" s="42">
        <v>0</v>
      </c>
      <c r="M67" s="44">
        <v>0</v>
      </c>
      <c r="N67" s="44">
        <v>0</v>
      </c>
      <c r="O67" s="44">
        <v>0</v>
      </c>
      <c r="P67" s="42">
        <v>0</v>
      </c>
      <c r="Q67" s="44">
        <v>0</v>
      </c>
      <c r="R67" s="44">
        <v>0</v>
      </c>
      <c r="S67" s="44">
        <v>0</v>
      </c>
      <c r="T67" s="42">
        <v>0</v>
      </c>
      <c r="U67" s="44">
        <v>0</v>
      </c>
      <c r="V67" s="44">
        <v>0</v>
      </c>
      <c r="W67" s="44">
        <v>0</v>
      </c>
      <c r="X67" s="42">
        <v>0</v>
      </c>
      <c r="Y67" s="44">
        <v>0</v>
      </c>
      <c r="Z67" s="44">
        <v>0</v>
      </c>
      <c r="AA67" s="44">
        <v>0</v>
      </c>
      <c r="AB67" s="42">
        <v>0</v>
      </c>
      <c r="AC67" s="44">
        <v>0</v>
      </c>
      <c r="AD67" s="44">
        <v>0</v>
      </c>
      <c r="AE67" s="44">
        <v>0</v>
      </c>
      <c r="AF67" s="61">
        <v>0</v>
      </c>
      <c r="AG67" s="63">
        <v>0</v>
      </c>
      <c r="AH67" s="63">
        <v>0</v>
      </c>
      <c r="AI67" s="63">
        <v>0</v>
      </c>
      <c r="AJ67" s="61">
        <v>0</v>
      </c>
      <c r="AK67" s="63">
        <v>0</v>
      </c>
      <c r="AL67" s="63" t="s">
        <v>68</v>
      </c>
      <c r="AM67" s="63">
        <v>0</v>
      </c>
      <c r="AN67" s="61">
        <v>0</v>
      </c>
      <c r="AO67" s="37">
        <v>0</v>
      </c>
      <c r="AP67" s="37">
        <v>0</v>
      </c>
      <c r="AQ67" s="37">
        <v>0</v>
      </c>
      <c r="AR67" s="61">
        <v>0</v>
      </c>
      <c r="AS67" s="38">
        <v>0</v>
      </c>
      <c r="AU67" s="40"/>
    </row>
    <row r="68" spans="1:50" s="83" customFormat="1" ht="20.149999999999999" customHeight="1" thickBot="1">
      <c r="A68" s="158" t="s">
        <v>109</v>
      </c>
      <c r="B68" s="103">
        <f>SUM(B57:B67)</f>
        <v>140.40199999999999</v>
      </c>
      <c r="C68" s="103">
        <f t="shared" ref="C68:AA68" si="30">SUM(C57:C67)</f>
        <v>358.39099999999996</v>
      </c>
      <c r="D68" s="103">
        <f t="shared" si="30"/>
        <v>385.25700000000001</v>
      </c>
      <c r="E68" s="103">
        <f t="shared" si="30"/>
        <v>399.149</v>
      </c>
      <c r="F68" s="104">
        <f t="shared" si="30"/>
        <v>346.09100000000001</v>
      </c>
      <c r="G68" s="103">
        <f t="shared" si="30"/>
        <v>406.44599999999997</v>
      </c>
      <c r="H68" s="104">
        <f t="shared" si="30"/>
        <v>431.70100000000002</v>
      </c>
      <c r="I68" s="103">
        <f t="shared" si="30"/>
        <v>423.67900000000003</v>
      </c>
      <c r="J68" s="104">
        <f t="shared" si="30"/>
        <v>562.19000000000005</v>
      </c>
      <c r="K68" s="104">
        <f t="shared" si="30"/>
        <v>526.74099999999999</v>
      </c>
      <c r="L68" s="103">
        <f t="shared" si="30"/>
        <v>518.43999999999994</v>
      </c>
      <c r="M68" s="104">
        <f t="shared" si="30"/>
        <v>645.32600000000002</v>
      </c>
      <c r="N68" s="104">
        <f t="shared" si="30"/>
        <v>939.55199999999991</v>
      </c>
      <c r="O68" s="104">
        <f t="shared" si="30"/>
        <v>1010.489</v>
      </c>
      <c r="P68" s="103">
        <f t="shared" si="30"/>
        <v>968.42500000000007</v>
      </c>
      <c r="Q68" s="160">
        <f t="shared" si="30"/>
        <v>1017.386</v>
      </c>
      <c r="R68" s="160">
        <f t="shared" si="30"/>
        <v>1033.443</v>
      </c>
      <c r="S68" s="160">
        <f t="shared" si="30"/>
        <v>1009.7019999999999</v>
      </c>
      <c r="T68" s="180">
        <f t="shared" si="30"/>
        <v>1066.78</v>
      </c>
      <c r="U68" s="181">
        <f t="shared" si="30"/>
        <v>1007.745</v>
      </c>
      <c r="V68" s="181">
        <f t="shared" si="30"/>
        <v>1018.1</v>
      </c>
      <c r="W68" s="181">
        <f t="shared" si="30"/>
        <v>945.28899999999999</v>
      </c>
      <c r="X68" s="180">
        <f t="shared" si="30"/>
        <v>974.8309999999999</v>
      </c>
      <c r="Y68" s="181">
        <f t="shared" si="30"/>
        <v>1003.5449999999998</v>
      </c>
      <c r="Z68" s="175">
        <f t="shared" si="30"/>
        <v>3990.3999999999992</v>
      </c>
      <c r="AA68" s="175">
        <f t="shared" si="30"/>
        <v>4126.7</v>
      </c>
      <c r="AB68" s="182">
        <f t="shared" ref="AB68:AG68" si="31">SUM(AB57:AB67)-AB63</f>
        <v>4167.2289934271712</v>
      </c>
      <c r="AC68" s="175">
        <f t="shared" si="31"/>
        <v>4149.8</v>
      </c>
      <c r="AD68" s="175">
        <f t="shared" si="31"/>
        <v>4244.8</v>
      </c>
      <c r="AE68" s="175">
        <f t="shared" si="31"/>
        <v>7899.8</v>
      </c>
      <c r="AF68" s="81">
        <f t="shared" si="31"/>
        <v>8466.5000000000018</v>
      </c>
      <c r="AG68" s="109">
        <f t="shared" si="31"/>
        <v>4162.5999999999995</v>
      </c>
      <c r="AH68" s="109">
        <f t="shared" ref="AH68:AI68" si="32">SUM(AH57:AH67)-AH63</f>
        <v>3503.3999999999996</v>
      </c>
      <c r="AI68" s="109">
        <f t="shared" si="32"/>
        <v>3454.8111532557077</v>
      </c>
      <c r="AJ68" s="81">
        <f t="shared" ref="AJ68:AN68" si="33">SUM(AJ57:AJ67)-AJ63</f>
        <v>3681.2000000000003</v>
      </c>
      <c r="AK68" s="109">
        <f t="shared" si="33"/>
        <v>4366</v>
      </c>
      <c r="AL68" s="109">
        <f t="shared" si="33"/>
        <v>4330.2</v>
      </c>
      <c r="AM68" s="109">
        <f t="shared" si="33"/>
        <v>4036.3999999999996</v>
      </c>
      <c r="AN68" s="109">
        <f t="shared" si="33"/>
        <v>3915.5000000000005</v>
      </c>
      <c r="AO68" s="110">
        <f>SUM(AO57:AO66)-AO63</f>
        <v>2927.4</v>
      </c>
      <c r="AP68" s="110">
        <f>SUM(AP57:AP67)-AP63</f>
        <v>4236.8</v>
      </c>
      <c r="AQ68" s="110">
        <f>SUM(AQ57:AQ67)-AQ63</f>
        <v>4611.5</v>
      </c>
      <c r="AR68" s="109">
        <f>SUM(AR57:AR67)-AR63</f>
        <v>5018.6000000000004</v>
      </c>
      <c r="AS68" s="111">
        <f>SUM(AS57:AS66)-AS63</f>
        <v>4813.3000000000011</v>
      </c>
      <c r="AU68" s="40"/>
      <c r="AX68" s="183"/>
    </row>
    <row r="69" spans="1:50" s="83" customFormat="1" ht="20.149999999999999" customHeight="1" thickBot="1">
      <c r="A69" s="158" t="s">
        <v>110</v>
      </c>
      <c r="B69" s="184">
        <f>B56+B68</f>
        <v>351.25599999999997</v>
      </c>
      <c r="C69" s="184">
        <f t="shared" ref="C69:S69" si="34">C56+C68</f>
        <v>360.28899999999999</v>
      </c>
      <c r="D69" s="184">
        <f t="shared" si="34"/>
        <v>415.976</v>
      </c>
      <c r="E69" s="184">
        <f t="shared" si="34"/>
        <v>534.06299999999999</v>
      </c>
      <c r="F69" s="185">
        <f t="shared" si="34"/>
        <v>426.33699999999999</v>
      </c>
      <c r="G69" s="184">
        <f t="shared" si="34"/>
        <v>463.79299999999995</v>
      </c>
      <c r="H69" s="185">
        <f t="shared" si="34"/>
        <v>460.60400000000004</v>
      </c>
      <c r="I69" s="184">
        <f t="shared" si="34"/>
        <v>452.43300000000005</v>
      </c>
      <c r="J69" s="185">
        <f t="shared" si="34"/>
        <v>623.07900000000006</v>
      </c>
      <c r="K69" s="185">
        <f t="shared" si="34"/>
        <v>593.88300000000004</v>
      </c>
      <c r="L69" s="184">
        <f t="shared" si="34"/>
        <v>587.25699999999995</v>
      </c>
      <c r="M69" s="185">
        <f t="shared" si="34"/>
        <v>722.51800000000003</v>
      </c>
      <c r="N69" s="186">
        <f t="shared" si="34"/>
        <v>3377.4880000000003</v>
      </c>
      <c r="O69" s="186">
        <f t="shared" si="34"/>
        <v>3545.0550000000003</v>
      </c>
      <c r="P69" s="187">
        <f t="shared" si="34"/>
        <v>3452.5050000000001</v>
      </c>
      <c r="Q69" s="186">
        <f t="shared" si="34"/>
        <v>3411.9869999999996</v>
      </c>
      <c r="R69" s="186">
        <f t="shared" si="34"/>
        <v>3405.5320000000002</v>
      </c>
      <c r="S69" s="186">
        <f t="shared" si="34"/>
        <v>3159.9589999999994</v>
      </c>
      <c r="T69" s="180">
        <f t="shared" ref="T69:AN69" si="35">T68+T56</f>
        <v>3092.942</v>
      </c>
      <c r="U69" s="181">
        <f t="shared" si="35"/>
        <v>3067.306</v>
      </c>
      <c r="V69" s="181">
        <f t="shared" si="35"/>
        <v>2945.4119999999998</v>
      </c>
      <c r="W69" s="181">
        <f t="shared" si="35"/>
        <v>2772.4030000000002</v>
      </c>
      <c r="X69" s="180">
        <f t="shared" si="35"/>
        <v>2675.0169999999998</v>
      </c>
      <c r="Y69" s="181">
        <f t="shared" si="35"/>
        <v>2742.8449999999998</v>
      </c>
      <c r="Z69" s="175">
        <f t="shared" si="35"/>
        <v>18735.399999999998</v>
      </c>
      <c r="AA69" s="175">
        <f t="shared" si="35"/>
        <v>18350.5</v>
      </c>
      <c r="AB69" s="182">
        <f t="shared" si="35"/>
        <v>18260.528993427175</v>
      </c>
      <c r="AC69" s="175">
        <f t="shared" si="35"/>
        <v>17777</v>
      </c>
      <c r="AD69" s="175">
        <f t="shared" si="35"/>
        <v>17584</v>
      </c>
      <c r="AE69" s="175">
        <f t="shared" si="35"/>
        <v>16083.5</v>
      </c>
      <c r="AF69" s="81">
        <f t="shared" si="35"/>
        <v>16240.000000000002</v>
      </c>
      <c r="AG69" s="109">
        <f t="shared" si="35"/>
        <v>17950.3</v>
      </c>
      <c r="AH69" s="109">
        <f t="shared" si="35"/>
        <v>16819.5</v>
      </c>
      <c r="AI69" s="109">
        <f t="shared" si="35"/>
        <v>16459.611153255708</v>
      </c>
      <c r="AJ69" s="81">
        <f t="shared" si="35"/>
        <v>16351.700000000003</v>
      </c>
      <c r="AK69" s="109">
        <f t="shared" si="35"/>
        <v>15904.9</v>
      </c>
      <c r="AL69" s="109">
        <f t="shared" si="35"/>
        <v>15592.399999999998</v>
      </c>
      <c r="AM69" s="109">
        <f t="shared" si="35"/>
        <v>14932.699999999999</v>
      </c>
      <c r="AN69" s="109">
        <f t="shared" si="35"/>
        <v>15639.2</v>
      </c>
      <c r="AO69" s="110">
        <f>AO68+AO56</f>
        <v>14989.4</v>
      </c>
      <c r="AP69" s="110">
        <f t="shared" ref="AP69:AR69" si="36">AP68+AP56</f>
        <v>16297.599999999999</v>
      </c>
      <c r="AQ69" s="110">
        <f t="shared" si="36"/>
        <v>16714</v>
      </c>
      <c r="AR69" s="109">
        <f t="shared" si="36"/>
        <v>16821.599999999999</v>
      </c>
      <c r="AS69" s="111">
        <f>AS68+AS56</f>
        <v>17291.2</v>
      </c>
      <c r="AU69" s="40"/>
      <c r="AX69" s="183"/>
    </row>
    <row r="70" spans="1:50" s="197" customFormat="1" ht="22.5" customHeight="1" thickBot="1">
      <c r="A70" s="188" t="s">
        <v>111</v>
      </c>
      <c r="B70" s="189">
        <f>B69+B47</f>
        <v>257.64799999999997</v>
      </c>
      <c r="C70" s="189">
        <f t="shared" ref="C70:AN70" si="37">C69+C47</f>
        <v>241.97799999999998</v>
      </c>
      <c r="D70" s="189">
        <f t="shared" si="37"/>
        <v>353.358</v>
      </c>
      <c r="E70" s="189">
        <f t="shared" si="37"/>
        <v>595.20299999999997</v>
      </c>
      <c r="F70" s="190">
        <f t="shared" si="37"/>
        <v>630.44000000000005</v>
      </c>
      <c r="G70" s="189">
        <f t="shared" si="37"/>
        <v>757.13099999999986</v>
      </c>
      <c r="H70" s="190">
        <f t="shared" si="37"/>
        <v>681.41300000000001</v>
      </c>
      <c r="I70" s="189">
        <f t="shared" si="37"/>
        <v>774.846</v>
      </c>
      <c r="J70" s="190">
        <f t="shared" si="37"/>
        <v>945.67500000000007</v>
      </c>
      <c r="K70" s="190">
        <f t="shared" si="37"/>
        <v>984.87200000000007</v>
      </c>
      <c r="L70" s="189">
        <f t="shared" si="37"/>
        <v>1015.1949999999999</v>
      </c>
      <c r="M70" s="191">
        <f t="shared" si="37"/>
        <v>1226.854</v>
      </c>
      <c r="N70" s="191">
        <f t="shared" si="37"/>
        <v>5248.0750000000007</v>
      </c>
      <c r="O70" s="191">
        <f t="shared" si="37"/>
        <v>5363.8690000000006</v>
      </c>
      <c r="P70" s="192">
        <f t="shared" si="37"/>
        <v>5348.5480000000007</v>
      </c>
      <c r="Q70" s="191">
        <f t="shared" si="37"/>
        <v>5502.753999999999</v>
      </c>
      <c r="R70" s="191">
        <f t="shared" si="37"/>
        <v>5597.8009999999995</v>
      </c>
      <c r="S70" s="191">
        <f t="shared" si="37"/>
        <v>5514.8739999999998</v>
      </c>
      <c r="T70" s="193">
        <f t="shared" si="37"/>
        <v>5561.3450000000003</v>
      </c>
      <c r="U70" s="194">
        <f t="shared" si="37"/>
        <v>5629.4740000000002</v>
      </c>
      <c r="V70" s="194">
        <f t="shared" si="37"/>
        <v>5592.7070000000003</v>
      </c>
      <c r="W70" s="194">
        <f t="shared" si="37"/>
        <v>5597.9809999999998</v>
      </c>
      <c r="X70" s="193">
        <f t="shared" si="37"/>
        <v>5676.23</v>
      </c>
      <c r="Y70" s="194">
        <f t="shared" si="37"/>
        <v>5851.1939999999995</v>
      </c>
      <c r="Z70" s="195">
        <f t="shared" si="37"/>
        <v>27827.1</v>
      </c>
      <c r="AA70" s="195">
        <f t="shared" si="37"/>
        <v>27481.200000000001</v>
      </c>
      <c r="AB70" s="196">
        <f t="shared" si="37"/>
        <v>27338.728993427176</v>
      </c>
      <c r="AC70" s="195">
        <f t="shared" si="37"/>
        <v>27088.9</v>
      </c>
      <c r="AD70" s="195">
        <f t="shared" si="37"/>
        <v>27141.800000000003</v>
      </c>
      <c r="AE70" s="195">
        <f t="shared" si="37"/>
        <v>26143.5</v>
      </c>
      <c r="AF70" s="119">
        <f t="shared" si="37"/>
        <v>26490.100000000002</v>
      </c>
      <c r="AG70" s="120">
        <f t="shared" si="37"/>
        <v>28355.5</v>
      </c>
      <c r="AH70" s="120">
        <f t="shared" si="37"/>
        <v>27581.1</v>
      </c>
      <c r="AI70" s="120">
        <f t="shared" si="37"/>
        <v>27493.111153255708</v>
      </c>
      <c r="AJ70" s="119">
        <f t="shared" si="37"/>
        <v>27729.300000000003</v>
      </c>
      <c r="AK70" s="120">
        <f t="shared" si="37"/>
        <v>27553.199999999997</v>
      </c>
      <c r="AL70" s="120">
        <f t="shared" si="37"/>
        <v>27317.5</v>
      </c>
      <c r="AM70" s="120">
        <f t="shared" si="37"/>
        <v>26892.6</v>
      </c>
      <c r="AN70" s="120">
        <f t="shared" si="37"/>
        <v>27756</v>
      </c>
      <c r="AO70" s="120">
        <f>AO69+AO47</f>
        <v>27894.400000000001</v>
      </c>
      <c r="AP70" s="120">
        <f t="shared" ref="AP70:AR70" si="38">AP69+AP47</f>
        <v>29751.599999999999</v>
      </c>
      <c r="AQ70" s="120">
        <f t="shared" si="38"/>
        <v>30395.3</v>
      </c>
      <c r="AR70" s="120">
        <f t="shared" si="38"/>
        <v>30696.799999999999</v>
      </c>
      <c r="AS70" s="121">
        <f>AS69+AS47</f>
        <v>31463.800000000003</v>
      </c>
      <c r="AU70" s="40"/>
      <c r="AX70" s="198"/>
    </row>
    <row r="71" spans="1:50" s="200" customFormat="1">
      <c r="A71" s="199"/>
      <c r="B71" s="199"/>
      <c r="C71" s="199"/>
      <c r="D71" s="199"/>
      <c r="E71" s="199"/>
      <c r="F71" s="199"/>
      <c r="H71" s="201"/>
      <c r="I71" s="201"/>
      <c r="J71" s="201"/>
      <c r="Z71" s="202"/>
      <c r="AA71" s="202"/>
      <c r="AE71" s="202"/>
      <c r="AO71" s="203"/>
      <c r="AP71" s="203"/>
      <c r="AQ71" s="203"/>
      <c r="AR71" s="203"/>
      <c r="AU71" s="2"/>
    </row>
    <row r="72" spans="1:50" s="200" customFormat="1">
      <c r="A72" s="199"/>
      <c r="B72" s="199"/>
      <c r="C72" s="199"/>
      <c r="D72" s="199"/>
      <c r="E72" s="199"/>
      <c r="F72" s="199"/>
      <c r="H72" s="204"/>
      <c r="I72" s="204"/>
      <c r="J72" s="204"/>
      <c r="Z72" s="202"/>
      <c r="AA72" s="202"/>
      <c r="AE72" s="202"/>
      <c r="AO72" s="203"/>
      <c r="AP72" s="203"/>
      <c r="AQ72" s="203"/>
      <c r="AR72" s="203"/>
      <c r="AU72" s="2"/>
    </row>
    <row r="73" spans="1:50" s="200" customFormat="1" ht="85.5">
      <c r="A73" s="205" t="s">
        <v>112</v>
      </c>
      <c r="B73" s="205"/>
      <c r="C73" s="205"/>
      <c r="D73" s="205"/>
      <c r="E73" s="205"/>
      <c r="F73" s="205"/>
      <c r="G73" s="205"/>
      <c r="H73" s="206"/>
      <c r="I73" s="207"/>
      <c r="J73" s="207"/>
      <c r="Z73" s="202"/>
      <c r="AA73" s="202"/>
      <c r="AE73" s="202"/>
      <c r="AO73" s="203"/>
      <c r="AP73" s="203"/>
      <c r="AQ73" s="203"/>
      <c r="AR73" s="203"/>
      <c r="AU73" s="2"/>
    </row>
    <row r="74" spans="1:50" s="200" customFormat="1" ht="37.5">
      <c r="A74" s="205" t="s">
        <v>113</v>
      </c>
      <c r="B74" s="208"/>
      <c r="C74" s="208"/>
      <c r="D74" s="208"/>
      <c r="E74" s="208"/>
      <c r="F74" s="208"/>
      <c r="G74" s="208"/>
      <c r="H74" s="204"/>
      <c r="I74" s="204"/>
      <c r="J74" s="204"/>
      <c r="Z74" s="202"/>
      <c r="AA74" s="202"/>
      <c r="AE74" s="202"/>
      <c r="AO74" s="203"/>
      <c r="AP74" s="203"/>
      <c r="AQ74" s="13"/>
      <c r="AR74" s="2"/>
      <c r="AS74" s="13"/>
      <c r="AT74" s="2"/>
      <c r="AU74" s="2"/>
    </row>
    <row r="75" spans="1:50" s="200" customFormat="1" ht="25.5">
      <c r="A75" s="205" t="s">
        <v>114</v>
      </c>
      <c r="B75" s="208"/>
      <c r="C75" s="208"/>
      <c r="D75" s="208"/>
      <c r="E75" s="208"/>
      <c r="F75" s="208"/>
      <c r="G75" s="208"/>
      <c r="H75" s="207"/>
      <c r="I75" s="207"/>
      <c r="J75" s="209"/>
      <c r="Z75" s="202"/>
      <c r="AA75" s="202"/>
      <c r="AE75" s="202"/>
      <c r="AO75" s="203"/>
      <c r="AP75" s="203"/>
      <c r="AQ75" s="13"/>
      <c r="AR75" s="2"/>
      <c r="AS75" s="13"/>
      <c r="AT75" s="2"/>
      <c r="AU75" s="2"/>
    </row>
    <row r="76" spans="1:50" s="200" customFormat="1" ht="22.5" customHeight="1">
      <c r="A76" s="205" t="s">
        <v>115</v>
      </c>
      <c r="B76" s="208"/>
      <c r="C76" s="208"/>
      <c r="D76" s="208"/>
      <c r="E76" s="208"/>
      <c r="F76" s="208"/>
      <c r="G76" s="208"/>
      <c r="H76" s="201"/>
      <c r="I76" s="201"/>
      <c r="J76" s="201"/>
      <c r="Z76" s="202"/>
      <c r="AA76" s="202"/>
      <c r="AE76" s="202"/>
      <c r="AO76" s="203"/>
      <c r="AP76" s="203"/>
      <c r="AQ76" s="13"/>
      <c r="AR76" s="2"/>
      <c r="AS76" s="13"/>
      <c r="AT76" s="2"/>
      <c r="AU76" s="2"/>
    </row>
    <row r="77" spans="1:50" s="200" customFormat="1" ht="37.5">
      <c r="A77" s="205" t="s">
        <v>116</v>
      </c>
      <c r="B77" s="208"/>
      <c r="C77" s="208"/>
      <c r="D77" s="208"/>
      <c r="E77" s="208"/>
      <c r="F77" s="208"/>
      <c r="G77" s="208"/>
      <c r="H77" s="201"/>
      <c r="I77" s="201"/>
      <c r="J77" s="201"/>
      <c r="Z77" s="202"/>
      <c r="AA77" s="202"/>
      <c r="AE77" s="202"/>
      <c r="AO77" s="203"/>
      <c r="AP77" s="203"/>
      <c r="AQ77" s="13"/>
      <c r="AR77" s="2"/>
      <c r="AS77" s="13"/>
      <c r="AT77" s="2"/>
      <c r="AU77" s="2"/>
    </row>
    <row r="78" spans="1:50" s="200" customFormat="1" ht="20.5" customHeight="1">
      <c r="A78" s="200" t="s">
        <v>117</v>
      </c>
      <c r="H78" s="201"/>
      <c r="I78" s="201"/>
      <c r="J78" s="201"/>
      <c r="Z78" s="202"/>
      <c r="AA78" s="202"/>
      <c r="AE78" s="202"/>
      <c r="AO78" s="203"/>
      <c r="AP78" s="203"/>
      <c r="AQ78" s="13"/>
      <c r="AR78" s="2"/>
      <c r="AS78" s="13"/>
      <c r="AT78" s="2"/>
      <c r="AU78" s="2"/>
    </row>
    <row r="79" spans="1:50">
      <c r="AR79" s="2"/>
      <c r="AS79" s="13"/>
    </row>
    <row r="80" spans="1:50">
      <c r="A80" s="210"/>
      <c r="AR80" s="2"/>
      <c r="AS80" s="13"/>
    </row>
    <row r="81" spans="1:45">
      <c r="A81" s="210"/>
      <c r="AR81" s="2"/>
      <c r="AS81" s="13"/>
    </row>
  </sheetData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 1Q 2019</vt:lpstr>
      <vt:lpstr>'Bilans 1Q 2019'!Obszar_wydruku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2019-05-14T04:16:13Z</dcterms:created>
  <dcterms:modified xsi:type="dcterms:W3CDTF">2019-05-14T04:18:58Z</dcterms:modified>
</cp:coreProperties>
</file>